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24226"/>
  <bookViews>
    <workbookView xWindow="-15" yWindow="-15" windowWidth="14370" windowHeight="12720"/>
  </bookViews>
  <sheets>
    <sheet name="Incremental" sheetId="6" r:id="rId1"/>
    <sheet name="Total" sheetId="5" r:id="rId2"/>
    <sheet name="Energy" sheetId="12" r:id="rId3"/>
    <sheet name="Capacity" sheetId="10" r:id="rId4"/>
  </sheets>
  <externalReferences>
    <externalReference r:id="rId5"/>
  </externalReferences>
  <definedNames>
    <definedName name="_Order1" hidden="1">255</definedName>
    <definedName name="_Order2" hidden="1">0</definedName>
    <definedName name="Discount_Rate">Total!$B$36</definedName>
    <definedName name="_xlnm.Print_Area" localSheetId="3">Capacity!$A$1:$I$35</definedName>
    <definedName name="_xlnm.Print_Area" localSheetId="2">Energy!$A$1:$I$32</definedName>
    <definedName name="_xlnm.Print_Area" localSheetId="0">Incremental!$A$1:$I$32</definedName>
    <definedName name="_xlnm.Print_Area" localSheetId="1">Total!$A$1:$I$32</definedName>
    <definedName name="Study_CF">#REF!</definedName>
    <definedName name="Study_MW">#REF!</definedName>
    <definedName name="Study_Name">#REF!</definedName>
  </definedNames>
  <calcPr calcId="152511"/>
</workbook>
</file>

<file path=xl/calcChain.xml><?xml version="1.0" encoding="utf-8"?>
<calcChain xmlns="http://schemas.openxmlformats.org/spreadsheetml/2006/main">
  <c r="C8" i="6" l="1"/>
  <c r="H8" i="5"/>
  <c r="H7" i="5"/>
  <c r="G8" i="6"/>
  <c r="G7" i="6"/>
  <c r="H38" i="12"/>
  <c r="B35" i="10" l="1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D8" i="6" l="1"/>
  <c r="D7" i="6"/>
  <c r="C7" i="6"/>
  <c r="B39" i="10" l="1"/>
  <c r="B34" i="10"/>
  <c r="B26" i="10"/>
  <c r="H8" i="10"/>
  <c r="E8" i="10"/>
  <c r="I8" i="10" s="1"/>
  <c r="G8" i="10"/>
  <c r="B4" i="10"/>
  <c r="B11" i="10" l="1"/>
  <c r="H10" i="10"/>
  <c r="G11" i="10" l="1"/>
  <c r="B12" i="10"/>
  <c r="G10" i="10"/>
  <c r="H12" i="10" l="1"/>
  <c r="H11" i="10"/>
  <c r="B13" i="10"/>
  <c r="G13" i="10" l="1"/>
  <c r="H13" i="10"/>
  <c r="G12" i="10"/>
  <c r="B14" i="10"/>
  <c r="G14" i="10" l="1"/>
  <c r="B15" i="10"/>
  <c r="H15" i="10" l="1"/>
  <c r="B16" i="10"/>
  <c r="H14" i="10"/>
  <c r="G16" i="10" l="1"/>
  <c r="B17" i="10"/>
  <c r="G15" i="10"/>
  <c r="H17" i="10" l="1"/>
  <c r="B18" i="10"/>
  <c r="H16" i="10"/>
  <c r="H18" i="10" l="1"/>
  <c r="G18" i="10"/>
  <c r="B19" i="10"/>
  <c r="G17" i="10"/>
  <c r="H19" i="10" l="1"/>
  <c r="G19" i="10"/>
  <c r="B20" i="10"/>
  <c r="G20" i="10" l="1"/>
  <c r="H20" i="10"/>
  <c r="B21" i="10"/>
  <c r="G21" i="10" l="1"/>
  <c r="H21" i="10"/>
  <c r="B22" i="10"/>
  <c r="H22" i="10" l="1"/>
  <c r="G22" i="10"/>
  <c r="B23" i="10"/>
  <c r="H23" i="10" l="1"/>
  <c r="G23" i="10"/>
  <c r="B24" i="10"/>
  <c r="B27" i="10" l="1"/>
  <c r="G24" i="10" l="1"/>
  <c r="C27" i="10"/>
  <c r="H24" i="10"/>
  <c r="D27" i="10"/>
  <c r="H27" i="10" l="1"/>
  <c r="G27" i="10"/>
  <c r="D38" i="12" l="1"/>
  <c r="E38" i="12"/>
  <c r="B38" i="12"/>
  <c r="G38" i="12"/>
  <c r="F38" i="12"/>
  <c r="C7" i="12" l="1"/>
  <c r="C38" i="12" s="1"/>
  <c r="E8" i="5" l="1"/>
  <c r="C8" i="5"/>
  <c r="E7" i="5"/>
  <c r="C7" i="5"/>
  <c r="E8" i="6" l="1"/>
  <c r="E7" i="6"/>
  <c r="F8" i="6" l="1"/>
  <c r="F7" i="6"/>
  <c r="G8" i="5" l="1"/>
  <c r="F8" i="5"/>
  <c r="G7" i="5"/>
  <c r="F7" i="5"/>
  <c r="B1" i="12" l="1"/>
  <c r="B3" i="12"/>
  <c r="B10" i="12"/>
  <c r="B29" i="12"/>
  <c r="B35" i="12"/>
  <c r="B26" i="12" l="1"/>
  <c r="E10" i="5"/>
  <c r="C10" i="5"/>
  <c r="F10" i="5"/>
  <c r="D10" i="5"/>
  <c r="B11" i="12"/>
  <c r="E10" i="6" l="1"/>
  <c r="C10" i="6"/>
  <c r="D10" i="6"/>
  <c r="E11" i="5"/>
  <c r="C11" i="5"/>
  <c r="D11" i="5"/>
  <c r="F11" i="5"/>
  <c r="B12" i="12"/>
  <c r="D11" i="6" l="1"/>
  <c r="E11" i="6"/>
  <c r="C11" i="6"/>
  <c r="D12" i="5"/>
  <c r="C12" i="5"/>
  <c r="E12" i="5"/>
  <c r="F12" i="5"/>
  <c r="B13" i="12"/>
  <c r="E12" i="6" l="1"/>
  <c r="D12" i="6"/>
  <c r="C12" i="6"/>
  <c r="C13" i="5"/>
  <c r="D13" i="5"/>
  <c r="E13" i="5"/>
  <c r="F13" i="5"/>
  <c r="B14" i="12"/>
  <c r="D13" i="6" l="1"/>
  <c r="C13" i="6"/>
  <c r="E13" i="6"/>
  <c r="C14" i="5"/>
  <c r="E14" i="5"/>
  <c r="D14" i="5"/>
  <c r="F14" i="5"/>
  <c r="B15" i="12"/>
  <c r="E14" i="6" l="1"/>
  <c r="C14" i="6"/>
  <c r="D14" i="6"/>
  <c r="E15" i="5"/>
  <c r="D15" i="5"/>
  <c r="C15" i="5"/>
  <c r="F15" i="5"/>
  <c r="B16" i="12"/>
  <c r="E15" i="6" l="1"/>
  <c r="C15" i="6"/>
  <c r="D15" i="6"/>
  <c r="D16" i="5"/>
  <c r="E16" i="5"/>
  <c r="F16" i="5"/>
  <c r="B17" i="12"/>
  <c r="E16" i="6" l="1"/>
  <c r="D16" i="6"/>
  <c r="C17" i="5"/>
  <c r="E17" i="5"/>
  <c r="D17" i="5"/>
  <c r="F17" i="5"/>
  <c r="C16" i="5"/>
  <c r="C16" i="6" s="1"/>
  <c r="B18" i="12"/>
  <c r="E17" i="6" l="1"/>
  <c r="C17" i="6"/>
  <c r="D17" i="6"/>
  <c r="C18" i="5"/>
  <c r="E18" i="5"/>
  <c r="D18" i="5"/>
  <c r="F18" i="5"/>
  <c r="B19" i="12"/>
  <c r="E18" i="6" l="1"/>
  <c r="D18" i="6"/>
  <c r="C18" i="6"/>
  <c r="E19" i="5"/>
  <c r="D19" i="5"/>
  <c r="C19" i="5"/>
  <c r="F19" i="5"/>
  <c r="B20" i="12"/>
  <c r="B31" i="5"/>
  <c r="E19" i="6" l="1"/>
  <c r="C19" i="6"/>
  <c r="D19" i="6"/>
  <c r="D20" i="5"/>
  <c r="E20" i="5"/>
  <c r="C20" i="5"/>
  <c r="F20" i="5"/>
  <c r="B31" i="12"/>
  <c r="B21" i="12"/>
  <c r="E20" i="6" l="1"/>
  <c r="C20" i="6"/>
  <c r="D20" i="6"/>
  <c r="D21" i="5"/>
  <c r="C21" i="5"/>
  <c r="E21" i="5"/>
  <c r="F21" i="5"/>
  <c r="B22" i="12"/>
  <c r="C21" i="6" l="1"/>
  <c r="E21" i="6"/>
  <c r="D21" i="6"/>
  <c r="C22" i="5"/>
  <c r="E22" i="5"/>
  <c r="D22" i="5"/>
  <c r="F22" i="5"/>
  <c r="B23" i="12"/>
  <c r="C22" i="6" l="1"/>
  <c r="E22" i="6"/>
  <c r="D22" i="6"/>
  <c r="E23" i="5"/>
  <c r="C23" i="5"/>
  <c r="D23" i="5"/>
  <c r="F23" i="5"/>
  <c r="B24" i="12"/>
  <c r="H27" i="12" s="1"/>
  <c r="E23" i="6" l="1"/>
  <c r="C23" i="6"/>
  <c r="D23" i="6"/>
  <c r="D24" i="5"/>
  <c r="C27" i="12"/>
  <c r="E24" i="5"/>
  <c r="F24" i="5"/>
  <c r="B27" i="12"/>
  <c r="D24" i="6" l="1"/>
  <c r="E24" i="6"/>
  <c r="C24" i="5"/>
  <c r="C27" i="5" s="1"/>
  <c r="D27" i="5"/>
  <c r="E27" i="5"/>
  <c r="B26" i="5"/>
  <c r="C27" i="6" l="1"/>
  <c r="D27" i="6"/>
  <c r="C24" i="6"/>
  <c r="B31" i="6"/>
  <c r="B32" i="6"/>
  <c r="B29" i="6"/>
  <c r="D8" i="5" l="1"/>
  <c r="D7" i="5"/>
  <c r="B36" i="6" l="1"/>
  <c r="B26" i="6" l="1"/>
  <c r="B10" i="6" l="1"/>
  <c r="B11" i="5"/>
  <c r="B3" i="6"/>
  <c r="B1" i="6"/>
  <c r="B11" i="6" l="1"/>
  <c r="B12" i="5"/>
  <c r="B13" i="5" l="1"/>
  <c r="B12" i="6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7" i="6" l="1"/>
  <c r="B14" i="5"/>
  <c r="B4" i="12"/>
  <c r="B4" i="6"/>
  <c r="B4" i="5"/>
  <c r="B15" i="5" l="1"/>
  <c r="B16" i="5" l="1"/>
  <c r="B17" i="5" l="1"/>
  <c r="B18" i="5" l="1"/>
  <c r="B19" i="5" l="1"/>
  <c r="B20" i="5" l="1"/>
  <c r="B21" i="5" l="1"/>
  <c r="B22" i="5" l="1"/>
  <c r="B23" i="5" l="1"/>
  <c r="B24" i="5" l="1"/>
  <c r="B27" i="5" s="1"/>
  <c r="B30" i="5" l="1"/>
  <c r="B30" i="6" l="1"/>
  <c r="B30" i="12"/>
  <c r="E27" i="12" l="1"/>
  <c r="D27" i="12" l="1"/>
  <c r="F27" i="12" l="1"/>
  <c r="F27" i="5" l="1"/>
  <c r="E27" i="6" s="1"/>
  <c r="I22" i="10" l="1"/>
  <c r="H22" i="5" s="1"/>
  <c r="I20" i="10"/>
  <c r="H20" i="5" s="1"/>
  <c r="I21" i="10" l="1"/>
  <c r="H21" i="5" s="1"/>
  <c r="I24" i="10"/>
  <c r="H24" i="5" s="1"/>
  <c r="I23" i="10"/>
  <c r="H23" i="5" s="1"/>
  <c r="I18" i="10" l="1"/>
  <c r="H18" i="5" s="1"/>
  <c r="I19" i="10"/>
  <c r="H19" i="5" s="1"/>
  <c r="I17" i="10"/>
  <c r="H17" i="5" s="1"/>
  <c r="I14" i="10"/>
  <c r="H14" i="5" s="1"/>
  <c r="I16" i="10"/>
  <c r="H16" i="5" s="1"/>
  <c r="I15" i="10"/>
  <c r="H15" i="5" s="1"/>
  <c r="I13" i="10" l="1"/>
  <c r="H13" i="5" s="1"/>
  <c r="I11" i="10" l="1"/>
  <c r="H11" i="5" s="1"/>
  <c r="I12" i="10" l="1"/>
  <c r="H12" i="5" s="1"/>
  <c r="G19" i="5" l="1"/>
  <c r="G20" i="5"/>
  <c r="G23" i="5"/>
  <c r="G24" i="5"/>
  <c r="G24" i="6" s="1"/>
  <c r="G21" i="5"/>
  <c r="G22" i="5"/>
  <c r="G13" i="5"/>
  <c r="G11" i="5"/>
  <c r="G12" i="5"/>
  <c r="G21" i="6" l="1"/>
  <c r="F21" i="6" s="1"/>
  <c r="H21" i="6" s="1"/>
  <c r="G13" i="6"/>
  <c r="F13" i="6" s="1"/>
  <c r="H13" i="6" s="1"/>
  <c r="G23" i="6"/>
  <c r="F23" i="6" s="1"/>
  <c r="H23" i="6" s="1"/>
  <c r="G22" i="6"/>
  <c r="F22" i="6" s="1"/>
  <c r="H22" i="6" s="1"/>
  <c r="F20" i="6"/>
  <c r="H20" i="6" s="1"/>
  <c r="G20" i="6"/>
  <c r="G19" i="6"/>
  <c r="F19" i="6" s="1"/>
  <c r="H19" i="6" s="1"/>
  <c r="G11" i="6"/>
  <c r="F11" i="6" s="1"/>
  <c r="H11" i="6" s="1"/>
  <c r="G12" i="6"/>
  <c r="F12" i="6" s="1"/>
  <c r="H12" i="6" s="1"/>
  <c r="G15" i="5"/>
  <c r="G18" i="5"/>
  <c r="G14" i="5"/>
  <c r="G17" i="5"/>
  <c r="G16" i="5"/>
  <c r="G17" i="6" l="1"/>
  <c r="F17" i="6" s="1"/>
  <c r="H17" i="6" s="1"/>
  <c r="G14" i="6"/>
  <c r="F14" i="6" s="1"/>
  <c r="H14" i="6" s="1"/>
  <c r="F18" i="6"/>
  <c r="H18" i="6" s="1"/>
  <c r="G18" i="6"/>
  <c r="G16" i="6"/>
  <c r="F16" i="6" s="1"/>
  <c r="H16" i="6" s="1"/>
  <c r="F15" i="6"/>
  <c r="H15" i="6" s="1"/>
  <c r="G15" i="6"/>
  <c r="E27" i="10"/>
  <c r="I10" i="10"/>
  <c r="H10" i="5" s="1"/>
  <c r="H27" i="5" l="1"/>
  <c r="I27" i="10"/>
  <c r="G27" i="12"/>
  <c r="G10" i="5" l="1"/>
  <c r="G10" i="6" l="1"/>
  <c r="F10" i="6" s="1"/>
  <c r="H10" i="6" s="1"/>
  <c r="G27" i="5"/>
  <c r="G27" i="6" s="1"/>
  <c r="F24" i="6" l="1"/>
  <c r="H24" i="6" s="1"/>
  <c r="F27" i="6"/>
  <c r="H27" i="6" s="1"/>
</calcChain>
</file>

<file path=xl/sharedStrings.xml><?xml version="1.0" encoding="utf-8"?>
<sst xmlns="http://schemas.openxmlformats.org/spreadsheetml/2006/main" count="45" uniqueCount="37">
  <si>
    <t>Year</t>
  </si>
  <si>
    <t>Utah Quarterly Compliance Filing</t>
  </si>
  <si>
    <t>$/kW-Year</t>
  </si>
  <si>
    <t xml:space="preserve">(1)   Capacity costs are allocated assuming an 85% capacity factor. </t>
  </si>
  <si>
    <t>Appendix C</t>
  </si>
  <si>
    <t>Total</t>
  </si>
  <si>
    <t>GRID Calculated Energy Avoided Cost Prices $/MWH (1)</t>
  </si>
  <si>
    <t>As Filed</t>
  </si>
  <si>
    <t>$/MWH  (1)</t>
  </si>
  <si>
    <t>Capacity Avoided Cost Prices</t>
  </si>
  <si>
    <t xml:space="preserve">(4)   Capacity costs are allocated assuming an 85% capacity factor. </t>
  </si>
  <si>
    <t>Total Avoided Cost Prices $/MWH (1) (4)</t>
  </si>
  <si>
    <t>Avoided Cost Impact of Changing Assumptions $/MWH (1) (4)</t>
  </si>
  <si>
    <t>OFPC Date</t>
  </si>
  <si>
    <t>Update</t>
  </si>
  <si>
    <t>Generic</t>
  </si>
  <si>
    <t>Discount Rate - 2015 IRP Page 141</t>
  </si>
  <si>
    <t>Impact</t>
  </si>
  <si>
    <t>QF</t>
  </si>
  <si>
    <t>Queue</t>
  </si>
  <si>
    <t>(1)   Studies are sequential.  The order of the studies would affect the price impact.</t>
  </si>
  <si>
    <t>(4)  15-Year Nominal Levelized Payment (2018-2032)</t>
  </si>
  <si>
    <t>(x)   Escalated by 2.2% from prior year</t>
  </si>
  <si>
    <t>2016.Q3</t>
  </si>
  <si>
    <t>OFPC</t>
  </si>
  <si>
    <t>2016.Q4</t>
  </si>
  <si>
    <t>1612 OFPC (4)</t>
  </si>
  <si>
    <t>1612</t>
  </si>
  <si>
    <t>Load</t>
  </si>
  <si>
    <t>Forecast</t>
  </si>
  <si>
    <t>Trapped</t>
  </si>
  <si>
    <t>Energy</t>
  </si>
  <si>
    <t>(2)   Discount Rate - 2015 IRP Page 141</t>
  </si>
  <si>
    <t>2016.Q3 (3)</t>
  </si>
  <si>
    <t>(3)  Capacity costs reflect - 2028 - West M - 477 MW - CCCT Dry "J", Adv 1x1 - West Side Resource (1,500') ( 9.3%)</t>
  </si>
  <si>
    <t xml:space="preserve">          2030 - WYNE  DJohns - 665 MW - CCCT Dry "JF, 2x1 - East Side Resource (5,050')   ( 90.7%)</t>
  </si>
  <si>
    <t>(4)  Capacity costs reflect - 2028 - West M - 477 MW - CCCT Dry "J", Adv 1x1 - West Side Resource (1,500') ( 9.3%)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</si>
</sst>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  <numFmt numFmtId="165" formatCode="_(* #,##0_);[Red]_(* \(#,##0\);_(* &quot;-&quot;_);_(@_)"/>
    <numFmt numFmtId="166" formatCode="_(&quot;$&quot;\ #,##0.00_);[Red]_(&quot;$&quot;\ \(#,##0.00\);_(\ &quot;-&quot;?_);_(@_)"/>
    <numFmt numFmtId="167" formatCode="0.000%"/>
    <numFmt numFmtId="168" formatCode="_(* #,##0.000_);[Red]_(* \(#,##0.000\);_(* &quot;-&quot;_);_(@_)"/>
    <numFmt numFmtId="169" formatCode="&quot;$&quot;###0;[Red]\(&quot;$&quot;###0\)"/>
    <numFmt numFmtId="170" formatCode="0.0"/>
    <numFmt numFmtId="171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8"/>
      <color indexed="18"/>
      <name val="Helv"/>
    </font>
    <font>
      <sz val="10"/>
      <color indexed="12"/>
      <name val="Arial"/>
      <family val="2"/>
    </font>
    <font>
      <sz val="10"/>
      <name val="Times New Roman"/>
      <family val="1"/>
    </font>
    <font>
      <sz val="8"/>
      <name val="Helv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165" fontId="0" fillId="0" borderId="0"/>
    <xf numFmtId="0" fontId="5" fillId="0" borderId="0" applyNumberFormat="0" applyFill="0" applyBorder="0" applyAlignment="0">
      <protection locked="0"/>
    </xf>
    <xf numFmtId="0" fontId="1" fillId="0" borderId="0"/>
    <xf numFmtId="9" fontId="1" fillId="0" borderId="0" applyFont="0" applyFill="0" applyBorder="0" applyAlignment="0" applyProtection="0"/>
    <xf numFmtId="165" fontId="1" fillId="0" borderId="0"/>
    <xf numFmtId="165" fontId="7" fillId="0" borderId="0"/>
    <xf numFmtId="165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8" fillId="0" borderId="0" applyFont="0" applyFill="0" applyBorder="0" applyProtection="0">
      <alignment horizontal="right"/>
    </xf>
    <xf numFmtId="170" fontId="9" fillId="0" borderId="0" applyNumberFormat="0" applyFill="0" applyBorder="0" applyAlignment="0" applyProtection="0"/>
    <xf numFmtId="0" fontId="2" fillId="0" borderId="6" applyNumberFormat="0" applyBorder="0" applyAlignment="0"/>
    <xf numFmtId="171" fontId="1" fillId="0" borderId="0"/>
    <xf numFmtId="12" fontId="3" fillId="3" borderId="7">
      <alignment horizontal="left"/>
    </xf>
    <xf numFmtId="37" fontId="2" fillId="4" borderId="0" applyNumberFormat="0" applyBorder="0" applyAlignment="0" applyProtection="0"/>
    <xf numFmtId="37" fontId="2" fillId="0" borderId="0"/>
    <xf numFmtId="3" fontId="10" fillId="5" borderId="8" applyProtection="0"/>
    <xf numFmtId="43" fontId="11" fillId="0" borderId="0" applyFont="0" applyFill="0" applyBorder="0" applyAlignment="0" applyProtection="0"/>
  </cellStyleXfs>
  <cellXfs count="68">
    <xf numFmtId="165" fontId="0" fillId="0" borderId="0" xfId="0"/>
    <xf numFmtId="165" fontId="4" fillId="0" borderId="0" xfId="0" applyFont="1"/>
    <xf numFmtId="165" fontId="3" fillId="0" borderId="1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165" fontId="4" fillId="0" borderId="0" xfId="0" applyFont="1" applyFill="1"/>
    <xf numFmtId="1" fontId="1" fillId="0" borderId="0" xfId="2" applyNumberFormat="1" applyFill="1" applyAlignment="1" applyProtection="1">
      <alignment horizontal="center"/>
      <protection locked="0"/>
    </xf>
    <xf numFmtId="165" fontId="3" fillId="0" borderId="0" xfId="0" applyFont="1" applyAlignment="1">
      <alignment horizontal="centerContinuous"/>
    </xf>
    <xf numFmtId="165" fontId="3" fillId="0" borderId="4" xfId="0" applyFont="1" applyBorder="1" applyAlignment="1">
      <alignment horizontal="center"/>
    </xf>
    <xf numFmtId="165" fontId="4" fillId="0" borderId="0" xfId="0" quotePrefix="1" applyFont="1"/>
    <xf numFmtId="165" fontId="4" fillId="0" borderId="0" xfId="0" applyFont="1" applyAlignment="1">
      <alignment horizontal="center"/>
    </xf>
    <xf numFmtId="164" fontId="4" fillId="0" borderId="0" xfId="0" applyNumberFormat="1" applyFont="1"/>
    <xf numFmtId="165" fontId="3" fillId="0" borderId="5" xfId="0" applyFont="1" applyFill="1" applyBorder="1" applyAlignment="1">
      <alignment horizontal="center"/>
    </xf>
    <xf numFmtId="165" fontId="3" fillId="0" borderId="1" xfId="0" applyFont="1" applyFill="1" applyBorder="1" applyAlignment="1">
      <alignment horizontal="center"/>
    </xf>
    <xf numFmtId="165" fontId="4" fillId="0" borderId="0" xfId="0" applyFont="1" applyFill="1" applyAlignment="1"/>
    <xf numFmtId="165" fontId="3" fillId="0" borderId="3" xfId="0" applyFont="1" applyFill="1" applyBorder="1"/>
    <xf numFmtId="165" fontId="3" fillId="0" borderId="4" xfId="0" applyFont="1" applyFill="1" applyBorder="1" applyAlignment="1">
      <alignment horizontal="center"/>
    </xf>
    <xf numFmtId="8" fontId="4" fillId="0" borderId="0" xfId="0" applyNumberFormat="1" applyFont="1" applyFill="1" applyBorder="1" applyAlignment="1">
      <alignment horizontal="center"/>
    </xf>
    <xf numFmtId="8" fontId="4" fillId="0" borderId="0" xfId="0" applyNumberFormat="1" applyFont="1"/>
    <xf numFmtId="8" fontId="4" fillId="0" borderId="2" xfId="0" applyNumberFormat="1" applyFont="1" applyFill="1" applyBorder="1" applyAlignment="1">
      <alignment horizontal="center"/>
    </xf>
    <xf numFmtId="165" fontId="3" fillId="0" borderId="0" xfId="0" applyFont="1" applyFill="1" applyBorder="1" applyAlignment="1">
      <alignment horizontal="centerContinuous"/>
    </xf>
    <xf numFmtId="165" fontId="3" fillId="0" borderId="0" xfId="0" applyFont="1" applyFill="1" applyBorder="1" applyAlignment="1">
      <alignment horizontal="center"/>
    </xf>
    <xf numFmtId="165" fontId="4" fillId="0" borderId="0" xfId="0" applyFont="1" applyFill="1" applyBorder="1"/>
    <xf numFmtId="168" fontId="4" fillId="0" borderId="0" xfId="0" applyNumberFormat="1" applyFont="1"/>
    <xf numFmtId="167" fontId="4" fillId="0" borderId="0" xfId="0" applyNumberFormat="1" applyFont="1"/>
    <xf numFmtId="165" fontId="4" fillId="0" borderId="0" xfId="0" applyFont="1" applyAlignment="1"/>
    <xf numFmtId="14" fontId="6" fillId="2" borderId="2" xfId="0" applyNumberFormat="1" applyFont="1" applyFill="1" applyBorder="1" applyAlignment="1">
      <alignment horizontal="center"/>
    </xf>
    <xf numFmtId="165" fontId="3" fillId="0" borderId="0" xfId="4" applyFont="1" applyAlignment="1">
      <alignment horizontal="centerContinuous"/>
    </xf>
    <xf numFmtId="165" fontId="4" fillId="0" borderId="0" xfId="4" applyFont="1" applyAlignment="1">
      <alignment horizontal="centerContinuous"/>
    </xf>
    <xf numFmtId="165" fontId="4" fillId="0" borderId="0" xfId="4" applyFont="1"/>
    <xf numFmtId="165" fontId="3" fillId="0" borderId="3" xfId="4" applyFont="1" applyBorder="1"/>
    <xf numFmtId="165" fontId="3" fillId="0" borderId="3" xfId="4" applyFont="1" applyBorder="1" applyAlignment="1">
      <alignment horizontal="centerContinuous"/>
    </xf>
    <xf numFmtId="165" fontId="3" fillId="0" borderId="4" xfId="4" applyFont="1" applyBorder="1" applyAlignment="1">
      <alignment horizontal="center"/>
    </xf>
    <xf numFmtId="165" fontId="3" fillId="0" borderId="2" xfId="4" applyFont="1" applyBorder="1" applyAlignment="1">
      <alignment horizontal="center"/>
    </xf>
    <xf numFmtId="0" fontId="3" fillId="0" borderId="0" xfId="4" applyNumberFormat="1" applyFont="1" applyAlignment="1">
      <alignment horizontal="center"/>
    </xf>
    <xf numFmtId="166" fontId="4" fillId="0" borderId="0" xfId="4" applyNumberFormat="1" applyFont="1" applyFill="1" applyBorder="1" applyAlignment="1">
      <alignment horizontal="center"/>
    </xf>
    <xf numFmtId="7" fontId="4" fillId="0" borderId="0" xfId="4" applyNumberFormat="1" applyFont="1" applyFill="1" applyBorder="1" applyAlignment="1">
      <alignment horizontal="center"/>
    </xf>
    <xf numFmtId="165" fontId="4" fillId="0" borderId="0" xfId="4" applyFont="1" applyFill="1"/>
    <xf numFmtId="165" fontId="4" fillId="0" borderId="0" xfId="4" quotePrefix="1" applyFont="1"/>
    <xf numFmtId="7" fontId="4" fillId="0" borderId="2" xfId="4" applyNumberFormat="1" applyFont="1" applyFill="1" applyBorder="1" applyAlignment="1">
      <alignment horizontal="center"/>
    </xf>
    <xf numFmtId="167" fontId="4" fillId="0" borderId="0" xfId="4" applyNumberFormat="1" applyFont="1" applyAlignment="1">
      <alignment horizontal="center"/>
    </xf>
    <xf numFmtId="167" fontId="4" fillId="0" borderId="0" xfId="3" applyNumberFormat="1" applyFont="1"/>
    <xf numFmtId="167" fontId="4" fillId="0" borderId="0" xfId="4" applyNumberFormat="1" applyFont="1"/>
    <xf numFmtId="8" fontId="4" fillId="0" borderId="2" xfId="4" applyNumberFormat="1" applyFont="1" applyFill="1" applyBorder="1" applyAlignment="1">
      <alignment horizontal="center"/>
    </xf>
    <xf numFmtId="8" fontId="4" fillId="0" borderId="0" xfId="4" applyNumberFormat="1" applyFont="1"/>
    <xf numFmtId="8" fontId="4" fillId="0" borderId="0" xfId="4" applyNumberFormat="1" applyFont="1" applyFill="1" applyBorder="1" applyAlignment="1">
      <alignment horizontal="center"/>
    </xf>
    <xf numFmtId="165" fontId="3" fillId="0" borderId="1" xfId="4" applyFont="1" applyBorder="1" applyAlignment="1">
      <alignment horizontal="center"/>
    </xf>
    <xf numFmtId="165" fontId="3" fillId="0" borderId="5" xfId="4" applyFont="1" applyBorder="1" applyAlignment="1">
      <alignment horizontal="center"/>
    </xf>
    <xf numFmtId="165" fontId="3" fillId="0" borderId="5" xfId="4" applyFont="1" applyBorder="1" applyAlignment="1">
      <alignment horizontal="centerContinuous"/>
    </xf>
    <xf numFmtId="165" fontId="3" fillId="0" borderId="3" xfId="0" applyFont="1" applyBorder="1"/>
    <xf numFmtId="165" fontId="3" fillId="0" borderId="5" xfId="0" applyFont="1" applyBorder="1" applyAlignment="1">
      <alignment horizontal="center"/>
    </xf>
    <xf numFmtId="8" fontId="4" fillId="0" borderId="0" xfId="17" applyNumberFormat="1" applyFont="1"/>
    <xf numFmtId="165" fontId="3" fillId="0" borderId="1" xfId="4" quotePrefix="1" applyFont="1" applyBorder="1" applyAlignment="1">
      <alignment horizontal="center"/>
    </xf>
    <xf numFmtId="165" fontId="3" fillId="0" borderId="5" xfId="4" quotePrefix="1" applyFont="1" applyBorder="1" applyAlignment="1">
      <alignment horizontal="center"/>
    </xf>
    <xf numFmtId="165" fontId="3" fillId="0" borderId="0" xfId="4" quotePrefix="1" applyFont="1" applyAlignment="1">
      <alignment horizontal="centerContinuous"/>
    </xf>
    <xf numFmtId="166" fontId="4" fillId="0" borderId="0" xfId="0" applyNumberFormat="1" applyFont="1" applyAlignment="1">
      <alignment horizontal="center"/>
    </xf>
    <xf numFmtId="166" fontId="4" fillId="0" borderId="0" xfId="0" applyNumberFormat="1" applyFont="1"/>
    <xf numFmtId="166" fontId="4" fillId="0" borderId="0" xfId="0" applyNumberFormat="1" applyFont="1" applyFill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165" fontId="3" fillId="0" borderId="2" xfId="4" applyFont="1" applyBorder="1" applyAlignment="1">
      <alignment horizontal="center" wrapText="1"/>
    </xf>
    <xf numFmtId="166" fontId="4" fillId="0" borderId="0" xfId="0" quotePrefix="1" applyNumberFormat="1" applyFont="1" applyAlignment="1">
      <alignment horizontal="center"/>
    </xf>
    <xf numFmtId="43" fontId="4" fillId="0" borderId="0" xfId="17" applyFont="1"/>
    <xf numFmtId="165" fontId="3" fillId="0" borderId="5" xfId="0" quotePrefix="1" applyFont="1" applyFill="1" applyBorder="1" applyAlignment="1">
      <alignment horizontal="center"/>
    </xf>
    <xf numFmtId="165" fontId="3" fillId="0" borderId="9" xfId="4" applyFont="1" applyBorder="1" applyAlignment="1">
      <alignment horizontal="centerContinuous"/>
    </xf>
    <xf numFmtId="0" fontId="4" fillId="0" borderId="2" xfId="4" applyNumberFormat="1" applyFont="1" applyBorder="1" applyAlignment="1">
      <alignment horizontal="center"/>
    </xf>
    <xf numFmtId="165" fontId="3" fillId="0" borderId="2" xfId="4" quotePrefix="1" applyFont="1" applyBorder="1" applyAlignment="1">
      <alignment horizontal="center" wrapText="1"/>
    </xf>
    <xf numFmtId="165" fontId="4" fillId="0" borderId="0" xfId="4" applyFont="1" applyAlignment="1"/>
    <xf numFmtId="165" fontId="0" fillId="0" borderId="0" xfId="0" applyAlignment="1"/>
    <xf numFmtId="165" fontId="3" fillId="0" borderId="0" xfId="4" applyFont="1" applyBorder="1" applyAlignment="1">
      <alignment horizontal="centerContinuous"/>
    </xf>
  </cellXfs>
  <cellStyles count="18">
    <cellStyle name="Comma" xfId="17" builtinId="3"/>
    <cellStyle name="Comma 2" xfId="7"/>
    <cellStyle name="Currency 2" xfId="8"/>
    <cellStyle name="Currency No Comma" xfId="9"/>
    <cellStyle name="Input" xfId="1" builtinId="20" customBuiltin="1"/>
    <cellStyle name="MCP" xfId="10"/>
    <cellStyle name="noninput" xfId="11"/>
    <cellStyle name="Normal" xfId="0" builtinId="0" customBuiltin="1"/>
    <cellStyle name="Normal 2" xfId="4"/>
    <cellStyle name="Normal 2 2" xfId="6"/>
    <cellStyle name="Normal 3" xfId="12"/>
    <cellStyle name="Normal 5" xfId="5"/>
    <cellStyle name="Normal_T-INF-10-15-04-TEMPLATE" xfId="2"/>
    <cellStyle name="Password" xfId="13"/>
    <cellStyle name="Percent" xfId="3" builtinId="5"/>
    <cellStyle name="Unprot" xfId="14"/>
    <cellStyle name="Unprot$" xfId="15"/>
    <cellStyle name="Unprotect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voided%20Cost%20-%202017\45%20-%20UT%20Compliance%20Filing%202016.Q4%20-%202017%20Feb\Sent%20Out_20170318%20(Filing%20Date)\4_Appendix%20B%20-%20UT%202016.Q4%20-%20AC%20Study%20NON-CON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</sheetNames>
    <sheetDataSet>
      <sheetData sheetId="0"/>
      <sheetData sheetId="1">
        <row r="13">
          <cell r="B13">
            <v>2018</v>
          </cell>
          <cell r="C13">
            <v>0</v>
          </cell>
        </row>
        <row r="14">
          <cell r="B14">
            <v>2019</v>
          </cell>
          <cell r="C14">
            <v>0</v>
          </cell>
        </row>
        <row r="15">
          <cell r="B15">
            <v>2020</v>
          </cell>
          <cell r="C15">
            <v>0</v>
          </cell>
        </row>
        <row r="16">
          <cell r="B16">
            <v>2021</v>
          </cell>
          <cell r="C16">
            <v>0</v>
          </cell>
        </row>
        <row r="17">
          <cell r="B17">
            <v>2022</v>
          </cell>
          <cell r="C17">
            <v>0</v>
          </cell>
        </row>
        <row r="18">
          <cell r="B18">
            <v>2023</v>
          </cell>
          <cell r="C18">
            <v>0</v>
          </cell>
        </row>
        <row r="19">
          <cell r="B19">
            <v>2024</v>
          </cell>
          <cell r="C19">
            <v>0</v>
          </cell>
        </row>
        <row r="20">
          <cell r="B20">
            <v>2025</v>
          </cell>
          <cell r="C20">
            <v>0</v>
          </cell>
        </row>
        <row r="21">
          <cell r="B21">
            <v>2026</v>
          </cell>
          <cell r="C21">
            <v>0</v>
          </cell>
        </row>
        <row r="22">
          <cell r="B22">
            <v>2027</v>
          </cell>
          <cell r="C22">
            <v>0</v>
          </cell>
        </row>
        <row r="23">
          <cell r="B23">
            <v>2028</v>
          </cell>
          <cell r="C23">
            <v>0</v>
          </cell>
        </row>
        <row r="24">
          <cell r="B24">
            <v>2029</v>
          </cell>
          <cell r="C24">
            <v>0</v>
          </cell>
        </row>
        <row r="25">
          <cell r="B25">
            <v>2030</v>
          </cell>
          <cell r="C25">
            <v>146.88</v>
          </cell>
        </row>
        <row r="26">
          <cell r="B26">
            <v>2031</v>
          </cell>
          <cell r="C26">
            <v>150.27000000000001</v>
          </cell>
        </row>
        <row r="27">
          <cell r="B27">
            <v>2032</v>
          </cell>
          <cell r="C27">
            <v>153.72</v>
          </cell>
        </row>
        <row r="28">
          <cell r="B28">
            <v>2033</v>
          </cell>
          <cell r="C28">
            <v>0</v>
          </cell>
        </row>
        <row r="29">
          <cell r="B29">
            <v>2034</v>
          </cell>
          <cell r="C29">
            <v>0</v>
          </cell>
        </row>
        <row r="30">
          <cell r="B30">
            <v>2035</v>
          </cell>
          <cell r="C30">
            <v>0</v>
          </cell>
        </row>
        <row r="31">
          <cell r="B31">
            <v>2036</v>
          </cell>
          <cell r="C31">
            <v>0</v>
          </cell>
        </row>
        <row r="32">
          <cell r="B32">
            <v>2037</v>
          </cell>
          <cell r="C32">
            <v>0</v>
          </cell>
        </row>
        <row r="33">
          <cell r="B33">
            <v>2038</v>
          </cell>
          <cell r="C33">
            <v>0</v>
          </cell>
        </row>
        <row r="45">
          <cell r="B45" t="str">
            <v xml:space="preserve">       2030 - Utah - 635 MW - CCCT Dry "F" 2x1 - East Side Resource (5,050')   ( 100.0%)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2"/>
    <pageSetUpPr fitToPage="1"/>
  </sheetPr>
  <dimension ref="B1:K36"/>
  <sheetViews>
    <sheetView showGridLines="0" tabSelected="1" view="pageBreakPreview" zoomScale="60" zoomScaleNormal="70" workbookViewId="0">
      <pane xSplit="2" ySplit="9" topLeftCell="C10" activePane="bottomRight" state="frozen"/>
      <selection activeCell="E39" sqref="E39"/>
      <selection pane="topRight" activeCell="E39" sqref="E39"/>
      <selection pane="bottomLeft" activeCell="E39" sqref="E39"/>
      <selection pane="bottomRight" activeCell="C8" sqref="C8"/>
    </sheetView>
  </sheetViews>
  <sheetFormatPr defaultRowHeight="15" x14ac:dyDescent="0.2"/>
  <cols>
    <col min="1" max="1" width="1.85546875" style="1" customWidth="1"/>
    <col min="2" max="2" width="13.7109375" style="1" customWidth="1"/>
    <col min="3" max="6" width="17.7109375" style="1" customWidth="1"/>
    <col min="7" max="7" width="15.7109375" style="1" customWidth="1"/>
    <col min="8" max="8" width="17.7109375" style="1" customWidth="1"/>
    <col min="9" max="9" width="2.28515625" style="1" customWidth="1"/>
    <col min="10" max="10" width="9.140625" style="1"/>
    <col min="11" max="11" width="10.85546875" style="1" bestFit="1" customWidth="1"/>
    <col min="12" max="16384" width="9.140625" style="1"/>
  </cols>
  <sheetData>
    <row r="1" spans="2:11" ht="15.75" x14ac:dyDescent="0.25">
      <c r="B1" s="6" t="str">
        <f>Total!B1</f>
        <v>Appendix C</v>
      </c>
      <c r="C1" s="6"/>
      <c r="D1" s="6"/>
      <c r="E1" s="6"/>
      <c r="F1" s="6"/>
      <c r="G1" s="6"/>
      <c r="H1" s="6"/>
    </row>
    <row r="2" spans="2:11" ht="8.25" customHeight="1" x14ac:dyDescent="0.25">
      <c r="B2" s="6"/>
      <c r="C2" s="6"/>
      <c r="D2" s="6"/>
      <c r="E2" s="6"/>
      <c r="F2" s="6"/>
      <c r="G2" s="6"/>
      <c r="H2" s="6"/>
    </row>
    <row r="3" spans="2:11" ht="15.75" x14ac:dyDescent="0.25">
      <c r="B3" s="6" t="str">
        <f>Total!B3</f>
        <v>Utah Quarterly Compliance Filing</v>
      </c>
      <c r="C3" s="6"/>
      <c r="D3" s="6"/>
      <c r="E3" s="6"/>
      <c r="F3" s="6"/>
      <c r="G3" s="6"/>
      <c r="H3" s="6"/>
    </row>
    <row r="4" spans="2:11" ht="15.75" x14ac:dyDescent="0.25">
      <c r="B4" s="6" t="str">
        <f>Capacity!$B$4</f>
        <v>Step Study between 2016.Q4 and 2016.Q3 Compliance Filing</v>
      </c>
      <c r="C4" s="6"/>
      <c r="D4" s="6"/>
      <c r="E4" s="6"/>
      <c r="F4" s="6"/>
      <c r="G4" s="6"/>
      <c r="H4" s="6"/>
    </row>
    <row r="5" spans="2:11" ht="15.75" x14ac:dyDescent="0.25">
      <c r="B5" s="6" t="s">
        <v>12</v>
      </c>
      <c r="C5" s="6"/>
      <c r="D5" s="6"/>
      <c r="E5" s="6"/>
      <c r="F5" s="6"/>
      <c r="G5" s="6"/>
      <c r="H5" s="6"/>
    </row>
    <row r="6" spans="2:11" x14ac:dyDescent="0.2">
      <c r="C6" s="9"/>
      <c r="D6" s="9"/>
      <c r="E6" s="9"/>
      <c r="F6" s="9"/>
      <c r="G6" s="9"/>
      <c r="H6" s="9"/>
    </row>
    <row r="7" spans="2:11" s="4" customFormat="1" ht="15.75" x14ac:dyDescent="0.25">
      <c r="B7" s="14"/>
      <c r="C7" s="11" t="str">
        <f>Energy!D7</f>
        <v>1612</v>
      </c>
      <c r="D7" s="11" t="str">
        <f>Energy!E7</f>
        <v>Generic</v>
      </c>
      <c r="E7" s="11" t="str">
        <f>Energy!F7</f>
        <v>Load</v>
      </c>
      <c r="F7" s="11" t="str">
        <f>Energy!G7</f>
        <v>QF</v>
      </c>
      <c r="G7" s="11" t="str">
        <f>Energy!H7</f>
        <v>Trapped</v>
      </c>
      <c r="H7" s="11" t="s">
        <v>5</v>
      </c>
      <c r="I7" s="1"/>
    </row>
    <row r="8" spans="2:11" s="4" customFormat="1" ht="15.75" x14ac:dyDescent="0.25">
      <c r="B8" s="15" t="s">
        <v>0</v>
      </c>
      <c r="C8" s="12" t="str">
        <f>Energy!D8&amp;" (2)"</f>
        <v>OFPC (2)</v>
      </c>
      <c r="D8" s="12" t="str">
        <f>Energy!E8</f>
        <v>Update</v>
      </c>
      <c r="E8" s="12" t="str">
        <f>Energy!F8</f>
        <v>Forecast</v>
      </c>
      <c r="F8" s="12" t="str">
        <f>Energy!G8</f>
        <v>Queue</v>
      </c>
      <c r="G8" s="12" t="str">
        <f>Energy!H8</f>
        <v>Energy</v>
      </c>
      <c r="H8" s="12" t="s">
        <v>17</v>
      </c>
      <c r="I8" s="1"/>
    </row>
    <row r="9" spans="2:11" ht="4.5" customHeight="1" x14ac:dyDescent="0.2"/>
    <row r="10" spans="2:11" ht="15.75" x14ac:dyDescent="0.25">
      <c r="B10" s="3">
        <f>Total!B10</f>
        <v>2018</v>
      </c>
      <c r="C10" s="54">
        <f>ROUND(Total!D10-Total!C10,3)</f>
        <v>0.38300000000000001</v>
      </c>
      <c r="D10" s="54">
        <f>ROUND(Total!E10-Total!D10,3)</f>
        <v>1.349</v>
      </c>
      <c r="E10" s="54">
        <f>ROUND(Total!F10-Total!E10,3)</f>
        <v>-1.6E-2</v>
      </c>
      <c r="F10" s="54">
        <f>ROUND(Total!G10-Total!F10,3)-G10</f>
        <v>-4.0000000000000001E-3</v>
      </c>
      <c r="G10" s="54">
        <f>ROUND(Total!H10-Total!G10,3)</f>
        <v>-2E-3</v>
      </c>
      <c r="H10" s="54">
        <f t="shared" ref="H10" ca="1" si="0">SUM(OFFSET($C10,0,0,1,COLUMN(H10)-3))</f>
        <v>1.71</v>
      </c>
      <c r="I10" s="55"/>
      <c r="K10" s="22"/>
    </row>
    <row r="11" spans="2:11" ht="15.75" x14ac:dyDescent="0.25">
      <c r="B11" s="3">
        <f t="shared" ref="B11:B24" si="1">B10+1</f>
        <v>2019</v>
      </c>
      <c r="C11" s="54">
        <f>ROUND(Total!D11-Total!C11,3)</f>
        <v>-0.11799999999999999</v>
      </c>
      <c r="D11" s="54">
        <f>ROUND(Total!E11-Total!D11,3)</f>
        <v>-5.8999999999999997E-2</v>
      </c>
      <c r="E11" s="54">
        <f>ROUND(Total!F11-Total!E11,3)</f>
        <v>-6.2E-2</v>
      </c>
      <c r="F11" s="54">
        <f>ROUND(Total!G11-Total!F11,3)-G11</f>
        <v>7.9000000000000001E-2</v>
      </c>
      <c r="G11" s="54">
        <f>ROUND(Total!H11-Total!G11,3)</f>
        <v>0</v>
      </c>
      <c r="H11" s="54">
        <f ca="1">SUM(OFFSET($C11,0,0,1,COLUMN(H11)-3))</f>
        <v>-0.15999999999999998</v>
      </c>
      <c r="I11" s="55"/>
      <c r="K11" s="22"/>
    </row>
    <row r="12" spans="2:11" ht="15.75" x14ac:dyDescent="0.25">
      <c r="B12" s="3">
        <f t="shared" si="1"/>
        <v>2020</v>
      </c>
      <c r="C12" s="54">
        <f>ROUND(Total!D12-Total!C12,3)</f>
        <v>-0.39</v>
      </c>
      <c r="D12" s="54">
        <f>ROUND(Total!E12-Total!D12,3)</f>
        <v>-4.9000000000000002E-2</v>
      </c>
      <c r="E12" s="54">
        <f>ROUND(Total!F12-Total!E12,3)</f>
        <v>0.27300000000000002</v>
      </c>
      <c r="F12" s="54">
        <f>ROUND(Total!G12-Total!F12,3)-G12</f>
        <v>0.57799999999999996</v>
      </c>
      <c r="G12" s="54">
        <f>ROUND(Total!H12-Total!G12,3)</f>
        <v>-0.224</v>
      </c>
      <c r="H12" s="54">
        <f t="shared" ref="H12:H24" ca="1" si="2">SUM(OFFSET($C12,0,0,1,COLUMN(H12)-3))</f>
        <v>0.18799999999999997</v>
      </c>
      <c r="I12" s="55"/>
      <c r="K12" s="22"/>
    </row>
    <row r="13" spans="2:11" ht="15.75" x14ac:dyDescent="0.25">
      <c r="B13" s="3">
        <f t="shared" si="1"/>
        <v>2021</v>
      </c>
      <c r="C13" s="54">
        <f>ROUND(Total!D13-Total!C13,3)</f>
        <v>-0.52900000000000003</v>
      </c>
      <c r="D13" s="54">
        <f>ROUND(Total!E13-Total!D13,3)</f>
        <v>-5.1999999999999998E-2</v>
      </c>
      <c r="E13" s="54">
        <f>ROUND(Total!F13-Total!E13,3)</f>
        <v>-0.124</v>
      </c>
      <c r="F13" s="54">
        <f>ROUND(Total!G13-Total!F13,3)-G13</f>
        <v>0.65900000000000003</v>
      </c>
      <c r="G13" s="54">
        <f>ROUND(Total!H13-Total!G13,3)</f>
        <v>-0.26800000000000002</v>
      </c>
      <c r="H13" s="54">
        <f t="shared" ca="1" si="2"/>
        <v>-0.31400000000000006</v>
      </c>
      <c r="I13" s="55"/>
      <c r="K13" s="22"/>
    </row>
    <row r="14" spans="2:11" ht="15.75" x14ac:dyDescent="0.25">
      <c r="B14" s="3">
        <f t="shared" si="1"/>
        <v>2022</v>
      </c>
      <c r="C14" s="54">
        <f>ROUND(Total!D14-Total!C14,3)</f>
        <v>-0.83199999999999996</v>
      </c>
      <c r="D14" s="54">
        <f>ROUND(Total!E14-Total!D14,3)</f>
        <v>-4.2000000000000003E-2</v>
      </c>
      <c r="E14" s="54">
        <f>ROUND(Total!F14-Total!E14,3)</f>
        <v>4.8000000000000001E-2</v>
      </c>
      <c r="F14" s="54">
        <f>ROUND(Total!G14-Total!F14,3)-G14</f>
        <v>0.47900000000000004</v>
      </c>
      <c r="G14" s="54">
        <f>ROUND(Total!H14-Total!G14,3)</f>
        <v>-0.27900000000000003</v>
      </c>
      <c r="H14" s="54">
        <f t="shared" ca="1" si="2"/>
        <v>-0.62599999999999989</v>
      </c>
      <c r="I14" s="55"/>
      <c r="K14" s="22"/>
    </row>
    <row r="15" spans="2:11" ht="15.75" x14ac:dyDescent="0.25">
      <c r="B15" s="3">
        <f t="shared" si="1"/>
        <v>2023</v>
      </c>
      <c r="C15" s="54">
        <f>ROUND(Total!D15-Total!C15,3)</f>
        <v>-0.85199999999999998</v>
      </c>
      <c r="D15" s="54">
        <f>ROUND(Total!E15-Total!D15,3)</f>
        <v>-8.4000000000000005E-2</v>
      </c>
      <c r="E15" s="54">
        <f>ROUND(Total!F15-Total!E15,3)</f>
        <v>-0.45400000000000001</v>
      </c>
      <c r="F15" s="54">
        <f>ROUND(Total!G15-Total!F15,3)-G15</f>
        <v>0.128</v>
      </c>
      <c r="G15" s="54">
        <f>ROUND(Total!H15-Total!G15,3)</f>
        <v>-9.5000000000000001E-2</v>
      </c>
      <c r="H15" s="54">
        <f t="shared" ca="1" si="2"/>
        <v>-1.357</v>
      </c>
      <c r="I15" s="55"/>
      <c r="K15" s="22"/>
    </row>
    <row r="16" spans="2:11" ht="15.75" x14ac:dyDescent="0.25">
      <c r="B16" s="3">
        <f t="shared" si="1"/>
        <v>2024</v>
      </c>
      <c r="C16" s="54">
        <f>ROUND(Total!D16-Total!C16,3)</f>
        <v>0.61</v>
      </c>
      <c r="D16" s="54">
        <f>ROUND(Total!E16-Total!D16,3)</f>
        <v>-0.17599999999999999</v>
      </c>
      <c r="E16" s="54">
        <f>ROUND(Total!F16-Total!E16,3)</f>
        <v>-0.52700000000000002</v>
      </c>
      <c r="F16" s="54">
        <f>ROUND(Total!G16-Total!F16,3)-G16</f>
        <v>0.15699999999999997</v>
      </c>
      <c r="G16" s="54">
        <f>ROUND(Total!H16-Total!G16,3)</f>
        <v>-0.14099999999999999</v>
      </c>
      <c r="H16" s="54">
        <f t="shared" ca="1" si="2"/>
        <v>-7.7000000000000041E-2</v>
      </c>
      <c r="I16" s="55"/>
      <c r="K16" s="22"/>
    </row>
    <row r="17" spans="2:11" ht="15.75" x14ac:dyDescent="0.25">
      <c r="B17" s="3">
        <f t="shared" si="1"/>
        <v>2025</v>
      </c>
      <c r="C17" s="54">
        <f>ROUND(Total!D17-Total!C17,3)</f>
        <v>1.331</v>
      </c>
      <c r="D17" s="54">
        <f>ROUND(Total!E17-Total!D17,3)</f>
        <v>-1.879</v>
      </c>
      <c r="E17" s="54">
        <f>ROUND(Total!F17-Total!E17,3)</f>
        <v>-0.66</v>
      </c>
      <c r="F17" s="54">
        <f>ROUND(Total!G17-Total!F17,3)-G17</f>
        <v>0.44700000000000001</v>
      </c>
      <c r="G17" s="54">
        <f>ROUND(Total!H17-Total!G17,3)</f>
        <v>-5.6000000000000001E-2</v>
      </c>
      <c r="H17" s="54">
        <f t="shared" ca="1" si="2"/>
        <v>-0.81700000000000017</v>
      </c>
      <c r="I17" s="55"/>
      <c r="K17" s="22"/>
    </row>
    <row r="18" spans="2:11" ht="15.75" x14ac:dyDescent="0.25">
      <c r="B18" s="3">
        <f t="shared" si="1"/>
        <v>2026</v>
      </c>
      <c r="C18" s="54">
        <f>ROUND(Total!D18-Total!C18,3)</f>
        <v>1.8089999999999999</v>
      </c>
      <c r="D18" s="54">
        <f>ROUND(Total!E18-Total!D18,3)</f>
        <v>-0.25800000000000001</v>
      </c>
      <c r="E18" s="54">
        <f>ROUND(Total!F18-Total!E18,3)</f>
        <v>-0.54300000000000004</v>
      </c>
      <c r="F18" s="54">
        <f>ROUND(Total!G18-Total!F18,3)-G18</f>
        <v>1.6099999999999999</v>
      </c>
      <c r="G18" s="54">
        <f>ROUND(Total!H18-Total!G18,3)</f>
        <v>-9.2999999999999999E-2</v>
      </c>
      <c r="H18" s="54">
        <f t="shared" ca="1" si="2"/>
        <v>2.5249999999999999</v>
      </c>
      <c r="I18" s="55"/>
      <c r="K18" s="22"/>
    </row>
    <row r="19" spans="2:11" ht="15.75" x14ac:dyDescent="0.25">
      <c r="B19" s="3">
        <f t="shared" si="1"/>
        <v>2027</v>
      </c>
      <c r="C19" s="54">
        <f>ROUND(Total!D19-Total!C19,3)</f>
        <v>2.0019999999999998</v>
      </c>
      <c r="D19" s="54">
        <f>ROUND(Total!E19-Total!D19,3)</f>
        <v>-0.28799999999999998</v>
      </c>
      <c r="E19" s="54">
        <f>ROUND(Total!F19-Total!E19,3)</f>
        <v>-0.55000000000000004</v>
      </c>
      <c r="F19" s="54">
        <f>ROUND(Total!G19-Total!F19,3)-G19</f>
        <v>2.7720000000000002</v>
      </c>
      <c r="G19" s="54">
        <f>ROUND(Total!H19-Total!G19,3)</f>
        <v>-7.5999999999999998E-2</v>
      </c>
      <c r="H19" s="54">
        <f t="shared" ca="1" si="2"/>
        <v>3.86</v>
      </c>
      <c r="I19" s="55"/>
      <c r="K19" s="22"/>
    </row>
    <row r="20" spans="2:11" ht="15.75" x14ac:dyDescent="0.25">
      <c r="B20" s="3">
        <f t="shared" si="1"/>
        <v>2028</v>
      </c>
      <c r="C20" s="54">
        <f>ROUND(Total!D20-Total!C20,3)</f>
        <v>1.262</v>
      </c>
      <c r="D20" s="54">
        <f>ROUND(Total!E20-Total!D20,3)</f>
        <v>-1.125</v>
      </c>
      <c r="E20" s="54">
        <f>ROUND(Total!F20-Total!E20,3)</f>
        <v>-0.22500000000000001</v>
      </c>
      <c r="F20" s="54">
        <f>ROUND(Total!G20-Total!F20,3)-G20</f>
        <v>-2.1030000000000002</v>
      </c>
      <c r="G20" s="54">
        <f>ROUND(Total!H20-Total!G20,3)</f>
        <v>-0.11700000000000001</v>
      </c>
      <c r="H20" s="54">
        <f t="shared" ca="1" si="2"/>
        <v>-2.3080000000000003</v>
      </c>
      <c r="I20" s="55"/>
      <c r="K20" s="22"/>
    </row>
    <row r="21" spans="2:11" ht="15.75" x14ac:dyDescent="0.25">
      <c r="B21" s="3">
        <f t="shared" si="1"/>
        <v>2029</v>
      </c>
      <c r="C21" s="54">
        <f>ROUND(Total!D21-Total!C21,3)</f>
        <v>0.81100000000000005</v>
      </c>
      <c r="D21" s="54">
        <f>ROUND(Total!E21-Total!D21,3)</f>
        <v>-1.9850000000000001</v>
      </c>
      <c r="E21" s="54">
        <f>ROUND(Total!F21-Total!E21,3)</f>
        <v>-0.309</v>
      </c>
      <c r="F21" s="54">
        <f>ROUND(Total!G21-Total!F21,3)-G21</f>
        <v>-1.137</v>
      </c>
      <c r="G21" s="54">
        <f>ROUND(Total!H21-Total!G21,3)</f>
        <v>-0.189</v>
      </c>
      <c r="H21" s="54">
        <f t="shared" ca="1" si="2"/>
        <v>-2.8090000000000002</v>
      </c>
      <c r="I21" s="55"/>
      <c r="K21" s="22"/>
    </row>
    <row r="22" spans="2:11" ht="15.75" x14ac:dyDescent="0.25">
      <c r="B22" s="3">
        <f t="shared" si="1"/>
        <v>2030</v>
      </c>
      <c r="C22" s="54">
        <f>ROUND(Total!D22-Total!C22,3)</f>
        <v>1.7749999999999999</v>
      </c>
      <c r="D22" s="54">
        <f>ROUND(Total!E22-Total!D22,3)</f>
        <v>0</v>
      </c>
      <c r="E22" s="54">
        <f>ROUND(Total!F22-Total!E22,3)</f>
        <v>-0.61699999999999999</v>
      </c>
      <c r="F22" s="54">
        <f>ROUND(Total!G22-Total!F22,3)-G22</f>
        <v>-0.58799999999999997</v>
      </c>
      <c r="G22" s="54">
        <f>ROUND(Total!H22-Total!G22,3)</f>
        <v>-0.107</v>
      </c>
      <c r="H22" s="54">
        <f t="shared" ca="1" si="2"/>
        <v>0.46299999999999997</v>
      </c>
      <c r="I22" s="55"/>
      <c r="K22" s="22"/>
    </row>
    <row r="23" spans="2:11" ht="15.75" x14ac:dyDescent="0.25">
      <c r="B23" s="3">
        <f t="shared" si="1"/>
        <v>2031</v>
      </c>
      <c r="C23" s="54">
        <f>ROUND(Total!D23-Total!C23,3)</f>
        <v>0.93899999999999995</v>
      </c>
      <c r="D23" s="54">
        <f>ROUND(Total!E23-Total!D23,3)</f>
        <v>0</v>
      </c>
      <c r="E23" s="54">
        <f>ROUND(Total!F23-Total!E23,3)</f>
        <v>-3.5999999999999997E-2</v>
      </c>
      <c r="F23" s="54">
        <f>ROUND(Total!G23-Total!F23,3)-G23</f>
        <v>-0.753</v>
      </c>
      <c r="G23" s="54">
        <f>ROUND(Total!H23-Total!G23,3)</f>
        <v>-5.3999999999999999E-2</v>
      </c>
      <c r="H23" s="54">
        <f t="shared" ca="1" si="2"/>
        <v>9.5999999999999919E-2</v>
      </c>
      <c r="I23" s="55"/>
      <c r="K23" s="22"/>
    </row>
    <row r="24" spans="2:11" ht="15.75" x14ac:dyDescent="0.25">
      <c r="B24" s="3">
        <f t="shared" si="1"/>
        <v>2032</v>
      </c>
      <c r="C24" s="54">
        <f>ROUND(Total!D24-Total!C24,3)</f>
        <v>1.107</v>
      </c>
      <c r="D24" s="54">
        <f>ROUND(Total!E24-Total!D24,3)</f>
        <v>0</v>
      </c>
      <c r="E24" s="54">
        <f>ROUND(Total!F24-Total!E24,3)</f>
        <v>-9.7000000000000003E-2</v>
      </c>
      <c r="F24" s="54">
        <f>ROUND(Total!G24-Total!F24,3)-G24</f>
        <v>-0.80800000000000005</v>
      </c>
      <c r="G24" s="54">
        <f>ROUND(Total!H24-Total!G24,3)</f>
        <v>-5.8999999999999997E-2</v>
      </c>
      <c r="H24" s="54">
        <f t="shared" ca="1" si="2"/>
        <v>0.14299999999999996</v>
      </c>
      <c r="I24" s="55"/>
      <c r="K24" s="22"/>
    </row>
    <row r="25" spans="2:11" x14ac:dyDescent="0.2">
      <c r="C25" s="55"/>
      <c r="D25" s="55"/>
      <c r="E25" s="55"/>
      <c r="F25" s="55"/>
      <c r="G25" s="55"/>
      <c r="H25" s="55"/>
      <c r="I25" s="55"/>
    </row>
    <row r="26" spans="2:11" x14ac:dyDescent="0.2">
      <c r="B26" s="13" t="str">
        <f>Total!B26</f>
        <v>Nominal Levelized Payment at 6.660% Discount Rate (3)</v>
      </c>
      <c r="C26" s="56"/>
      <c r="D26" s="56"/>
      <c r="E26" s="56"/>
      <c r="F26" s="56"/>
      <c r="G26" s="56"/>
      <c r="H26" s="56"/>
      <c r="I26" s="55"/>
    </row>
    <row r="27" spans="2:11" x14ac:dyDescent="0.2">
      <c r="B27" s="8" t="str">
        <f>B10&amp;" - "&amp;B24</f>
        <v>2018 - 2032</v>
      </c>
      <c r="C27" s="57">
        <f>ROUND(Total!D27-Total!C27,3)</f>
        <v>0.44400000000000001</v>
      </c>
      <c r="D27" s="57">
        <f>ROUND(Total!E27-Total!D27,3)</f>
        <v>-0.21</v>
      </c>
      <c r="E27" s="57">
        <f>ROUND(Total!F27-Total!E27,3)</f>
        <v>-0.22600000000000001</v>
      </c>
      <c r="F27" s="57">
        <f>ROUND(Total!G27-Total!F27,3)-G27</f>
        <v>0.192</v>
      </c>
      <c r="G27" s="57">
        <f>ROUND(Total!H27-Total!G27,3)</f>
        <v>-0.12</v>
      </c>
      <c r="H27" s="57">
        <f t="shared" ref="H27" ca="1" si="3">SUM(OFFSET($C27,0,0,1,COLUMN(H27)-3))</f>
        <v>8.0000000000000016E-2</v>
      </c>
      <c r="I27" s="55"/>
    </row>
    <row r="28" spans="2:11" x14ac:dyDescent="0.2">
      <c r="C28" s="55"/>
      <c r="D28" s="55"/>
      <c r="E28" s="55"/>
      <c r="F28" s="55"/>
      <c r="G28" s="55"/>
      <c r="H28" s="59"/>
    </row>
    <row r="29" spans="2:11" x14ac:dyDescent="0.2">
      <c r="B29" s="1" t="str">
        <f>Total!B29</f>
        <v>(1)   Studies are sequential.  The order of the studies would affect the price impact.</v>
      </c>
      <c r="C29" s="55"/>
      <c r="D29" s="55"/>
      <c r="E29" s="55"/>
      <c r="F29" s="55"/>
      <c r="G29" s="55"/>
      <c r="H29" s="55"/>
    </row>
    <row r="30" spans="2:11" x14ac:dyDescent="0.2">
      <c r="B30" s="1" t="str">
        <f>Total!B30</f>
        <v>(2)   Official Forward Price Curve Dated December 2016</v>
      </c>
    </row>
    <row r="31" spans="2:11" x14ac:dyDescent="0.2">
      <c r="B31" s="1" t="str">
        <f>Total!B31</f>
        <v>(3)   Discount Rate - 2015 IRP Page 141</v>
      </c>
      <c r="C31" s="8"/>
    </row>
    <row r="32" spans="2:11" x14ac:dyDescent="0.2">
      <c r="B32" s="1" t="str">
        <f>Total!B32</f>
        <v xml:space="preserve">(4)   Capacity costs are allocated assuming an 85% capacity factor. </v>
      </c>
    </row>
    <row r="35" spans="2:2" hidden="1" x14ac:dyDescent="0.2">
      <c r="B35" s="24" t="s">
        <v>16</v>
      </c>
    </row>
    <row r="36" spans="2:2" hidden="1" x14ac:dyDescent="0.2">
      <c r="B36" s="40">
        <f>Discount_Rate</f>
        <v>6.6600000000000006E-2</v>
      </c>
    </row>
  </sheetData>
  <phoneticPr fontId="2" type="noConversion"/>
  <printOptions horizontalCentered="1"/>
  <pageMargins left="0.25" right="0.25" top="0.75" bottom="0.75" header="0.3" footer="0.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2"/>
    <pageSetUpPr fitToPage="1"/>
  </sheetPr>
  <dimension ref="B1:Q39"/>
  <sheetViews>
    <sheetView view="pageBreakPreview" zoomScale="60" zoomScaleNormal="70" workbookViewId="0">
      <pane xSplit="2" ySplit="9" topLeftCell="C10" activePane="bottomRight" state="frozen"/>
      <selection activeCell="E39" sqref="E39"/>
      <selection pane="topRight" activeCell="E39" sqref="E39"/>
      <selection pane="bottomLeft" activeCell="E39" sqref="E39"/>
      <selection pane="bottomRight" activeCell="H7" sqref="H7:H8"/>
    </sheetView>
  </sheetViews>
  <sheetFormatPr defaultRowHeight="15" x14ac:dyDescent="0.2"/>
  <cols>
    <col min="1" max="1" width="1.85546875" style="1" customWidth="1"/>
    <col min="2" max="2" width="13.7109375" style="1" customWidth="1"/>
    <col min="3" max="8" width="17.7109375" style="1" customWidth="1"/>
    <col min="9" max="9" width="2.42578125" style="1" customWidth="1"/>
    <col min="10" max="10" width="9.140625" style="1"/>
    <col min="11" max="11" width="10.28515625" style="1" bestFit="1" customWidth="1"/>
    <col min="12" max="15" width="9.140625" style="1"/>
    <col min="16" max="16" width="10.28515625" style="1" customWidth="1"/>
    <col min="17" max="16384" width="9.140625" style="1"/>
  </cols>
  <sheetData>
    <row r="1" spans="2:17" ht="15.75" x14ac:dyDescent="0.25">
      <c r="B1" s="6" t="s">
        <v>4</v>
      </c>
      <c r="C1" s="6"/>
      <c r="D1" s="6"/>
      <c r="E1" s="6"/>
      <c r="F1" s="6"/>
      <c r="G1" s="6"/>
      <c r="H1" s="6"/>
    </row>
    <row r="2" spans="2:17" ht="8.25" customHeight="1" x14ac:dyDescent="0.25">
      <c r="B2" s="6"/>
      <c r="C2" s="6"/>
      <c r="D2" s="6"/>
      <c r="E2" s="6"/>
      <c r="F2" s="6"/>
      <c r="G2" s="6"/>
      <c r="H2" s="6"/>
    </row>
    <row r="3" spans="2:17" ht="15.75" x14ac:dyDescent="0.25">
      <c r="B3" s="6" t="s">
        <v>1</v>
      </c>
      <c r="C3" s="6"/>
      <c r="D3" s="6"/>
      <c r="E3" s="6"/>
      <c r="F3" s="6"/>
      <c r="G3" s="6"/>
      <c r="H3" s="6"/>
    </row>
    <row r="4" spans="2:17" ht="15.75" x14ac:dyDescent="0.25">
      <c r="B4" s="6" t="str">
        <f>Capacity!$B$4</f>
        <v>Step Study between 2016.Q4 and 2016.Q3 Compliance Filing</v>
      </c>
      <c r="C4" s="6"/>
      <c r="D4" s="6"/>
      <c r="E4" s="6"/>
      <c r="F4" s="6"/>
      <c r="G4" s="6"/>
      <c r="H4" s="6"/>
    </row>
    <row r="5" spans="2:17" ht="15.75" x14ac:dyDescent="0.25">
      <c r="B5" s="6" t="s">
        <v>11</v>
      </c>
      <c r="C5" s="6"/>
      <c r="D5" s="6"/>
      <c r="E5" s="6"/>
      <c r="F5" s="6"/>
      <c r="G5" s="6"/>
      <c r="H5" s="6"/>
    </row>
    <row r="6" spans="2:17" s="21" customFormat="1" ht="15.75" x14ac:dyDescent="0.25">
      <c r="B6" s="19"/>
      <c r="C6" s="19"/>
      <c r="D6" s="19"/>
      <c r="E6" s="20"/>
      <c r="F6" s="19"/>
      <c r="G6" s="19"/>
      <c r="H6" s="19"/>
    </row>
    <row r="7" spans="2:17" ht="15.75" x14ac:dyDescent="0.25">
      <c r="B7" s="48"/>
      <c r="C7" s="49" t="str">
        <f>Energy!C7</f>
        <v>2016.Q3</v>
      </c>
      <c r="D7" s="49" t="str">
        <f>Energy!D7</f>
        <v>1612</v>
      </c>
      <c r="E7" s="49" t="str">
        <f>Energy!E7</f>
        <v>Generic</v>
      </c>
      <c r="F7" s="49" t="str">
        <f>Energy!F7</f>
        <v>Load</v>
      </c>
      <c r="G7" s="49" t="str">
        <f>Energy!G7</f>
        <v>QF</v>
      </c>
      <c r="H7" s="49" t="str">
        <f>Energy!H7</f>
        <v>Trapped</v>
      </c>
    </row>
    <row r="8" spans="2:17" ht="15.75" x14ac:dyDescent="0.25">
      <c r="B8" s="7" t="s">
        <v>0</v>
      </c>
      <c r="C8" s="2" t="str">
        <f>Energy!C8</f>
        <v>As Filed</v>
      </c>
      <c r="D8" s="2" t="str">
        <f>Energy!D8</f>
        <v>OFPC</v>
      </c>
      <c r="E8" s="2" t="str">
        <f>Energy!E8</f>
        <v>Update</v>
      </c>
      <c r="F8" s="2" t="str">
        <f>Energy!F8</f>
        <v>Forecast</v>
      </c>
      <c r="G8" s="2" t="str">
        <f>Energy!G8</f>
        <v>Queue</v>
      </c>
      <c r="H8" s="2" t="str">
        <f>Energy!H8</f>
        <v>Energy</v>
      </c>
    </row>
    <row r="9" spans="2:17" ht="4.5" customHeight="1" x14ac:dyDescent="0.2"/>
    <row r="10" spans="2:17" ht="15.75" x14ac:dyDescent="0.25">
      <c r="B10" s="3">
        <v>2018</v>
      </c>
      <c r="C10" s="16">
        <f>ROUND(Capacity!$G10+Energy!C10,3)</f>
        <v>21.574999999999999</v>
      </c>
      <c r="D10" s="16">
        <f>ROUND(Capacity!$H10+Energy!D10,3)</f>
        <v>21.957999999999998</v>
      </c>
      <c r="E10" s="16">
        <f>ROUND(Capacity!$H10+Energy!E10,3)</f>
        <v>23.306999999999999</v>
      </c>
      <c r="F10" s="16">
        <f>ROUND(Capacity!$H10+Energy!F10,3)</f>
        <v>23.291</v>
      </c>
      <c r="G10" s="16">
        <f>ROUND(Capacity!$I10+Energy!G10,3)</f>
        <v>23.285</v>
      </c>
      <c r="H10" s="16">
        <f>ROUND(Capacity!$I10+Energy!H10,3)</f>
        <v>23.283000000000001</v>
      </c>
      <c r="J10" s="50"/>
      <c r="K10" s="60"/>
      <c r="L10" s="50"/>
      <c r="M10" s="50"/>
      <c r="N10" s="50"/>
      <c r="O10" s="50"/>
      <c r="P10" s="50"/>
    </row>
    <row r="11" spans="2:17" ht="15.75" x14ac:dyDescent="0.25">
      <c r="B11" s="3">
        <f t="shared" ref="B11:B24" si="0">B10+1</f>
        <v>2019</v>
      </c>
      <c r="C11" s="16">
        <f>ROUND(Capacity!$G11+Energy!C11,3)</f>
        <v>19.966000000000001</v>
      </c>
      <c r="D11" s="16">
        <f>ROUND(Capacity!$H11+Energy!D11,3)</f>
        <v>19.847999999999999</v>
      </c>
      <c r="E11" s="16">
        <f>ROUND(Capacity!$H11+Energy!E11,3)</f>
        <v>19.789000000000001</v>
      </c>
      <c r="F11" s="16">
        <f>ROUND(Capacity!$H11+Energy!F11,3)</f>
        <v>19.727</v>
      </c>
      <c r="G11" s="16">
        <f>ROUND(Capacity!$I11+Energy!G11,3)</f>
        <v>19.806000000000001</v>
      </c>
      <c r="H11" s="16">
        <f>ROUND(Capacity!$I11+Energy!H11,3)</f>
        <v>19.806000000000001</v>
      </c>
      <c r="J11" s="50"/>
      <c r="K11" s="60"/>
      <c r="L11" s="50"/>
      <c r="M11" s="50"/>
      <c r="N11" s="50"/>
      <c r="O11" s="50"/>
      <c r="P11" s="50"/>
    </row>
    <row r="12" spans="2:17" ht="15.75" x14ac:dyDescent="0.25">
      <c r="B12" s="3">
        <f t="shared" si="0"/>
        <v>2020</v>
      </c>
      <c r="C12" s="16">
        <f>ROUND(Capacity!$G12+Energy!C12,3)</f>
        <v>18.498999999999999</v>
      </c>
      <c r="D12" s="16">
        <f>ROUND(Capacity!$H12+Energy!D12,3)</f>
        <v>18.109000000000002</v>
      </c>
      <c r="E12" s="16">
        <f>ROUND(Capacity!$H12+Energy!E12,3)</f>
        <v>18.059999999999999</v>
      </c>
      <c r="F12" s="16">
        <f>ROUND(Capacity!$H12+Energy!F12,3)</f>
        <v>18.332999999999998</v>
      </c>
      <c r="G12" s="16">
        <f>ROUND(Capacity!$I12+Energy!G12,3)</f>
        <v>18.687000000000001</v>
      </c>
      <c r="H12" s="16">
        <f>ROUND(Capacity!$I12+Energy!H12,3)</f>
        <v>18.463000000000001</v>
      </c>
      <c r="J12" s="50"/>
      <c r="K12" s="60"/>
      <c r="L12" s="50"/>
      <c r="M12" s="50"/>
      <c r="N12" s="50"/>
      <c r="O12" s="50"/>
      <c r="P12" s="50"/>
    </row>
    <row r="13" spans="2:17" ht="15.75" x14ac:dyDescent="0.25">
      <c r="B13" s="3">
        <f t="shared" si="0"/>
        <v>2021</v>
      </c>
      <c r="C13" s="16">
        <f>ROUND(Capacity!$G13+Energy!C13,3)</f>
        <v>19.62</v>
      </c>
      <c r="D13" s="16">
        <f>ROUND(Capacity!$H13+Energy!D13,3)</f>
        <v>19.091000000000001</v>
      </c>
      <c r="E13" s="16">
        <f>ROUND(Capacity!$H13+Energy!E13,3)</f>
        <v>19.039000000000001</v>
      </c>
      <c r="F13" s="16">
        <f>ROUND(Capacity!$H13+Energy!F13,3)</f>
        <v>18.914999999999999</v>
      </c>
      <c r="G13" s="16">
        <f>ROUND(Capacity!$I13+Energy!G13,3)</f>
        <v>19.306000000000001</v>
      </c>
      <c r="H13" s="16">
        <f>ROUND(Capacity!$I13+Energy!H13,3)</f>
        <v>19.038</v>
      </c>
      <c r="J13" s="50"/>
      <c r="K13" s="60"/>
      <c r="L13" s="50"/>
      <c r="M13" s="50"/>
      <c r="N13" s="50"/>
      <c r="O13" s="50"/>
      <c r="P13" s="50"/>
      <c r="Q13" s="5"/>
    </row>
    <row r="14" spans="2:17" ht="15.75" x14ac:dyDescent="0.25">
      <c r="B14" s="3">
        <f t="shared" si="0"/>
        <v>2022</v>
      </c>
      <c r="C14" s="16">
        <f>ROUND(Capacity!$G14+Energy!C14,3)</f>
        <v>21.562000000000001</v>
      </c>
      <c r="D14" s="16">
        <f>ROUND(Capacity!$H14+Energy!D14,3)</f>
        <v>20.73</v>
      </c>
      <c r="E14" s="16">
        <f>ROUND(Capacity!$H14+Energy!E14,3)</f>
        <v>20.687999999999999</v>
      </c>
      <c r="F14" s="16">
        <f>ROUND(Capacity!$H14+Energy!F14,3)</f>
        <v>20.736000000000001</v>
      </c>
      <c r="G14" s="16">
        <f>ROUND(Capacity!$I14+Energy!G14,3)</f>
        <v>20.936</v>
      </c>
      <c r="H14" s="16">
        <f>ROUND(Capacity!$I14+Energy!H14,3)</f>
        <v>20.657</v>
      </c>
      <c r="J14" s="50"/>
      <c r="K14" s="60"/>
      <c r="L14" s="50"/>
      <c r="M14" s="50"/>
      <c r="N14" s="50"/>
      <c r="O14" s="50"/>
      <c r="P14" s="50"/>
    </row>
    <row r="15" spans="2:17" ht="15.75" x14ac:dyDescent="0.25">
      <c r="B15" s="3">
        <f t="shared" si="0"/>
        <v>2023</v>
      </c>
      <c r="C15" s="16">
        <f>ROUND(Capacity!$G15+Energy!C15,3)</f>
        <v>24.561</v>
      </c>
      <c r="D15" s="16">
        <f>ROUND(Capacity!$H15+Energy!D15,3)</f>
        <v>23.709</v>
      </c>
      <c r="E15" s="16">
        <f>ROUND(Capacity!$H15+Energy!E15,3)</f>
        <v>23.625</v>
      </c>
      <c r="F15" s="16">
        <f>ROUND(Capacity!$H15+Energy!F15,3)</f>
        <v>23.170999999999999</v>
      </c>
      <c r="G15" s="16">
        <f>ROUND(Capacity!$I15+Energy!G15,3)</f>
        <v>23.204000000000001</v>
      </c>
      <c r="H15" s="16">
        <f>ROUND(Capacity!$I15+Energy!H15,3)</f>
        <v>23.109000000000002</v>
      </c>
      <c r="J15" s="50"/>
      <c r="K15" s="60"/>
      <c r="L15" s="50"/>
      <c r="M15" s="50"/>
      <c r="N15" s="50"/>
      <c r="O15" s="50"/>
      <c r="P15" s="50"/>
    </row>
    <row r="16" spans="2:17" ht="15.75" x14ac:dyDescent="0.25">
      <c r="B16" s="3">
        <f t="shared" si="0"/>
        <v>2024</v>
      </c>
      <c r="C16" s="16">
        <f>ROUND(Capacity!$G16+Energy!C16,3)</f>
        <v>25.91</v>
      </c>
      <c r="D16" s="16">
        <f>ROUND(Capacity!$H16+Energy!D16,3)</f>
        <v>26.52</v>
      </c>
      <c r="E16" s="16">
        <f>ROUND(Capacity!$H16+Energy!E16,3)</f>
        <v>26.344000000000001</v>
      </c>
      <c r="F16" s="16">
        <f>ROUND(Capacity!$H16+Energy!F16,3)</f>
        <v>25.817</v>
      </c>
      <c r="G16" s="16">
        <f>ROUND(Capacity!$I16+Energy!G16,3)</f>
        <v>25.832999999999998</v>
      </c>
      <c r="H16" s="16">
        <f>ROUND(Capacity!$I16+Energy!H16,3)</f>
        <v>25.692</v>
      </c>
      <c r="J16" s="50"/>
      <c r="K16" s="60"/>
      <c r="L16" s="50"/>
      <c r="M16" s="50"/>
      <c r="N16" s="50"/>
      <c r="O16" s="50"/>
      <c r="P16" s="50"/>
    </row>
    <row r="17" spans="2:16" ht="15.75" x14ac:dyDescent="0.25">
      <c r="B17" s="3">
        <f t="shared" si="0"/>
        <v>2025</v>
      </c>
      <c r="C17" s="16">
        <f>ROUND(Capacity!$G17+Energy!C17,3)</f>
        <v>29.393000000000001</v>
      </c>
      <c r="D17" s="16">
        <f>ROUND(Capacity!$H17+Energy!D17,3)</f>
        <v>30.724</v>
      </c>
      <c r="E17" s="16">
        <f>ROUND(Capacity!$H17+Energy!E17,3)</f>
        <v>28.844999999999999</v>
      </c>
      <c r="F17" s="16">
        <f>ROUND(Capacity!$H17+Energy!F17,3)</f>
        <v>28.184999999999999</v>
      </c>
      <c r="G17" s="16">
        <f>ROUND(Capacity!$I17+Energy!G17,3)</f>
        <v>28.576000000000001</v>
      </c>
      <c r="H17" s="16">
        <f>ROUND(Capacity!$I17+Energy!H17,3)</f>
        <v>28.52</v>
      </c>
      <c r="J17" s="50"/>
      <c r="K17" s="60"/>
      <c r="L17" s="50"/>
      <c r="M17" s="50"/>
      <c r="N17" s="50"/>
      <c r="O17" s="50"/>
      <c r="P17" s="50"/>
    </row>
    <row r="18" spans="2:16" ht="15.75" x14ac:dyDescent="0.25">
      <c r="B18" s="3">
        <f t="shared" si="0"/>
        <v>2026</v>
      </c>
      <c r="C18" s="16">
        <f>ROUND(Capacity!$G18+Energy!C18,3)</f>
        <v>30.21</v>
      </c>
      <c r="D18" s="16">
        <f>ROUND(Capacity!$H18+Energy!D18,3)</f>
        <v>32.018999999999998</v>
      </c>
      <c r="E18" s="16">
        <f>ROUND(Capacity!$H18+Energy!E18,3)</f>
        <v>31.760999999999999</v>
      </c>
      <c r="F18" s="16">
        <f>ROUND(Capacity!$H18+Energy!F18,3)</f>
        <v>31.218</v>
      </c>
      <c r="G18" s="16">
        <f>ROUND(Capacity!$I18+Energy!G18,3)</f>
        <v>32.734999999999999</v>
      </c>
      <c r="H18" s="16">
        <f>ROUND(Capacity!$I18+Energy!H18,3)</f>
        <v>32.642000000000003</v>
      </c>
      <c r="J18" s="50"/>
      <c r="K18" s="60"/>
      <c r="L18" s="50"/>
      <c r="M18" s="50"/>
      <c r="N18" s="50"/>
      <c r="O18" s="50"/>
      <c r="P18" s="50"/>
    </row>
    <row r="19" spans="2:16" ht="15.75" x14ac:dyDescent="0.25">
      <c r="B19" s="3">
        <f t="shared" si="0"/>
        <v>2027</v>
      </c>
      <c r="C19" s="16">
        <f>ROUND(Capacity!$G19+Energy!C19,3)</f>
        <v>31.629000000000001</v>
      </c>
      <c r="D19" s="16">
        <f>ROUND(Capacity!$H19+Energy!D19,3)</f>
        <v>33.631</v>
      </c>
      <c r="E19" s="16">
        <f>ROUND(Capacity!$H19+Energy!E19,3)</f>
        <v>33.343000000000004</v>
      </c>
      <c r="F19" s="16">
        <f>ROUND(Capacity!$H19+Energy!F19,3)</f>
        <v>32.792999999999999</v>
      </c>
      <c r="G19" s="16">
        <f>ROUND(Capacity!$I19+Energy!G19,3)</f>
        <v>35.488999999999997</v>
      </c>
      <c r="H19" s="16">
        <f>ROUND(Capacity!$I19+Energy!H19,3)</f>
        <v>35.412999999999997</v>
      </c>
      <c r="J19" s="50"/>
      <c r="K19" s="60"/>
      <c r="L19" s="50"/>
      <c r="M19" s="50"/>
      <c r="N19" s="50"/>
      <c r="O19" s="50"/>
      <c r="P19" s="50"/>
    </row>
    <row r="20" spans="2:16" ht="15.75" x14ac:dyDescent="0.25">
      <c r="B20" s="3">
        <f t="shared" si="0"/>
        <v>2028</v>
      </c>
      <c r="C20" s="16">
        <f>ROUND(Capacity!$G20+Energy!C20,3)</f>
        <v>37.482999999999997</v>
      </c>
      <c r="D20" s="16">
        <f>ROUND(Capacity!$H20+Energy!D20,3)</f>
        <v>38.744999999999997</v>
      </c>
      <c r="E20" s="16">
        <f>ROUND(Capacity!$H20+Energy!E20,3)</f>
        <v>37.619999999999997</v>
      </c>
      <c r="F20" s="16">
        <f>ROUND(Capacity!$H20+Energy!F20,3)</f>
        <v>37.395000000000003</v>
      </c>
      <c r="G20" s="16">
        <f>ROUND(Capacity!$I20+Energy!G20,3)</f>
        <v>35.174999999999997</v>
      </c>
      <c r="H20" s="16">
        <f>ROUND(Capacity!$I20+Energy!H20,3)</f>
        <v>35.058</v>
      </c>
      <c r="J20" s="50"/>
      <c r="K20" s="60"/>
      <c r="L20" s="50"/>
      <c r="M20" s="50"/>
      <c r="N20" s="50"/>
      <c r="O20" s="50"/>
      <c r="P20" s="50"/>
    </row>
    <row r="21" spans="2:16" ht="15.75" x14ac:dyDescent="0.25">
      <c r="B21" s="3">
        <f t="shared" si="0"/>
        <v>2029</v>
      </c>
      <c r="C21" s="16">
        <f>ROUND(Capacity!$G21+Energy!C21,3)</f>
        <v>40.808</v>
      </c>
      <c r="D21" s="16">
        <f>ROUND(Capacity!$H21+Energy!D21,3)</f>
        <v>41.619</v>
      </c>
      <c r="E21" s="16">
        <f>ROUND(Capacity!$H21+Energy!E21,3)</f>
        <v>39.634</v>
      </c>
      <c r="F21" s="16">
        <f>ROUND(Capacity!$H21+Energy!F21,3)</f>
        <v>39.325000000000003</v>
      </c>
      <c r="G21" s="16">
        <f>ROUND(Capacity!$I21+Energy!G21,3)</f>
        <v>37.999000000000002</v>
      </c>
      <c r="H21" s="16">
        <f>ROUND(Capacity!$I21+Energy!H21,3)</f>
        <v>37.81</v>
      </c>
      <c r="J21" s="50"/>
      <c r="K21" s="60"/>
      <c r="L21" s="50"/>
      <c r="M21" s="50"/>
      <c r="N21" s="50"/>
      <c r="O21" s="50"/>
      <c r="P21" s="50"/>
    </row>
    <row r="22" spans="2:16" ht="15.75" x14ac:dyDescent="0.25">
      <c r="B22" s="3">
        <f t="shared" si="0"/>
        <v>2030</v>
      </c>
      <c r="C22" s="16">
        <f>ROUND(Capacity!$G22+Energy!C22,3)</f>
        <v>53.588000000000001</v>
      </c>
      <c r="D22" s="16">
        <f>ROUND(Capacity!$H22+Energy!D22,3)</f>
        <v>55.363</v>
      </c>
      <c r="E22" s="16">
        <f>ROUND(Capacity!$H22+Energy!E22,3)</f>
        <v>55.363</v>
      </c>
      <c r="F22" s="16">
        <f>ROUND(Capacity!$H22+Energy!F22,3)</f>
        <v>54.746000000000002</v>
      </c>
      <c r="G22" s="16">
        <f>ROUND(Capacity!$I22+Energy!G22,3)</f>
        <v>54.051000000000002</v>
      </c>
      <c r="H22" s="16">
        <f>ROUND(Capacity!$I22+Energy!H22,3)</f>
        <v>53.944000000000003</v>
      </c>
      <c r="J22" s="50"/>
      <c r="K22" s="60"/>
      <c r="L22" s="50"/>
      <c r="M22" s="50"/>
      <c r="N22" s="50"/>
      <c r="O22" s="50"/>
      <c r="P22" s="50"/>
    </row>
    <row r="23" spans="2:16" ht="15.75" x14ac:dyDescent="0.25">
      <c r="B23" s="3">
        <f t="shared" si="0"/>
        <v>2031</v>
      </c>
      <c r="C23" s="16">
        <f>ROUND(Capacity!$G23+Energy!C23,3)</f>
        <v>55.518000000000001</v>
      </c>
      <c r="D23" s="16">
        <f>ROUND(Capacity!$H23+Energy!D23,3)</f>
        <v>56.457000000000001</v>
      </c>
      <c r="E23" s="16">
        <f>ROUND(Capacity!$H23+Energy!E23,3)</f>
        <v>56.457000000000001</v>
      </c>
      <c r="F23" s="16">
        <f>ROUND(Capacity!$H23+Energy!F23,3)</f>
        <v>56.420999999999999</v>
      </c>
      <c r="G23" s="16">
        <f>ROUND(Capacity!$I23+Energy!G23,3)</f>
        <v>55.613999999999997</v>
      </c>
      <c r="H23" s="16">
        <f>ROUND(Capacity!$I23+Energy!H23,3)</f>
        <v>55.56</v>
      </c>
      <c r="J23" s="50"/>
      <c r="K23" s="60"/>
      <c r="L23" s="50"/>
      <c r="M23" s="50"/>
      <c r="N23" s="50"/>
      <c r="O23" s="50"/>
      <c r="P23" s="50"/>
    </row>
    <row r="24" spans="2:16" ht="15.75" x14ac:dyDescent="0.25">
      <c r="B24" s="3">
        <f t="shared" si="0"/>
        <v>2032</v>
      </c>
      <c r="C24" s="16">
        <f>ROUND(Capacity!$G24+Energy!C24,3)</f>
        <v>57.005000000000003</v>
      </c>
      <c r="D24" s="16">
        <f>ROUND(Capacity!$H24+Energy!D24,3)</f>
        <v>58.112000000000002</v>
      </c>
      <c r="E24" s="16">
        <f>ROUND(Capacity!$H24+Energy!E24,3)</f>
        <v>58.112000000000002</v>
      </c>
      <c r="F24" s="16">
        <f>ROUND(Capacity!$H24+Energy!F24,3)</f>
        <v>58.015000000000001</v>
      </c>
      <c r="G24" s="16">
        <f>ROUND(Capacity!$I24+Energy!G24,3)</f>
        <v>57.148000000000003</v>
      </c>
      <c r="H24" s="16">
        <f>ROUND(Capacity!$I24+Energy!H24,3)</f>
        <v>57.088999999999999</v>
      </c>
      <c r="J24" s="50"/>
      <c r="K24" s="60"/>
      <c r="L24" s="50"/>
      <c r="M24" s="50"/>
      <c r="N24" s="50"/>
      <c r="O24" s="50"/>
      <c r="P24" s="50"/>
    </row>
    <row r="25" spans="2:16" x14ac:dyDescent="0.2">
      <c r="C25" s="17"/>
      <c r="D25" s="17"/>
      <c r="E25" s="17"/>
      <c r="F25" s="17"/>
      <c r="G25" s="17"/>
      <c r="H25" s="17"/>
      <c r="J25" s="50"/>
      <c r="K25" s="50"/>
    </row>
    <row r="26" spans="2:16" x14ac:dyDescent="0.2">
      <c r="B26" s="4" t="str">
        <f>"Nominal Levelized Payment at "&amp;TEXT(Discount_Rate,"0.000%")&amp;" Discount Rate (3)"</f>
        <v>Nominal Levelized Payment at 6.660% Discount Rate (3)</v>
      </c>
      <c r="C26" s="17"/>
      <c r="D26" s="17"/>
      <c r="E26" s="17"/>
      <c r="F26" s="17"/>
      <c r="G26" s="17"/>
      <c r="H26" s="17"/>
      <c r="J26" s="50"/>
      <c r="K26" s="50"/>
    </row>
    <row r="27" spans="2:16" x14ac:dyDescent="0.2">
      <c r="B27" s="8" t="str">
        <f>B10&amp;" - "&amp;B24</f>
        <v>2018 - 2032</v>
      </c>
      <c r="C27" s="18">
        <f>ROUND(PMT(Discount_Rate,COUNT(C10:C24),-NPV(Discount_Rate,C10:C24)),2)</f>
        <v>29.3</v>
      </c>
      <c r="D27" s="18">
        <f>ROUND(PMT(Discount_Rate,COUNT(D10:D24),-NPV(Discount_Rate,D10:D24)),3)</f>
        <v>29.744</v>
      </c>
      <c r="E27" s="18">
        <f>ROUND(PMT(Discount_Rate,COUNT(E10:E24),-NPV(Discount_Rate,E10:E24)),3)</f>
        <v>29.533999999999999</v>
      </c>
      <c r="F27" s="18">
        <f>ROUND(PMT(Discount_Rate,COUNT(F10:F24),-NPV(Discount_Rate,F10:F24)),3)</f>
        <v>29.308</v>
      </c>
      <c r="G27" s="18">
        <f>ROUND(PMT(Discount_Rate,COUNT(G10:G24),-NPV(Discount_Rate,G10:G24)),2)</f>
        <v>29.38</v>
      </c>
      <c r="H27" s="18">
        <f>ROUND(PMT(Discount_Rate,COUNT(H10:H24),-NPV(Discount_Rate,H10:H24)),3)</f>
        <v>29.26</v>
      </c>
      <c r="J27" s="50"/>
      <c r="K27" s="60"/>
    </row>
    <row r="28" spans="2:16" x14ac:dyDescent="0.2">
      <c r="D28" s="10"/>
      <c r="E28" s="10"/>
      <c r="F28" s="10"/>
      <c r="G28" s="10"/>
      <c r="H28" s="10"/>
      <c r="J28" s="50"/>
      <c r="K28" s="50"/>
    </row>
    <row r="29" spans="2:16" x14ac:dyDescent="0.2">
      <c r="B29" s="8" t="s">
        <v>20</v>
      </c>
      <c r="J29" s="50"/>
      <c r="K29" s="50"/>
    </row>
    <row r="30" spans="2:16" x14ac:dyDescent="0.2">
      <c r="B30" s="1" t="str">
        <f>"(2)   Official Forward Price Curve Dated "&amp;TEXT(B39,"MMMM YYYY")</f>
        <v>(2)   Official Forward Price Curve Dated December 2016</v>
      </c>
      <c r="J30" s="50"/>
      <c r="K30" s="50"/>
    </row>
    <row r="31" spans="2:16" x14ac:dyDescent="0.2">
      <c r="B31" s="1" t="str">
        <f>"(3)   "&amp;B35</f>
        <v>(3)   Discount Rate - 2015 IRP Page 141</v>
      </c>
    </row>
    <row r="32" spans="2:16" x14ac:dyDescent="0.2">
      <c r="B32" s="1" t="s">
        <v>10</v>
      </c>
    </row>
    <row r="34" spans="2:8" x14ac:dyDescent="0.2">
      <c r="B34" s="24"/>
    </row>
    <row r="35" spans="2:8" hidden="1" x14ac:dyDescent="0.2">
      <c r="B35" s="24" t="s">
        <v>16</v>
      </c>
      <c r="D35" s="22"/>
      <c r="F35" s="22"/>
      <c r="G35" s="22"/>
      <c r="H35" s="22"/>
    </row>
    <row r="36" spans="2:8" hidden="1" x14ac:dyDescent="0.2">
      <c r="B36" s="23">
        <v>6.6600000000000006E-2</v>
      </c>
      <c r="D36" s="22"/>
      <c r="F36" s="22"/>
      <c r="G36" s="22"/>
      <c r="H36" s="22"/>
    </row>
    <row r="37" spans="2:8" hidden="1" x14ac:dyDescent="0.2">
      <c r="D37" s="22"/>
      <c r="E37" s="22"/>
      <c r="F37" s="22"/>
      <c r="G37" s="22"/>
      <c r="H37" s="22"/>
    </row>
    <row r="38" spans="2:8" hidden="1" x14ac:dyDescent="0.2">
      <c r="B38" s="1" t="s">
        <v>13</v>
      </c>
    </row>
    <row r="39" spans="2:8" hidden="1" x14ac:dyDescent="0.2">
      <c r="B39" s="25">
        <v>42734</v>
      </c>
    </row>
  </sheetData>
  <phoneticPr fontId="2" type="noConversion"/>
  <printOptions horizontalCentered="1"/>
  <pageMargins left="0.25" right="0.25" top="0.75" bottom="0.75" header="0.3" footer="0.2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2"/>
    <pageSetUpPr fitToPage="1"/>
  </sheetPr>
  <dimension ref="B1:H38"/>
  <sheetViews>
    <sheetView view="pageBreakPreview" zoomScale="60" zoomScaleNormal="70" workbookViewId="0">
      <pane xSplit="2" ySplit="8" topLeftCell="C9" activePane="bottomRight" state="frozen"/>
      <selection activeCell="E39" sqref="E39"/>
      <selection pane="topRight" activeCell="E39" sqref="E39"/>
      <selection pane="bottomLeft" activeCell="E39" sqref="E39"/>
      <selection pane="bottomRight" activeCell="H27" sqref="H27"/>
    </sheetView>
  </sheetViews>
  <sheetFormatPr defaultRowHeight="15" x14ac:dyDescent="0.2"/>
  <cols>
    <col min="1" max="1" width="1.85546875" style="28" customWidth="1"/>
    <col min="2" max="2" width="13.7109375" style="28" customWidth="1"/>
    <col min="3" max="8" width="17.7109375" style="28" customWidth="1"/>
    <col min="9" max="9" width="2.28515625" style="28" customWidth="1"/>
    <col min="10" max="16384" width="9.140625" style="28"/>
  </cols>
  <sheetData>
    <row r="1" spans="2:8" ht="15.75" x14ac:dyDescent="0.25">
      <c r="B1" s="26" t="str">
        <f>Total!B1</f>
        <v>Appendix C</v>
      </c>
      <c r="C1" s="26"/>
      <c r="D1" s="26"/>
      <c r="E1" s="26"/>
      <c r="F1" s="26"/>
      <c r="G1" s="26"/>
      <c r="H1" s="26"/>
    </row>
    <row r="2" spans="2:8" ht="8.25" customHeight="1" x14ac:dyDescent="0.25">
      <c r="B2" s="26"/>
      <c r="C2" s="26"/>
      <c r="D2" s="26"/>
      <c r="E2" s="26"/>
      <c r="F2" s="26"/>
      <c r="G2" s="26"/>
      <c r="H2" s="26"/>
    </row>
    <row r="3" spans="2:8" ht="15.75" x14ac:dyDescent="0.25">
      <c r="B3" s="26" t="str">
        <f>Total!B3</f>
        <v>Utah Quarterly Compliance Filing</v>
      </c>
      <c r="C3" s="26"/>
      <c r="D3" s="26"/>
      <c r="E3" s="26"/>
      <c r="F3" s="26"/>
      <c r="G3" s="26"/>
      <c r="H3" s="26"/>
    </row>
    <row r="4" spans="2:8" ht="15.75" x14ac:dyDescent="0.25">
      <c r="B4" s="26" t="str">
        <f>Capacity!$B$4</f>
        <v>Step Study between 2016.Q4 and 2016.Q3 Compliance Filing</v>
      </c>
      <c r="C4" s="26"/>
      <c r="D4" s="26"/>
      <c r="E4" s="26"/>
      <c r="F4" s="26"/>
      <c r="G4" s="26"/>
      <c r="H4" s="26"/>
    </row>
    <row r="5" spans="2:8" ht="15.75" x14ac:dyDescent="0.25">
      <c r="B5" s="26" t="s">
        <v>6</v>
      </c>
      <c r="C5" s="26"/>
      <c r="D5" s="26"/>
      <c r="E5" s="26"/>
      <c r="F5" s="26"/>
      <c r="G5" s="26"/>
      <c r="H5" s="26"/>
    </row>
    <row r="6" spans="2:8" ht="15.75" x14ac:dyDescent="0.25">
      <c r="B6" s="26"/>
      <c r="C6" s="53"/>
      <c r="D6" s="53"/>
      <c r="E6" s="53"/>
      <c r="F6" s="53"/>
      <c r="G6" s="53"/>
      <c r="H6" s="53"/>
    </row>
    <row r="7" spans="2:8" ht="15.75" x14ac:dyDescent="0.25">
      <c r="B7" s="29"/>
      <c r="C7" s="46" t="str">
        <f>Capacity!M7</f>
        <v>2016.Q3</v>
      </c>
      <c r="D7" s="52" t="s">
        <v>27</v>
      </c>
      <c r="E7" s="61" t="s">
        <v>15</v>
      </c>
      <c r="F7" s="52" t="s">
        <v>28</v>
      </c>
      <c r="G7" s="52" t="s">
        <v>18</v>
      </c>
      <c r="H7" s="52" t="s">
        <v>30</v>
      </c>
    </row>
    <row r="8" spans="2:8" ht="15.75" x14ac:dyDescent="0.25">
      <c r="B8" s="31" t="s">
        <v>0</v>
      </c>
      <c r="C8" s="45" t="s">
        <v>7</v>
      </c>
      <c r="D8" s="45" t="s">
        <v>24</v>
      </c>
      <c r="E8" s="12" t="s">
        <v>14</v>
      </c>
      <c r="F8" s="51" t="s">
        <v>29</v>
      </c>
      <c r="G8" s="51" t="s">
        <v>19</v>
      </c>
      <c r="H8" s="51" t="s">
        <v>31</v>
      </c>
    </row>
    <row r="9" spans="2:8" ht="4.5" customHeight="1" x14ac:dyDescent="0.2"/>
    <row r="10" spans="2:8" ht="15.75" x14ac:dyDescent="0.25">
      <c r="B10" s="33">
        <f>Total!B10</f>
        <v>2018</v>
      </c>
      <c r="C10" s="44">
        <v>21.574999999999999</v>
      </c>
      <c r="D10" s="44">
        <v>21.957999999999998</v>
      </c>
      <c r="E10" s="44">
        <v>23.306999999999999</v>
      </c>
      <c r="F10" s="44">
        <v>23.291</v>
      </c>
      <c r="G10" s="44">
        <v>23.285</v>
      </c>
      <c r="H10" s="44">
        <v>23.283000000000001</v>
      </c>
    </row>
    <row r="11" spans="2:8" ht="15.75" x14ac:dyDescent="0.25">
      <c r="B11" s="33">
        <f t="shared" ref="B11:B24" si="0">B10+1</f>
        <v>2019</v>
      </c>
      <c r="C11" s="44">
        <v>19.966000000000001</v>
      </c>
      <c r="D11" s="44">
        <v>19.847999999999999</v>
      </c>
      <c r="E11" s="44">
        <v>19.789000000000001</v>
      </c>
      <c r="F11" s="44">
        <v>19.727</v>
      </c>
      <c r="G11" s="44">
        <v>19.806000000000001</v>
      </c>
      <c r="H11" s="44">
        <v>19.806000000000001</v>
      </c>
    </row>
    <row r="12" spans="2:8" ht="15.75" x14ac:dyDescent="0.25">
      <c r="B12" s="33">
        <f t="shared" si="0"/>
        <v>2020</v>
      </c>
      <c r="C12" s="44">
        <v>18.498999999999999</v>
      </c>
      <c r="D12" s="44">
        <v>18.109000000000002</v>
      </c>
      <c r="E12" s="44">
        <v>18.059999999999999</v>
      </c>
      <c r="F12" s="44">
        <v>18.332999999999998</v>
      </c>
      <c r="G12" s="44">
        <v>18.687000000000001</v>
      </c>
      <c r="H12" s="44">
        <v>18.463000000000001</v>
      </c>
    </row>
    <row r="13" spans="2:8" ht="15.75" x14ac:dyDescent="0.25">
      <c r="B13" s="33">
        <f t="shared" si="0"/>
        <v>2021</v>
      </c>
      <c r="C13" s="44">
        <v>19.62</v>
      </c>
      <c r="D13" s="44">
        <v>19.091000000000001</v>
      </c>
      <c r="E13" s="44">
        <v>19.039000000000001</v>
      </c>
      <c r="F13" s="44">
        <v>18.914999999999999</v>
      </c>
      <c r="G13" s="44">
        <v>19.306000000000001</v>
      </c>
      <c r="H13" s="44">
        <v>19.038</v>
      </c>
    </row>
    <row r="14" spans="2:8" ht="15.75" x14ac:dyDescent="0.25">
      <c r="B14" s="33">
        <f t="shared" si="0"/>
        <v>2022</v>
      </c>
      <c r="C14" s="44">
        <v>21.562000000000001</v>
      </c>
      <c r="D14" s="44">
        <v>20.73</v>
      </c>
      <c r="E14" s="44">
        <v>20.687999999999999</v>
      </c>
      <c r="F14" s="44">
        <v>20.736000000000001</v>
      </c>
      <c r="G14" s="44">
        <v>20.936</v>
      </c>
      <c r="H14" s="44">
        <v>20.657</v>
      </c>
    </row>
    <row r="15" spans="2:8" ht="15.75" x14ac:dyDescent="0.25">
      <c r="B15" s="33">
        <f t="shared" si="0"/>
        <v>2023</v>
      </c>
      <c r="C15" s="44">
        <v>24.561</v>
      </c>
      <c r="D15" s="44">
        <v>23.709</v>
      </c>
      <c r="E15" s="44">
        <v>23.625</v>
      </c>
      <c r="F15" s="44">
        <v>23.170999999999999</v>
      </c>
      <c r="G15" s="44">
        <v>23.204000000000001</v>
      </c>
      <c r="H15" s="44">
        <v>23.109000000000002</v>
      </c>
    </row>
    <row r="16" spans="2:8" ht="15.75" x14ac:dyDescent="0.25">
      <c r="B16" s="33">
        <f t="shared" si="0"/>
        <v>2024</v>
      </c>
      <c r="C16" s="44">
        <v>25.91</v>
      </c>
      <c r="D16" s="44">
        <v>26.52</v>
      </c>
      <c r="E16" s="44">
        <v>26.344000000000001</v>
      </c>
      <c r="F16" s="44">
        <v>25.817</v>
      </c>
      <c r="G16" s="44">
        <v>25.832999999999998</v>
      </c>
      <c r="H16" s="44">
        <v>25.692</v>
      </c>
    </row>
    <row r="17" spans="2:8" ht="15.75" x14ac:dyDescent="0.25">
      <c r="B17" s="33">
        <f t="shared" si="0"/>
        <v>2025</v>
      </c>
      <c r="C17" s="44">
        <v>29.393000000000001</v>
      </c>
      <c r="D17" s="44">
        <v>30.724</v>
      </c>
      <c r="E17" s="44">
        <v>28.844999999999999</v>
      </c>
      <c r="F17" s="44">
        <v>28.184999999999999</v>
      </c>
      <c r="G17" s="44">
        <v>28.576000000000001</v>
      </c>
      <c r="H17" s="44">
        <v>28.52</v>
      </c>
    </row>
    <row r="18" spans="2:8" ht="15.75" x14ac:dyDescent="0.25">
      <c r="B18" s="33">
        <f t="shared" si="0"/>
        <v>2026</v>
      </c>
      <c r="C18" s="44">
        <v>30.21</v>
      </c>
      <c r="D18" s="44">
        <v>32.018999999999998</v>
      </c>
      <c r="E18" s="44">
        <v>31.760999999999999</v>
      </c>
      <c r="F18" s="44">
        <v>31.218</v>
      </c>
      <c r="G18" s="44">
        <v>32.734999999999999</v>
      </c>
      <c r="H18" s="44">
        <v>32.642000000000003</v>
      </c>
    </row>
    <row r="19" spans="2:8" ht="15.75" x14ac:dyDescent="0.25">
      <c r="B19" s="33">
        <f t="shared" si="0"/>
        <v>2027</v>
      </c>
      <c r="C19" s="44">
        <v>31.629000000000001</v>
      </c>
      <c r="D19" s="44">
        <v>33.631</v>
      </c>
      <c r="E19" s="44">
        <v>33.343000000000004</v>
      </c>
      <c r="F19" s="44">
        <v>32.792999999999999</v>
      </c>
      <c r="G19" s="44">
        <v>35.488999999999997</v>
      </c>
      <c r="H19" s="44">
        <v>35.412999999999997</v>
      </c>
    </row>
    <row r="20" spans="2:8" ht="15.75" x14ac:dyDescent="0.25">
      <c r="B20" s="33">
        <f t="shared" si="0"/>
        <v>2028</v>
      </c>
      <c r="C20" s="44">
        <v>35.639000000000003</v>
      </c>
      <c r="D20" s="44">
        <v>36.859000000000002</v>
      </c>
      <c r="E20" s="44">
        <v>35.734000000000002</v>
      </c>
      <c r="F20" s="44">
        <v>35.509</v>
      </c>
      <c r="G20" s="44">
        <v>35.174999999999997</v>
      </c>
      <c r="H20" s="44">
        <v>35.058</v>
      </c>
    </row>
    <row r="21" spans="2:8" ht="15.75" x14ac:dyDescent="0.25">
      <c r="B21" s="33">
        <f t="shared" si="0"/>
        <v>2029</v>
      </c>
      <c r="C21" s="44">
        <v>38.917999999999999</v>
      </c>
      <c r="D21" s="44">
        <v>39.686</v>
      </c>
      <c r="E21" s="44">
        <v>37.701000000000001</v>
      </c>
      <c r="F21" s="44">
        <v>37.392000000000003</v>
      </c>
      <c r="G21" s="44">
        <v>37.999000000000002</v>
      </c>
      <c r="H21" s="44">
        <v>37.81</v>
      </c>
    </row>
    <row r="22" spans="2:8" ht="15.75" x14ac:dyDescent="0.25">
      <c r="B22" s="33">
        <f t="shared" si="0"/>
        <v>2030</v>
      </c>
      <c r="C22" s="44">
        <v>34.167000000000002</v>
      </c>
      <c r="D22" s="44">
        <v>35.496000000000002</v>
      </c>
      <c r="E22" s="44">
        <v>35.496000000000002</v>
      </c>
      <c r="F22" s="44">
        <v>34.878999999999998</v>
      </c>
      <c r="G22" s="44">
        <v>34.325000000000003</v>
      </c>
      <c r="H22" s="44">
        <v>34.218000000000004</v>
      </c>
    </row>
    <row r="23" spans="2:8" ht="15.75" x14ac:dyDescent="0.25">
      <c r="B23" s="33">
        <f t="shared" si="0"/>
        <v>2031</v>
      </c>
      <c r="C23" s="44">
        <v>35.667999999999999</v>
      </c>
      <c r="D23" s="44">
        <v>36.131999999999998</v>
      </c>
      <c r="E23" s="44">
        <v>36.131999999999998</v>
      </c>
      <c r="F23" s="44">
        <v>36.095999999999997</v>
      </c>
      <c r="G23" s="44">
        <v>35.433</v>
      </c>
      <c r="H23" s="44">
        <v>35.378999999999998</v>
      </c>
    </row>
    <row r="24" spans="2:8" ht="15.75" x14ac:dyDescent="0.25">
      <c r="B24" s="33">
        <f t="shared" si="0"/>
        <v>2032</v>
      </c>
      <c r="C24" s="44">
        <v>36.771000000000001</v>
      </c>
      <c r="D24" s="44">
        <v>37.378</v>
      </c>
      <c r="E24" s="44">
        <v>37.378</v>
      </c>
      <c r="F24" s="44">
        <v>37.280999999999999</v>
      </c>
      <c r="G24" s="44">
        <v>36.56</v>
      </c>
      <c r="H24" s="44">
        <v>36.500999999999998</v>
      </c>
    </row>
    <row r="25" spans="2:8" x14ac:dyDescent="0.2">
      <c r="C25" s="43"/>
      <c r="D25" s="43"/>
      <c r="E25" s="43"/>
      <c r="F25" s="43"/>
      <c r="G25" s="43"/>
      <c r="H25" s="43"/>
    </row>
    <row r="26" spans="2:8" x14ac:dyDescent="0.2">
      <c r="B26" s="36" t="str">
        <f>"Nominal Levelized Payment at "&amp;TEXT($B$35,"0.00%")&amp;" Discount Rate (3) (4)"</f>
        <v>Nominal Levelized Payment at 6.66% Discount Rate (3) (4)</v>
      </c>
      <c r="C26" s="43"/>
      <c r="D26" s="43"/>
      <c r="E26" s="43"/>
      <c r="F26" s="43"/>
      <c r="G26" s="43"/>
      <c r="H26" s="43"/>
    </row>
    <row r="27" spans="2:8" x14ac:dyDescent="0.2">
      <c r="B27" s="37" t="str">
        <f>B10&amp;" - "&amp;B24</f>
        <v>2018 - 2032</v>
      </c>
      <c r="C27" s="42">
        <f t="shared" ref="C27:H27" si="1">ROUND(PMT($B$35,COUNT(C10:C24),-NPV($B$35,C10:C24)),3)</f>
        <v>26.513000000000002</v>
      </c>
      <c r="D27" s="42">
        <f t="shared" si="1"/>
        <v>26.893000000000001</v>
      </c>
      <c r="E27" s="42">
        <f t="shared" si="1"/>
        <v>26.683</v>
      </c>
      <c r="F27" s="42">
        <f t="shared" si="1"/>
        <v>26.456</v>
      </c>
      <c r="G27" s="42">
        <f t="shared" si="1"/>
        <v>26.742999999999999</v>
      </c>
      <c r="H27" s="42">
        <f t="shared" si="1"/>
        <v>26.623999999999999</v>
      </c>
    </row>
    <row r="28" spans="2:8" x14ac:dyDescent="0.2">
      <c r="B28" s="37"/>
      <c r="C28" s="35"/>
      <c r="D28" s="35"/>
      <c r="E28" s="35"/>
      <c r="F28" s="35"/>
      <c r="G28" s="35"/>
      <c r="H28" s="35"/>
    </row>
    <row r="29" spans="2:8" x14ac:dyDescent="0.2">
      <c r="B29" s="37" t="str">
        <f>Total!B29</f>
        <v>(1)   Studies are sequential.  The order of the studies would affect the price impact.</v>
      </c>
    </row>
    <row r="30" spans="2:8" x14ac:dyDescent="0.2">
      <c r="B30" s="37" t="str">
        <f>Total!B30</f>
        <v>(2)   Official Forward Price Curve Dated December 2016</v>
      </c>
    </row>
    <row r="31" spans="2:8" x14ac:dyDescent="0.2">
      <c r="B31" s="37" t="str">
        <f>Total!B31</f>
        <v>(3)   Discount Rate - 2015 IRP Page 141</v>
      </c>
    </row>
    <row r="32" spans="2:8" x14ac:dyDescent="0.2">
      <c r="B32" s="28" t="s">
        <v>21</v>
      </c>
    </row>
    <row r="33" spans="2:8" hidden="1" x14ac:dyDescent="0.2">
      <c r="B33" s="28" t="s">
        <v>22</v>
      </c>
    </row>
    <row r="34" spans="2:8" hidden="1" x14ac:dyDescent="0.2">
      <c r="B34" s="24" t="s">
        <v>16</v>
      </c>
    </row>
    <row r="35" spans="2:8" hidden="1" x14ac:dyDescent="0.2">
      <c r="B35" s="41">
        <f>Discount_Rate</f>
        <v>6.6600000000000006E-2</v>
      </c>
    </row>
    <row r="37" spans="2:8" ht="15.75" hidden="1" x14ac:dyDescent="0.25">
      <c r="F37" s="62"/>
      <c r="G37" s="62"/>
      <c r="H37" s="67"/>
    </row>
    <row r="38" spans="2:8" hidden="1" x14ac:dyDescent="0.2">
      <c r="B38" s="63">
        <f t="shared" ref="B38:E38" si="2">IF(OR(B7="not used",B8="not used"),0,1)</f>
        <v>1</v>
      </c>
      <c r="C38" s="63">
        <f t="shared" si="2"/>
        <v>1</v>
      </c>
      <c r="D38" s="63">
        <f>IF(OR(D7="not used",D8="not used"),0,1)</f>
        <v>1</v>
      </c>
      <c r="E38" s="63">
        <f t="shared" si="2"/>
        <v>1</v>
      </c>
      <c r="F38" s="63">
        <f>IF(OR(F7="not used",F8="not used"),0,1)</f>
        <v>1</v>
      </c>
      <c r="G38" s="63">
        <f t="shared" ref="G38:H38" si="3">IF(OR(G7="not used",G8="not used"),0,1)</f>
        <v>1</v>
      </c>
      <c r="H38" s="63">
        <f t="shared" si="3"/>
        <v>1</v>
      </c>
    </row>
  </sheetData>
  <printOptions horizontalCentered="1"/>
  <pageMargins left="0.25" right="0.25" top="0.75" bottom="0.75" header="0.3" footer="0.2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2"/>
    <pageSetUpPr fitToPage="1"/>
  </sheetPr>
  <dimension ref="B1:M39"/>
  <sheetViews>
    <sheetView view="pageBreakPreview" zoomScale="60" zoomScaleNormal="70" workbookViewId="0">
      <pane xSplit="2" ySplit="9" topLeftCell="C10" activePane="bottomRight" state="frozen"/>
      <selection activeCell="E39" sqref="E39"/>
      <selection pane="topRight" activeCell="E39" sqref="E39"/>
      <selection pane="bottomLeft" activeCell="E39" sqref="E39"/>
      <selection pane="bottomRight" activeCell="B1" sqref="B1"/>
    </sheetView>
  </sheetViews>
  <sheetFormatPr defaultRowHeight="15" x14ac:dyDescent="0.2"/>
  <cols>
    <col min="1" max="1" width="1.85546875" style="28" customWidth="1"/>
    <col min="2" max="2" width="13.85546875" style="28" customWidth="1"/>
    <col min="3" max="5" width="19.140625" style="28" customWidth="1"/>
    <col min="6" max="6" width="1.140625" style="28" customWidth="1"/>
    <col min="7" max="9" width="19.140625" style="28" customWidth="1"/>
    <col min="10" max="10" width="1.5703125" style="28" customWidth="1"/>
    <col min="11" max="12" width="2.140625" customWidth="1"/>
    <col min="13" max="13" width="9.140625" style="28" customWidth="1"/>
    <col min="14" max="16384" width="9.140625" style="28"/>
  </cols>
  <sheetData>
    <row r="1" spans="2:13" ht="15.75" x14ac:dyDescent="0.25">
      <c r="B1" s="26" t="s">
        <v>4</v>
      </c>
      <c r="C1" s="26"/>
      <c r="D1" s="26"/>
      <c r="E1" s="26"/>
      <c r="F1" s="27"/>
      <c r="G1" s="26"/>
      <c r="H1" s="26"/>
      <c r="I1" s="26"/>
      <c r="J1" s="65"/>
      <c r="K1" s="66"/>
    </row>
    <row r="2" spans="2:13" ht="8.25" customHeight="1" x14ac:dyDescent="0.25">
      <c r="B2" s="26"/>
      <c r="C2" s="26"/>
      <c r="D2" s="26"/>
      <c r="E2" s="26"/>
      <c r="F2" s="27"/>
      <c r="G2" s="26"/>
      <c r="H2" s="26"/>
      <c r="I2" s="26"/>
      <c r="J2" s="65"/>
      <c r="K2" s="66"/>
    </row>
    <row r="3" spans="2:13" ht="15.75" x14ac:dyDescent="0.25">
      <c r="B3" s="26" t="s">
        <v>1</v>
      </c>
      <c r="C3" s="26"/>
      <c r="D3" s="26"/>
      <c r="E3" s="26"/>
      <c r="F3" s="27"/>
      <c r="G3" s="26"/>
      <c r="H3" s="26"/>
      <c r="I3" s="26"/>
      <c r="J3" s="65"/>
      <c r="K3" s="66"/>
    </row>
    <row r="4" spans="2:13" ht="15.75" x14ac:dyDescent="0.25">
      <c r="B4" s="26" t="str">
        <f>"Step Study between "&amp;M8&amp;" and "&amp;M7&amp;" Compliance Filing"</f>
        <v>Step Study between 2016.Q4 and 2016.Q3 Compliance Filing</v>
      </c>
      <c r="C4" s="26"/>
      <c r="D4" s="26"/>
      <c r="E4" s="26"/>
      <c r="F4" s="27"/>
      <c r="G4" s="26"/>
      <c r="H4" s="26"/>
      <c r="I4" s="26"/>
      <c r="J4" s="65"/>
      <c r="K4" s="66"/>
    </row>
    <row r="5" spans="2:13" ht="15.75" x14ac:dyDescent="0.25">
      <c r="B5" s="26" t="s">
        <v>9</v>
      </c>
      <c r="C5" s="26"/>
      <c r="D5" s="26"/>
      <c r="E5" s="26"/>
      <c r="F5" s="27"/>
      <c r="G5" s="26"/>
      <c r="H5" s="26"/>
      <c r="I5" s="26"/>
      <c r="J5" s="65"/>
      <c r="K5" s="66"/>
    </row>
    <row r="6" spans="2:13" ht="15.75" x14ac:dyDescent="0.25">
      <c r="B6" s="26"/>
      <c r="C6" s="26"/>
      <c r="D6" s="26"/>
      <c r="E6" s="26"/>
      <c r="G6" s="26"/>
      <c r="H6" s="26"/>
      <c r="I6" s="26"/>
      <c r="J6" s="65"/>
      <c r="K6" s="66"/>
    </row>
    <row r="7" spans="2:13" ht="15.75" x14ac:dyDescent="0.25">
      <c r="B7" s="29"/>
      <c r="C7" s="30" t="s">
        <v>2</v>
      </c>
      <c r="D7" s="30"/>
      <c r="E7" s="30"/>
      <c r="G7" s="30" t="s">
        <v>8</v>
      </c>
      <c r="H7" s="47"/>
      <c r="I7" s="47"/>
      <c r="J7" s="65"/>
      <c r="K7" s="66"/>
      <c r="M7" s="32" t="s">
        <v>23</v>
      </c>
    </row>
    <row r="8" spans="2:13" ht="30.75" customHeight="1" x14ac:dyDescent="0.25">
      <c r="B8" s="31" t="s">
        <v>0</v>
      </c>
      <c r="C8" s="58" t="s">
        <v>33</v>
      </c>
      <c r="D8" s="64" t="s">
        <v>26</v>
      </c>
      <c r="E8" s="58" t="str">
        <f>M8&amp;" (5)"</f>
        <v>2016.Q4 (5)</v>
      </c>
      <c r="G8" s="32" t="str">
        <f>C8</f>
        <v>2016.Q3 (3)</v>
      </c>
      <c r="H8" s="58" t="str">
        <f>D8</f>
        <v>1612 OFPC (4)</v>
      </c>
      <c r="I8" s="58" t="str">
        <f>E8</f>
        <v>2016.Q4 (5)</v>
      </c>
      <c r="M8" s="32" t="s">
        <v>25</v>
      </c>
    </row>
    <row r="9" spans="2:13" ht="4.5" customHeight="1" x14ac:dyDescent="0.2"/>
    <row r="10" spans="2:13" ht="15.75" x14ac:dyDescent="0.25">
      <c r="B10" s="33">
        <v>2018</v>
      </c>
      <c r="C10" s="34">
        <v>0</v>
      </c>
      <c r="D10" s="34">
        <v>0</v>
      </c>
      <c r="E10" s="34">
        <f>IF(VLOOKUP($B10,'[1]Table 1'!$B$12:$C$33,2,FALSE)&lt;&gt;0,VLOOKUP($B10,'[1]Table 1'!$B$12:$C$33,2,FALSE),0)</f>
        <v>0</v>
      </c>
      <c r="G10" s="34">
        <f t="shared" ref="G10:I24" si="0">C10*1000/(IF(MOD($B10,4)=0,8784,8760)*0.85)</f>
        <v>0</v>
      </c>
      <c r="H10" s="34">
        <f t="shared" si="0"/>
        <v>0</v>
      </c>
      <c r="I10" s="34">
        <f t="shared" si="0"/>
        <v>0</v>
      </c>
    </row>
    <row r="11" spans="2:13" ht="15.75" x14ac:dyDescent="0.25">
      <c r="B11" s="33">
        <f t="shared" ref="B11:B24" si="1">B10+1</f>
        <v>2019</v>
      </c>
      <c r="C11" s="34">
        <v>0</v>
      </c>
      <c r="D11" s="34">
        <v>0</v>
      </c>
      <c r="E11" s="34">
        <f>IF(VLOOKUP($B11,'[1]Table 1'!$B$12:$C$33,2,FALSE)&lt;&gt;0,VLOOKUP($B11,'[1]Table 1'!$B$12:$C$33,2,FALSE),0)</f>
        <v>0</v>
      </c>
      <c r="G11" s="34">
        <f t="shared" si="0"/>
        <v>0</v>
      </c>
      <c r="H11" s="34">
        <f t="shared" si="0"/>
        <v>0</v>
      </c>
      <c r="I11" s="34">
        <f t="shared" si="0"/>
        <v>0</v>
      </c>
    </row>
    <row r="12" spans="2:13" ht="15.75" x14ac:dyDescent="0.25">
      <c r="B12" s="33">
        <f t="shared" si="1"/>
        <v>2020</v>
      </c>
      <c r="C12" s="34">
        <v>0</v>
      </c>
      <c r="D12" s="34">
        <v>0</v>
      </c>
      <c r="E12" s="34">
        <f>IF(VLOOKUP($B12,'[1]Table 1'!$B$12:$C$33,2,FALSE)&lt;&gt;0,VLOOKUP($B12,'[1]Table 1'!$B$12:$C$33,2,FALSE),0)</f>
        <v>0</v>
      </c>
      <c r="G12" s="34">
        <f t="shared" si="0"/>
        <v>0</v>
      </c>
      <c r="H12" s="34">
        <f t="shared" si="0"/>
        <v>0</v>
      </c>
      <c r="I12" s="34">
        <f t="shared" si="0"/>
        <v>0</v>
      </c>
    </row>
    <row r="13" spans="2:13" ht="15.75" x14ac:dyDescent="0.25">
      <c r="B13" s="33">
        <f t="shared" si="1"/>
        <v>2021</v>
      </c>
      <c r="C13" s="34">
        <v>0</v>
      </c>
      <c r="D13" s="34">
        <v>0</v>
      </c>
      <c r="E13" s="34">
        <f>IF(VLOOKUP($B13,'[1]Table 1'!$B$12:$C$33,2,FALSE)&lt;&gt;0,VLOOKUP($B13,'[1]Table 1'!$B$12:$C$33,2,FALSE),0)</f>
        <v>0</v>
      </c>
      <c r="G13" s="34">
        <f t="shared" si="0"/>
        <v>0</v>
      </c>
      <c r="H13" s="34">
        <f t="shared" si="0"/>
        <v>0</v>
      </c>
      <c r="I13" s="34">
        <f t="shared" si="0"/>
        <v>0</v>
      </c>
    </row>
    <row r="14" spans="2:13" ht="15.75" x14ac:dyDescent="0.25">
      <c r="B14" s="33">
        <f t="shared" si="1"/>
        <v>2022</v>
      </c>
      <c r="C14" s="34">
        <v>0</v>
      </c>
      <c r="D14" s="34">
        <v>0</v>
      </c>
      <c r="E14" s="34">
        <f>IF(VLOOKUP($B14,'[1]Table 1'!$B$12:$C$33,2,FALSE)&lt;&gt;0,VLOOKUP($B14,'[1]Table 1'!$B$12:$C$33,2,FALSE),0)</f>
        <v>0</v>
      </c>
      <c r="G14" s="34">
        <f t="shared" si="0"/>
        <v>0</v>
      </c>
      <c r="H14" s="34">
        <f t="shared" si="0"/>
        <v>0</v>
      </c>
      <c r="I14" s="34">
        <f t="shared" si="0"/>
        <v>0</v>
      </c>
    </row>
    <row r="15" spans="2:13" ht="15.75" x14ac:dyDescent="0.25">
      <c r="B15" s="33">
        <f t="shared" si="1"/>
        <v>2023</v>
      </c>
      <c r="C15" s="34">
        <v>0</v>
      </c>
      <c r="D15" s="34">
        <v>0</v>
      </c>
      <c r="E15" s="34">
        <f>IF(VLOOKUP($B15,'[1]Table 1'!$B$12:$C$33,2,FALSE)&lt;&gt;0,VLOOKUP($B15,'[1]Table 1'!$B$12:$C$33,2,FALSE),0)</f>
        <v>0</v>
      </c>
      <c r="G15" s="34">
        <f t="shared" si="0"/>
        <v>0</v>
      </c>
      <c r="H15" s="34">
        <f t="shared" si="0"/>
        <v>0</v>
      </c>
      <c r="I15" s="34">
        <f t="shared" si="0"/>
        <v>0</v>
      </c>
    </row>
    <row r="16" spans="2:13" ht="15.75" x14ac:dyDescent="0.25">
      <c r="B16" s="33">
        <f t="shared" si="1"/>
        <v>2024</v>
      </c>
      <c r="C16" s="34">
        <v>0</v>
      </c>
      <c r="D16" s="34">
        <v>0</v>
      </c>
      <c r="E16" s="34">
        <f>IF(VLOOKUP($B16,'[1]Table 1'!$B$12:$C$33,2,FALSE)&lt;&gt;0,VLOOKUP($B16,'[1]Table 1'!$B$12:$C$33,2,FALSE),0)</f>
        <v>0</v>
      </c>
      <c r="G16" s="34">
        <f t="shared" si="0"/>
        <v>0</v>
      </c>
      <c r="H16" s="34">
        <f t="shared" si="0"/>
        <v>0</v>
      </c>
      <c r="I16" s="34">
        <f t="shared" si="0"/>
        <v>0</v>
      </c>
    </row>
    <row r="17" spans="2:12" ht="15.75" x14ac:dyDescent="0.25">
      <c r="B17" s="33">
        <f t="shared" si="1"/>
        <v>2025</v>
      </c>
      <c r="C17" s="34">
        <v>0</v>
      </c>
      <c r="D17" s="34">
        <v>0</v>
      </c>
      <c r="E17" s="34">
        <f>IF(VLOOKUP($B17,'[1]Table 1'!$B$12:$C$33,2,FALSE)&lt;&gt;0,VLOOKUP($B17,'[1]Table 1'!$B$12:$C$33,2,FALSE),0)</f>
        <v>0</v>
      </c>
      <c r="G17" s="34">
        <f t="shared" si="0"/>
        <v>0</v>
      </c>
      <c r="H17" s="34">
        <f t="shared" si="0"/>
        <v>0</v>
      </c>
      <c r="I17" s="34">
        <f t="shared" si="0"/>
        <v>0</v>
      </c>
    </row>
    <row r="18" spans="2:12" ht="15.75" x14ac:dyDescent="0.25">
      <c r="B18" s="33">
        <f t="shared" si="1"/>
        <v>2026</v>
      </c>
      <c r="C18" s="34">
        <v>0</v>
      </c>
      <c r="D18" s="34">
        <v>0</v>
      </c>
      <c r="E18" s="34">
        <f>IF(VLOOKUP($B18,'[1]Table 1'!$B$12:$C$33,2,FALSE)&lt;&gt;0,VLOOKUP($B18,'[1]Table 1'!$B$12:$C$33,2,FALSE),0)</f>
        <v>0</v>
      </c>
      <c r="G18" s="34">
        <f t="shared" si="0"/>
        <v>0</v>
      </c>
      <c r="H18" s="34">
        <f t="shared" si="0"/>
        <v>0</v>
      </c>
      <c r="I18" s="34">
        <f t="shared" si="0"/>
        <v>0</v>
      </c>
    </row>
    <row r="19" spans="2:12" ht="15.75" x14ac:dyDescent="0.25">
      <c r="B19" s="33">
        <f t="shared" si="1"/>
        <v>2027</v>
      </c>
      <c r="C19" s="34">
        <v>0</v>
      </c>
      <c r="D19" s="34">
        <v>0</v>
      </c>
      <c r="E19" s="34">
        <f>IF(VLOOKUP($B19,'[1]Table 1'!$B$12:$C$33,2,FALSE)&lt;&gt;0,VLOOKUP($B19,'[1]Table 1'!$B$12:$C$33,2,FALSE),0)</f>
        <v>0</v>
      </c>
      <c r="G19" s="34">
        <f t="shared" si="0"/>
        <v>0</v>
      </c>
      <c r="H19" s="34">
        <f t="shared" si="0"/>
        <v>0</v>
      </c>
      <c r="I19" s="34">
        <f t="shared" si="0"/>
        <v>0</v>
      </c>
    </row>
    <row r="20" spans="2:12" ht="15.75" x14ac:dyDescent="0.25">
      <c r="B20" s="33">
        <f t="shared" si="1"/>
        <v>2028</v>
      </c>
      <c r="C20" s="34">
        <v>13.768309627245415</v>
      </c>
      <c r="D20" s="34">
        <v>14.081775398383211</v>
      </c>
      <c r="E20" s="34">
        <f>IF(VLOOKUP($B20,'[1]Table 1'!$B$12:$C$33,2,FALSE)&lt;&gt;0,VLOOKUP($B20,'[1]Table 1'!$B$12:$C$33,2,FALSE),0)</f>
        <v>0</v>
      </c>
      <c r="G20" s="34">
        <f t="shared" si="0"/>
        <v>1.8440358977881464</v>
      </c>
      <c r="H20" s="34">
        <f t="shared" si="0"/>
        <v>1.8860194201198988</v>
      </c>
      <c r="I20" s="34">
        <f t="shared" si="0"/>
        <v>0</v>
      </c>
    </row>
    <row r="21" spans="2:12" ht="15.75" x14ac:dyDescent="0.25">
      <c r="B21" s="33">
        <f t="shared" si="1"/>
        <v>2029</v>
      </c>
      <c r="C21" s="34">
        <v>14.073403908946299</v>
      </c>
      <c r="D21" s="34">
        <v>14.394311004028021</v>
      </c>
      <c r="E21" s="34">
        <f>IF(VLOOKUP($B21,'[1]Table 1'!$B$12:$C$33,2,FALSE)&lt;&gt;0,VLOOKUP($B21,'[1]Table 1'!$B$12:$C$33,2,FALSE),0)</f>
        <v>0</v>
      </c>
      <c r="G21" s="34">
        <f t="shared" si="0"/>
        <v>1.8900623031085548</v>
      </c>
      <c r="H21" s="34">
        <f t="shared" si="0"/>
        <v>1.9331602207934488</v>
      </c>
      <c r="I21" s="34">
        <f t="shared" si="0"/>
        <v>0</v>
      </c>
    </row>
    <row r="22" spans="2:12" ht="15.75" x14ac:dyDescent="0.25">
      <c r="B22" s="33">
        <f t="shared" si="1"/>
        <v>2030</v>
      </c>
      <c r="C22" s="34">
        <v>144.60969320074051</v>
      </c>
      <c r="D22" s="34">
        <v>147.92922667609329</v>
      </c>
      <c r="E22" s="34">
        <f>IF(VLOOKUP($B22,'[1]Table 1'!$B$12:$C$33,2,FALSE)&lt;&gt;0,VLOOKUP($B22,'[1]Table 1'!$B$12:$C$33,2,FALSE),0)</f>
        <v>146.88</v>
      </c>
      <c r="G22" s="34">
        <f t="shared" si="0"/>
        <v>19.4211245233334</v>
      </c>
      <c r="H22" s="34">
        <f t="shared" si="0"/>
        <v>19.866938849864798</v>
      </c>
      <c r="I22" s="34">
        <f t="shared" si="0"/>
        <v>19.726027397260275</v>
      </c>
    </row>
    <row r="23" spans="2:12" ht="15.75" x14ac:dyDescent="0.25">
      <c r="B23" s="33">
        <f t="shared" si="1"/>
        <v>2031</v>
      </c>
      <c r="C23" s="34">
        <v>147.80201717257225</v>
      </c>
      <c r="D23" s="34">
        <v>151.33969031693911</v>
      </c>
      <c r="E23" s="34">
        <f>IF(VLOOKUP($B23,'[1]Table 1'!$B$12:$C$33,2,FALSE)&lt;&gt;0,VLOOKUP($B23,'[1]Table 1'!$B$12:$C$33,2,FALSE),0)</f>
        <v>150.27000000000001</v>
      </c>
      <c r="G23" s="34">
        <f t="shared" si="0"/>
        <v>19.84985457595652</v>
      </c>
      <c r="H23" s="34">
        <f t="shared" si="0"/>
        <v>20.324965124488198</v>
      </c>
      <c r="I23" s="34">
        <f t="shared" si="0"/>
        <v>20.181305398871878</v>
      </c>
    </row>
    <row r="24" spans="2:12" ht="15.75" x14ac:dyDescent="0.25">
      <c r="B24" s="33">
        <f t="shared" si="1"/>
        <v>2032</v>
      </c>
      <c r="C24" s="34">
        <v>151.07434114440403</v>
      </c>
      <c r="D24" s="34">
        <v>154.81201428877085</v>
      </c>
      <c r="E24" s="34">
        <f>IF(VLOOKUP($B24,'[1]Table 1'!$B$12:$C$33,2,FALSE)&lt;&gt;0,VLOOKUP($B24,'[1]Table 1'!$B$12:$C$33,2,FALSE),0)</f>
        <v>153.72</v>
      </c>
      <c r="G24" s="34">
        <f t="shared" si="0"/>
        <v>20.233893328030113</v>
      </c>
      <c r="H24" s="34">
        <f t="shared" si="0"/>
        <v>20.734492431261501</v>
      </c>
      <c r="I24" s="34">
        <f t="shared" si="0"/>
        <v>20.588235294117649</v>
      </c>
    </row>
    <row r="25" spans="2:12" ht="15.75" x14ac:dyDescent="0.25">
      <c r="B25" s="33"/>
      <c r="C25" s="35"/>
      <c r="D25" s="35"/>
      <c r="E25" s="35"/>
      <c r="G25" s="35"/>
    </row>
    <row r="26" spans="2:12" x14ac:dyDescent="0.2">
      <c r="B26" s="36" t="str">
        <f>"Nominal Levelized Payment at "&amp;TEXT($B$39,"0.000%")&amp;" Discount Rate (2)"</f>
        <v>Nominal Levelized Payment at 6.660% Discount Rate (2)</v>
      </c>
    </row>
    <row r="27" spans="2:12" x14ac:dyDescent="0.2">
      <c r="B27" s="37" t="str">
        <f>$B$10&amp;" - "&amp;B24</f>
        <v>2018 - 2032</v>
      </c>
      <c r="C27" s="38">
        <f>PMT($B$39,COUNT(C10:C24),-NPV($B$39,C10:C24))</f>
        <v>20.756348002420943</v>
      </c>
      <c r="D27" s="38">
        <f>PMT($B$39,COUNT(D10:D24),-NPV($B$39,D10:D24))</f>
        <v>21.249899220313104</v>
      </c>
      <c r="E27" s="38">
        <f>PMT($B$39,COUNT(E10:E24),-NPV($B$39,E10:E24))</f>
        <v>19.652004293099566</v>
      </c>
      <c r="G27" s="38">
        <f>PMT($B$39,COUNT(G10:G24),-NPV($B$39,G10:G24))</f>
        <v>2.7850521235592454</v>
      </c>
      <c r="H27" s="38">
        <f>PMT($B$39,COUNT(H10:H24),-NPV($B$39,H10:H24))</f>
        <v>2.851274093014192</v>
      </c>
      <c r="I27" s="38">
        <f>PMT($B$39,COUNT(I10:I24),-NPV($B$39,I10:I24))</f>
        <v>2.6369658726601606</v>
      </c>
    </row>
    <row r="29" spans="2:12" x14ac:dyDescent="0.2">
      <c r="B29" s="28" t="s">
        <v>3</v>
      </c>
    </row>
    <row r="30" spans="2:12" s="1" customFormat="1" x14ac:dyDescent="0.2">
      <c r="B30" s="28" t="s">
        <v>32</v>
      </c>
      <c r="C30" s="28"/>
      <c r="D30" s="28"/>
      <c r="E30" s="28"/>
      <c r="F30" s="28"/>
      <c r="G30" s="28"/>
      <c r="K30"/>
      <c r="L30"/>
    </row>
    <row r="31" spans="2:12" x14ac:dyDescent="0.2">
      <c r="B31" s="28" t="s">
        <v>34</v>
      </c>
    </row>
    <row r="32" spans="2:12" hidden="1" x14ac:dyDescent="0.2">
      <c r="B32" s="28" t="s">
        <v>35</v>
      </c>
    </row>
    <row r="33" spans="2:2" x14ac:dyDescent="0.2">
      <c r="B33" s="28" t="s">
        <v>36</v>
      </c>
    </row>
    <row r="34" spans="2:2" x14ac:dyDescent="0.2">
      <c r="B34" s="28" t="str">
        <f>"(5)  Capacity costs reflect - "</f>
        <v xml:space="preserve">(5)  Capacity costs reflect - </v>
      </c>
    </row>
    <row r="35" spans="2:2" x14ac:dyDescent="0.2">
      <c r="B35" s="28" t="str">
        <f>"     "&amp;TRIM('[1]Table 1'!$B$45)</f>
        <v xml:space="preserve">     2030 - Utah - 635 MW - CCCT Dry "F" 2x1 - East Side Resource (5,050') ( 100.0%)</v>
      </c>
    </row>
    <row r="38" spans="2:2" x14ac:dyDescent="0.2">
      <c r="B38" s="65" t="s">
        <v>16</v>
      </c>
    </row>
    <row r="39" spans="2:2" x14ac:dyDescent="0.2">
      <c r="B39" s="39">
        <f>Discount_Rate</f>
        <v>6.6600000000000006E-2</v>
      </c>
    </row>
  </sheetData>
  <printOptions horizontalCentered="1"/>
  <pageMargins left="0.25" right="0.25" top="0.75" bottom="0.75" header="0.3" footer="0.2"/>
  <pageSetup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Incremental</vt:lpstr>
      <vt:lpstr>Total</vt:lpstr>
      <vt:lpstr>Energy</vt:lpstr>
      <vt:lpstr>Capacity</vt:lpstr>
      <vt:lpstr>Discount_Rate</vt:lpstr>
      <vt:lpstr>Capacity!Print_Area</vt:lpstr>
      <vt:lpstr>Energy!Print_Area</vt:lpstr>
      <vt:lpstr>Incremental!Print_Area</vt:lpstr>
      <vt:lpstr>Total!Print_Area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2017-03-29T19:48:57Z</dcterms:created>
  <dcterms:modified xsi:type="dcterms:W3CDTF">2017-03-31T19:45:38Z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