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0695" activeTab="1"/>
  </bookViews>
  <sheets>
    <sheet name="Queue" sheetId="1" r:id="rId1"/>
    <sheet name="Displacement" sheetId="2" r:id="rId2"/>
  </sheets>
  <externalReferences>
    <externalReference r:id="rId3"/>
  </externalReferences>
  <definedNames>
    <definedName name="_xlnm._FilterDatabase" localSheetId="0" hidden="1">Queue!$B$3:$I$108</definedName>
    <definedName name="_Order1" hidden="1">255</definedName>
    <definedName name="_Order2" hidden="1">0</definedName>
    <definedName name="AC_Case">Queue!$D$108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Base_Case">Queue!$D$105</definedName>
    <definedName name="CC_E_Fixed">Queue!$L$6</definedName>
    <definedName name="CC_E_Gas">Queue!$L$8</definedName>
    <definedName name="CC_E_Hydro">Queue!$L$9</definedName>
    <definedName name="CC_E_Tracking">Queue!$L$7</definedName>
    <definedName name="CC_E_Wind">Queue!$L$5</definedName>
    <definedName name="CC_W_Fixed">Queue!$O$6</definedName>
    <definedName name="CC_W_Gas">Queue!$O$8</definedName>
    <definedName name="CC_W_Hydro">Queue!$O$9</definedName>
    <definedName name="CC_W_Tracking">Queue!$O$7</definedName>
    <definedName name="CC_W_Wind">Queue!$O$5</definedName>
    <definedName name="_xlnm.Print_Area" localSheetId="0">Queue!$B$1:$I$108</definedName>
    <definedName name="Signed_MW" localSheetId="0">Queue!$D$27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74" i="1"/>
  <c r="D85" i="1"/>
  <c r="D75" i="1"/>
  <c r="D65" i="1"/>
  <c r="D64" i="1"/>
  <c r="D55" i="1"/>
  <c r="G55" i="1" s="1"/>
  <c r="D39" i="1"/>
  <c r="G39" i="1" s="1"/>
  <c r="D38" i="1"/>
  <c r="G38" i="1" s="1"/>
  <c r="D37" i="1"/>
  <c r="G37" i="1" s="1"/>
  <c r="D33" i="1"/>
  <c r="G33" i="1" s="1"/>
  <c r="D86" i="1"/>
  <c r="G86" i="1" s="1"/>
  <c r="D84" i="1"/>
  <c r="D83" i="1"/>
  <c r="D82" i="1"/>
  <c r="G82" i="1" s="1"/>
  <c r="D81" i="1"/>
  <c r="G81" i="1" s="1"/>
  <c r="D80" i="1"/>
  <c r="D79" i="1"/>
  <c r="D78" i="1"/>
  <c r="G78" i="1" s="1"/>
  <c r="D77" i="1"/>
  <c r="G77" i="1" s="1"/>
  <c r="D76" i="1"/>
  <c r="D73" i="1"/>
  <c r="D72" i="1"/>
  <c r="D71" i="1"/>
  <c r="D70" i="1"/>
  <c r="G70" i="1" s="1"/>
  <c r="D69" i="1"/>
  <c r="D68" i="1"/>
  <c r="D67" i="1"/>
  <c r="D63" i="1"/>
  <c r="G63" i="1" s="1"/>
  <c r="D62" i="1"/>
  <c r="D61" i="1"/>
  <c r="D60" i="1"/>
  <c r="D59" i="1"/>
  <c r="G59" i="1" s="1"/>
  <c r="D58" i="1"/>
  <c r="G58" i="1" s="1"/>
  <c r="D57" i="1"/>
  <c r="D56" i="1"/>
  <c r="D54" i="1"/>
  <c r="G54" i="1" s="1"/>
  <c r="D53" i="1"/>
  <c r="G53" i="1" s="1"/>
  <c r="D52" i="1"/>
  <c r="D51" i="1"/>
  <c r="G51" i="1" s="1"/>
  <c r="D50" i="1"/>
  <c r="G50" i="1" s="1"/>
  <c r="D49" i="1"/>
  <c r="G49" i="1" s="1"/>
  <c r="D48" i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6" i="1"/>
  <c r="D35" i="1"/>
  <c r="G35" i="1" s="1"/>
  <c r="D34" i="1"/>
  <c r="G34" i="1" s="1"/>
  <c r="D32" i="1"/>
  <c r="G32" i="1" s="1"/>
  <c r="D31" i="1"/>
  <c r="D30" i="1"/>
  <c r="E12" i="2"/>
  <c r="K12" i="2" s="1"/>
  <c r="B12" i="2"/>
  <c r="E11" i="2"/>
  <c r="H9" i="2"/>
  <c r="M5" i="2"/>
  <c r="L5" i="2"/>
  <c r="K5" i="2"/>
  <c r="J5" i="2"/>
  <c r="I5" i="2"/>
  <c r="H5" i="2"/>
  <c r="G5" i="2"/>
  <c r="I9" i="2" s="1"/>
  <c r="F5" i="2"/>
  <c r="L9" i="2" s="1"/>
  <c r="E5" i="2"/>
  <c r="K9" i="2" s="1"/>
  <c r="D5" i="2"/>
  <c r="C5" i="2"/>
  <c r="E9" i="2" s="1"/>
  <c r="D107" i="1"/>
  <c r="G107" i="1" s="1"/>
  <c r="G66" i="1"/>
  <c r="G62" i="1"/>
  <c r="G31" i="1"/>
  <c r="B30" i="1"/>
  <c r="N12" i="1"/>
  <c r="N9" i="1"/>
  <c r="E9" i="1"/>
  <c r="E27" i="1" s="1"/>
  <c r="N8" i="1"/>
  <c r="N7" i="1"/>
  <c r="N6" i="1"/>
  <c r="F6" i="1"/>
  <c r="D6" i="1"/>
  <c r="G6" i="1" s="1"/>
  <c r="B6" i="1"/>
  <c r="B7" i="1" s="1"/>
  <c r="B8" i="1" s="1"/>
  <c r="B9" i="1" s="1"/>
  <c r="N5" i="1"/>
  <c r="F5" i="1"/>
  <c r="D5" i="1"/>
  <c r="D27" i="1" s="1"/>
  <c r="G74" i="1" l="1"/>
  <c r="D103" i="1"/>
  <c r="D105" i="1" s="1"/>
  <c r="G30" i="1"/>
  <c r="G52" i="1"/>
  <c r="G64" i="1"/>
  <c r="G48" i="1"/>
  <c r="G44" i="1"/>
  <c r="G56" i="1"/>
  <c r="G40" i="1"/>
  <c r="G60" i="1"/>
  <c r="G36" i="1"/>
  <c r="G76" i="1"/>
  <c r="G5" i="1"/>
  <c r="G72" i="1"/>
  <c r="G73" i="1"/>
  <c r="G75" i="1"/>
  <c r="E103" i="1"/>
  <c r="E105" i="1" s="1"/>
  <c r="G57" i="1"/>
  <c r="G61" i="1"/>
  <c r="G65" i="1"/>
  <c r="G67" i="1"/>
  <c r="G80" i="1"/>
  <c r="G83" i="1"/>
  <c r="G79" i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G68" i="1"/>
  <c r="G69" i="1"/>
  <c r="G71" i="1"/>
  <c r="G84" i="1"/>
  <c r="G85" i="1"/>
  <c r="I11" i="2"/>
  <c r="H11" i="2"/>
  <c r="K11" i="2"/>
  <c r="M9" i="2"/>
  <c r="F12" i="2"/>
  <c r="B13" i="2"/>
  <c r="F39" i="2" l="1"/>
  <c r="D108" i="1"/>
  <c r="H12" i="2"/>
  <c r="B107" i="1"/>
  <c r="B14" i="2"/>
  <c r="F13" i="2"/>
  <c r="L11" i="2"/>
  <c r="L12" i="2" s="1"/>
  <c r="E13" i="2" l="1"/>
  <c r="G39" i="2"/>
  <c r="M12" i="2"/>
  <c r="M11" i="2"/>
  <c r="B15" i="2"/>
  <c r="F14" i="2"/>
  <c r="H13" i="2"/>
  <c r="I12" i="2"/>
  <c r="I13" i="2" l="1"/>
  <c r="K13" i="2"/>
  <c r="B16" i="2"/>
  <c r="F15" i="2"/>
  <c r="E14" i="2"/>
  <c r="I14" i="2" l="1"/>
  <c r="K14" i="2"/>
  <c r="B17" i="2"/>
  <c r="F16" i="2"/>
  <c r="H14" i="2"/>
  <c r="E15" i="2"/>
  <c r="M13" i="2"/>
  <c r="L13" i="2"/>
  <c r="L14" i="2" l="1"/>
  <c r="L15" i="2" s="1"/>
  <c r="I15" i="2"/>
  <c r="K15" i="2"/>
  <c r="H15" i="2"/>
  <c r="H16" i="2" s="1"/>
  <c r="B18" i="2"/>
  <c r="F17" i="2"/>
  <c r="E16" i="2"/>
  <c r="M14" i="2"/>
  <c r="H17" i="2" l="1"/>
  <c r="I16" i="2"/>
  <c r="K16" i="2"/>
  <c r="B19" i="2"/>
  <c r="F18" i="2"/>
  <c r="E18" i="2"/>
  <c r="M15" i="2"/>
  <c r="E17" i="2"/>
  <c r="K18" i="2" l="1"/>
  <c r="M16" i="2"/>
  <c r="L16" i="2"/>
  <c r="B20" i="2"/>
  <c r="F19" i="2"/>
  <c r="H18" i="2"/>
  <c r="I17" i="2"/>
  <c r="K17" i="2"/>
  <c r="E19" i="2" l="1"/>
  <c r="H19" i="2"/>
  <c r="B21" i="2"/>
  <c r="F20" i="2"/>
  <c r="E20" i="2"/>
  <c r="M17" i="2"/>
  <c r="L17" i="2"/>
  <c r="L18" i="2" s="1"/>
  <c r="I18" i="2"/>
  <c r="H20" i="2" l="1"/>
  <c r="I20" i="2"/>
  <c r="K20" i="2"/>
  <c r="M18" i="2"/>
  <c r="B22" i="2"/>
  <c r="F21" i="2"/>
  <c r="I19" i="2"/>
  <c r="K19" i="2"/>
  <c r="B23" i="2" l="1"/>
  <c r="F22" i="2"/>
  <c r="E22" i="2"/>
  <c r="H21" i="2"/>
  <c r="H22" i="2" s="1"/>
  <c r="E21" i="2"/>
  <c r="L19" i="2"/>
  <c r="L20" i="2" s="1"/>
  <c r="M20" i="2" s="1"/>
  <c r="B24" i="2" l="1"/>
  <c r="F23" i="2"/>
  <c r="I22" i="2"/>
  <c r="K22" i="2"/>
  <c r="I21" i="2"/>
  <c r="K21" i="2"/>
  <c r="M19" i="2"/>
  <c r="H23" i="2" l="1"/>
  <c r="E23" i="2"/>
  <c r="M22" i="2"/>
  <c r="B25" i="2"/>
  <c r="F24" i="2"/>
  <c r="E24" i="2"/>
  <c r="M21" i="2"/>
  <c r="L21" i="2"/>
  <c r="L22" i="2" s="1"/>
  <c r="K24" i="2" l="1"/>
  <c r="L23" i="2"/>
  <c r="L24" i="2" s="1"/>
  <c r="L25" i="2" s="1"/>
  <c r="L26" i="2" s="1"/>
  <c r="I23" i="2"/>
  <c r="K23" i="2"/>
  <c r="B26" i="2"/>
  <c r="F25" i="2"/>
  <c r="H24" i="2"/>
  <c r="H25" i="2" s="1"/>
  <c r="H26" i="2" s="1"/>
  <c r="M24" i="2" l="1"/>
  <c r="B27" i="2"/>
  <c r="F26" i="2"/>
  <c r="L27" i="2" s="1"/>
  <c r="E26" i="2"/>
  <c r="E25" i="2"/>
  <c r="M23" i="2"/>
  <c r="I24" i="2"/>
  <c r="H27" i="2" l="1"/>
  <c r="I26" i="2"/>
  <c r="K26" i="2"/>
  <c r="M26" i="2" s="1"/>
  <c r="I25" i="2"/>
  <c r="K25" i="2"/>
  <c r="M25" i="2" s="1"/>
  <c r="B28" i="2"/>
  <c r="F27" i="2"/>
  <c r="L28" i="2" s="1"/>
  <c r="B29" i="2" l="1"/>
  <c r="F28" i="2"/>
  <c r="L29" i="2" s="1"/>
  <c r="E28" i="2"/>
  <c r="H28" i="2"/>
  <c r="H29" i="2" s="1"/>
  <c r="E27" i="2"/>
  <c r="I27" i="2" l="1"/>
  <c r="K27" i="2"/>
  <c r="M27" i="2" s="1"/>
  <c r="B30" i="2"/>
  <c r="F29" i="2"/>
  <c r="F30" i="2" s="1"/>
  <c r="F31" i="2" s="1"/>
  <c r="F32" i="2" s="1"/>
  <c r="F33" i="2" s="1"/>
  <c r="F34" i="2" s="1"/>
  <c r="F35" i="2" s="1"/>
  <c r="F36" i="2" s="1"/>
  <c r="E29" i="2"/>
  <c r="I28" i="2"/>
  <c r="K28" i="2"/>
  <c r="M28" i="2" s="1"/>
  <c r="I29" i="2" l="1"/>
  <c r="K29" i="2"/>
  <c r="M29" i="2" s="1"/>
  <c r="H30" i="2"/>
  <c r="H31" i="2" s="1"/>
  <c r="H32" i="2" s="1"/>
  <c r="H33" i="2" s="1"/>
  <c r="H34" i="2" s="1"/>
  <c r="H35" i="2" s="1"/>
  <c r="H36" i="2" s="1"/>
  <c r="F40" i="2" s="1"/>
  <c r="B31" i="2"/>
  <c r="E30" i="2"/>
  <c r="L30" i="2"/>
  <c r="L31" i="2" s="1"/>
  <c r="L32" i="2" s="1"/>
  <c r="L33" i="2" s="1"/>
  <c r="L34" i="2" s="1"/>
  <c r="L35" i="2" s="1"/>
  <c r="L36" i="2" s="1"/>
  <c r="G40" i="2" s="1"/>
  <c r="I30" i="2" l="1"/>
  <c r="K30" i="2"/>
  <c r="M30" i="2" s="1"/>
  <c r="B32" i="2"/>
  <c r="B33" i="2" l="1"/>
  <c r="E32" i="2"/>
  <c r="E31" i="2"/>
  <c r="I32" i="2" l="1"/>
  <c r="K32" i="2"/>
  <c r="M32" i="2" s="1"/>
  <c r="B34" i="2"/>
  <c r="G34" i="2"/>
  <c r="G35" i="2" s="1"/>
  <c r="G36" i="2" s="1"/>
  <c r="I31" i="2"/>
  <c r="K31" i="2"/>
  <c r="M31" i="2" s="1"/>
  <c r="B35" i="2" l="1"/>
  <c r="E34" i="2"/>
  <c r="E33" i="2"/>
  <c r="I33" i="2" l="1"/>
  <c r="K33" i="2"/>
  <c r="M33" i="2" s="1"/>
  <c r="I34" i="2"/>
  <c r="K34" i="2"/>
  <c r="M34" i="2" s="1"/>
  <c r="B36" i="2"/>
  <c r="E35" i="2" l="1"/>
  <c r="E36" i="2"/>
  <c r="I36" i="2" l="1"/>
  <c r="K36" i="2"/>
  <c r="M36" i="2" s="1"/>
  <c r="I35" i="2"/>
  <c r="K35" i="2"/>
  <c r="M35" i="2" s="1"/>
</calcChain>
</file>

<file path=xl/sharedStrings.xml><?xml version="1.0" encoding="utf-8"?>
<sst xmlns="http://schemas.openxmlformats.org/spreadsheetml/2006/main" count="114" uniqueCount="106">
  <si>
    <t>QF Queue</t>
  </si>
  <si>
    <t>Capacity Contribution</t>
  </si>
  <si>
    <t>No.</t>
  </si>
  <si>
    <t>QF</t>
  </si>
  <si>
    <t>Partial Displacement</t>
  </si>
  <si>
    <t>Name plate</t>
  </si>
  <si>
    <t>CF</t>
  </si>
  <si>
    <t>Start Date</t>
  </si>
  <si>
    <t>Type</t>
  </si>
  <si>
    <t>East</t>
  </si>
  <si>
    <t>West</t>
  </si>
  <si>
    <t>Pavant Solar III</t>
  </si>
  <si>
    <t>Signed</t>
  </si>
  <si>
    <t xml:space="preserve">Wind </t>
  </si>
  <si>
    <t>Sweetwater Solar</t>
  </si>
  <si>
    <t>Fixed</t>
  </si>
  <si>
    <t>Orchard Wind Farm</t>
  </si>
  <si>
    <t>Tracking</t>
  </si>
  <si>
    <t>Chevron Wind</t>
  </si>
  <si>
    <t xml:space="preserve">Gas </t>
  </si>
  <si>
    <t>Surprise Valley Geothermal</t>
  </si>
  <si>
    <t xml:space="preserve">Hydro </t>
  </si>
  <si>
    <t>Total Signed MW</t>
  </si>
  <si>
    <t>QF - 245 - WY - Wind</t>
  </si>
  <si>
    <t>QF - 246 - WY - Wind</t>
  </si>
  <si>
    <t>QF - 247 - WY - Wind</t>
  </si>
  <si>
    <t>QF - 249 - OR - Solar</t>
  </si>
  <si>
    <t>QF - 256 - UT - Solar</t>
  </si>
  <si>
    <t>QF - 277 - WY - Solar</t>
  </si>
  <si>
    <t>QF - 278 - WY - Solar</t>
  </si>
  <si>
    <t>QF - 279 - OR - Solar</t>
  </si>
  <si>
    <t>QF - 280 - OR - Solar</t>
  </si>
  <si>
    <t>QF - 281 - OR - Solar</t>
  </si>
  <si>
    <t>QF - 282 - WY - Solar</t>
  </si>
  <si>
    <t>QF - 285 - WY - Wind</t>
  </si>
  <si>
    <t>QF - 286 - WY - Wind</t>
  </si>
  <si>
    <t>QF - 287 - WY - Wind</t>
  </si>
  <si>
    <t>QF - 288 - WY - Wind</t>
  </si>
  <si>
    <t>QF - 289 - UT - Solar</t>
  </si>
  <si>
    <t>QF - 290 - UT - Solar</t>
  </si>
  <si>
    <t>QF - 291 - UT - Solar</t>
  </si>
  <si>
    <t>QF - 302 - WY - Solar</t>
  </si>
  <si>
    <t>QF - 304 - WY - Solar</t>
  </si>
  <si>
    <t>QF - 305 - WY - Solar</t>
  </si>
  <si>
    <t>QF - 308 - WY - Wind</t>
  </si>
  <si>
    <t>QF - 309 - WY - Wind</t>
  </si>
  <si>
    <t>QF - 310 - WY - Wind</t>
  </si>
  <si>
    <t>QF - 311 - WY - Wind</t>
  </si>
  <si>
    <t>QF - 284 - OR - Solar</t>
  </si>
  <si>
    <t>QF - 313 - UT - Solar</t>
  </si>
  <si>
    <t>QF - 315 - UT - Solar</t>
  </si>
  <si>
    <t>QF - 317 - UT - Solar</t>
  </si>
  <si>
    <t>QF - 319 - UT - Solar</t>
  </si>
  <si>
    <t>QF - 321 - UT - Solar</t>
  </si>
  <si>
    <t>QF - 323 - UT - Solar</t>
  </si>
  <si>
    <t>QF - 325 - UT - Solar</t>
  </si>
  <si>
    <t>QF - 326 - UT - Solar</t>
  </si>
  <si>
    <t>QF - 327 - OR - Solar</t>
  </si>
  <si>
    <t>QF - 328 - OR - Solar</t>
  </si>
  <si>
    <t>QF - 336 - UT - Solar</t>
  </si>
  <si>
    <t>QF - 337 - WY - Solar</t>
  </si>
  <si>
    <t>QF - 338 - UT - Solar</t>
  </si>
  <si>
    <t>QF - 339 - WY - Wind</t>
  </si>
  <si>
    <t>QF - 340 - WY - Solar</t>
  </si>
  <si>
    <t>QF - 342 - UT - Solar</t>
  </si>
  <si>
    <t>QF - 348 - WY - Solar</t>
  </si>
  <si>
    <t>QF - 349 - WY - Solar</t>
  </si>
  <si>
    <t>QF - 350 - UT - Solar</t>
  </si>
  <si>
    <t>QF - 351 - OR - Solar</t>
  </si>
  <si>
    <t>QF - 356 - UT - Solar</t>
  </si>
  <si>
    <t>QF - 357 - UT - Solar</t>
  </si>
  <si>
    <t>QF - 358 - UT - Solar</t>
  </si>
  <si>
    <t>QF - 359 - UT - Solar</t>
  </si>
  <si>
    <t>QF - 360 - UT - Solar</t>
  </si>
  <si>
    <t>QF - 361 - UT - Solar</t>
  </si>
  <si>
    <t>QF - 362 - UT - Solar</t>
  </si>
  <si>
    <t>QF - 363 - UT - Solar</t>
  </si>
  <si>
    <t>QF - 364 - UT - Solar</t>
  </si>
  <si>
    <t>QF - 254 - OR - Solar</t>
  </si>
  <si>
    <t>QF - 365 - UT - Wind</t>
  </si>
  <si>
    <t>Total Potential MW</t>
  </si>
  <si>
    <t>Total Partial Displacement</t>
  </si>
  <si>
    <t>Avoided Cost Resource</t>
  </si>
  <si>
    <t>Partial Displacement after QF</t>
  </si>
  <si>
    <t>Displacement</t>
  </si>
  <si>
    <t>Nameplate</t>
  </si>
  <si>
    <t>Partial Displacement Adjusted for Solar Degradation</t>
  </si>
  <si>
    <t>MW Capacity (July)</t>
  </si>
  <si>
    <t>Signed &amp; Potential QFs</t>
  </si>
  <si>
    <t xml:space="preserve">Base Case </t>
  </si>
  <si>
    <t>Avoided Cost Case</t>
  </si>
  <si>
    <t>Year</t>
  </si>
  <si>
    <t>Adjusted For Solar Degradation</t>
  </si>
  <si>
    <t>Potential</t>
  </si>
  <si>
    <t>Total</t>
  </si>
  <si>
    <t>CCCT MW</t>
  </si>
  <si>
    <t>FOT</t>
  </si>
  <si>
    <t>CCCT</t>
  </si>
  <si>
    <t>New QF</t>
  </si>
  <si>
    <t>CCCT Partial Displacement in 2030</t>
  </si>
  <si>
    <t>Base Case</t>
  </si>
  <si>
    <t>AC Case</t>
  </si>
  <si>
    <t xml:space="preserve">    Before Solar Degradation</t>
  </si>
  <si>
    <t xml:space="preserve">    After Solar Degradation</t>
  </si>
  <si>
    <t>Cumulative</t>
  </si>
  <si>
    <t>2015 IRP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</si>
</sst>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[Red]_(* \(#,##0\);_(* &quot;-&quot;_);_(@_)"/>
    <numFmt numFmtId="165" formatCode="0.0%"/>
    <numFmt numFmtId="166" formatCode="yyyy\ mm\ dd"/>
    <numFmt numFmtId="167" formatCode="yyyy\ mmm\ dd"/>
    <numFmt numFmtId="168" formatCode="0.0"/>
    <numFmt numFmtId="169" formatCode="#,##0.0_);\(#,##0.0\)"/>
    <numFmt numFmtId="170" formatCode="_(* #,##0.0_);_(* \(#,##0.0\);_(* &quot;-&quot;_);_(@_)"/>
    <numFmt numFmtId="171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164" fontId="0" fillId="0" borderId="0" xfId="0"/>
    <xf numFmtId="164" fontId="3" fillId="0" borderId="0" xfId="0" applyFont="1" applyFill="1"/>
    <xf numFmtId="164" fontId="3" fillId="0" borderId="0" xfId="2" applyFont="1" applyFill="1"/>
    <xf numFmtId="164" fontId="3" fillId="0" borderId="3" xfId="0" applyFont="1" applyFill="1" applyBorder="1" applyAlignment="1">
      <alignment horizontal="centerContinuous"/>
    </xf>
    <xf numFmtId="164" fontId="6" fillId="0" borderId="4" xfId="2" applyFont="1" applyFill="1" applyBorder="1" applyAlignment="1">
      <alignment horizontal="centerContinuous"/>
    </xf>
    <xf numFmtId="164" fontId="3" fillId="0" borderId="2" xfId="0" applyFont="1" applyFill="1" applyBorder="1" applyAlignment="1">
      <alignment horizontal="centerContinuous"/>
    </xf>
    <xf numFmtId="0" fontId="5" fillId="0" borderId="6" xfId="2" applyNumberFormat="1" applyFont="1" applyFill="1" applyBorder="1" applyAlignment="1">
      <alignment horizontal="centerContinuous" wrapText="1"/>
    </xf>
    <xf numFmtId="164" fontId="5" fillId="0" borderId="7" xfId="2" applyFont="1" applyFill="1" applyBorder="1" applyAlignment="1">
      <alignment horizontal="centerContinuous" wrapText="1"/>
    </xf>
    <xf numFmtId="164" fontId="5" fillId="0" borderId="6" xfId="2" applyFont="1" applyFill="1" applyBorder="1" applyAlignment="1">
      <alignment horizontal="centerContinuous" wrapText="1"/>
    </xf>
    <xf numFmtId="164" fontId="3" fillId="0" borderId="6" xfId="0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left"/>
    </xf>
    <xf numFmtId="43" fontId="3" fillId="0" borderId="8" xfId="4" applyFont="1" applyFill="1" applyBorder="1"/>
    <xf numFmtId="165" fontId="3" fillId="0" borderId="9" xfId="5" applyNumberFormat="1" applyFont="1" applyFill="1" applyBorder="1"/>
    <xf numFmtId="166" fontId="3" fillId="0" borderId="9" xfId="2" applyNumberFormat="1" applyFont="1" applyFill="1" applyBorder="1"/>
    <xf numFmtId="0" fontId="3" fillId="0" borderId="7" xfId="2" applyNumberFormat="1" applyFont="1" applyFill="1" applyBorder="1" applyAlignment="1">
      <alignment horizontal="center"/>
    </xf>
    <xf numFmtId="43" fontId="3" fillId="0" borderId="7" xfId="4" applyFont="1" applyFill="1" applyBorder="1"/>
    <xf numFmtId="2" fontId="3" fillId="0" borderId="7" xfId="2" applyNumberFormat="1" applyFont="1" applyFill="1" applyBorder="1" applyAlignment="1">
      <alignment horizontal="center"/>
    </xf>
    <xf numFmtId="165" fontId="3" fillId="0" borderId="10" xfId="5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6" fontId="3" fillId="0" borderId="10" xfId="4" applyNumberFormat="1" applyFont="1" applyFill="1" applyBorder="1" applyAlignment="1">
      <alignment horizontal="center"/>
    </xf>
    <xf numFmtId="164" fontId="3" fillId="0" borderId="4" xfId="0" applyFont="1" applyFill="1" applyBorder="1"/>
    <xf numFmtId="165" fontId="3" fillId="0" borderId="4" xfId="5" applyNumberFormat="1" applyFont="1" applyFill="1" applyBorder="1"/>
    <xf numFmtId="165" fontId="3" fillId="0" borderId="7" xfId="6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43" fontId="3" fillId="0" borderId="11" xfId="4" applyFont="1" applyFill="1" applyBorder="1"/>
    <xf numFmtId="2" fontId="3" fillId="0" borderId="6" xfId="2" applyNumberFormat="1" applyFont="1" applyFill="1" applyBorder="1" applyAlignment="1">
      <alignment horizontal="center"/>
    </xf>
    <xf numFmtId="165" fontId="3" fillId="0" borderId="12" xfId="5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6" fontId="3" fillId="0" borderId="12" xfId="4" applyNumberFormat="1" applyFont="1" applyFill="1" applyBorder="1" applyAlignment="1">
      <alignment horizontal="center"/>
    </xf>
    <xf numFmtId="2" fontId="3" fillId="0" borderId="4" xfId="4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6" fontId="3" fillId="0" borderId="3" xfId="4" applyNumberFormat="1" applyFont="1" applyFill="1" applyBorder="1" applyAlignment="1">
      <alignment horizontal="center"/>
    </xf>
    <xf numFmtId="164" fontId="3" fillId="0" borderId="0" xfId="0" applyFont="1" applyFill="1" applyBorder="1"/>
    <xf numFmtId="0" fontId="3" fillId="0" borderId="0" xfId="4" applyNumberFormat="1" applyFont="1" applyFill="1" applyBorder="1" applyAlignment="1">
      <alignment horizontal="center"/>
    </xf>
    <xf numFmtId="43" fontId="3" fillId="0" borderId="0" xfId="4" applyFont="1" applyFill="1" applyBorder="1"/>
    <xf numFmtId="2" fontId="3" fillId="0" borderId="0" xfId="4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3" fillId="0" borderId="0" xfId="4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>
      <alignment horizontal="left"/>
    </xf>
    <xf numFmtId="165" fontId="3" fillId="0" borderId="9" xfId="1" applyNumberFormat="1" applyFont="1" applyFill="1" applyBorder="1" applyAlignment="1">
      <alignment horizontal="center"/>
    </xf>
    <xf numFmtId="164" fontId="5" fillId="0" borderId="0" xfId="0" applyFont="1" applyFill="1"/>
    <xf numFmtId="164" fontId="7" fillId="0" borderId="0" xfId="0" applyFont="1"/>
    <xf numFmtId="164" fontId="7" fillId="0" borderId="0" xfId="0" applyFont="1" applyFill="1"/>
    <xf numFmtId="43" fontId="3" fillId="0" borderId="6" xfId="4" applyFont="1" applyFill="1" applyBorder="1"/>
    <xf numFmtId="43" fontId="3" fillId="0" borderId="13" xfId="4" applyFont="1" applyFill="1" applyBorder="1"/>
    <xf numFmtId="2" fontId="3" fillId="0" borderId="6" xfId="4" applyNumberFormat="1" applyFont="1" applyFill="1" applyBorder="1" applyAlignment="1">
      <alignment horizontal="center"/>
    </xf>
    <xf numFmtId="165" fontId="3" fillId="0" borderId="6" xfId="5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3" xfId="4" applyNumberFormat="1" applyFont="1" applyFill="1" applyBorder="1" applyAlignment="1">
      <alignment horizontal="center"/>
    </xf>
    <xf numFmtId="2" fontId="5" fillId="0" borderId="0" xfId="4" applyNumberFormat="1" applyFont="1" applyFill="1" applyAlignment="1">
      <alignment horizontal="center"/>
    </xf>
    <xf numFmtId="168" fontId="5" fillId="0" borderId="0" xfId="4" applyNumberFormat="1" applyFont="1" applyFill="1" applyAlignment="1">
      <alignment horizontal="center"/>
    </xf>
    <xf numFmtId="2" fontId="5" fillId="0" borderId="2" xfId="4" applyNumberFormat="1" applyFont="1" applyFill="1" applyBorder="1" applyAlignment="1">
      <alignment horizontal="center"/>
    </xf>
    <xf numFmtId="164" fontId="3" fillId="0" borderId="2" xfId="2" applyFont="1" applyFill="1" applyBorder="1"/>
    <xf numFmtId="165" fontId="3" fillId="0" borderId="2" xfId="2" applyNumberFormat="1" applyFont="1" applyFill="1" applyBorder="1" applyAlignment="1">
      <alignment horizontal="center"/>
    </xf>
    <xf numFmtId="164" fontId="3" fillId="0" borderId="3" xfId="2" applyFont="1" applyFill="1" applyBorder="1"/>
    <xf numFmtId="164" fontId="3" fillId="0" borderId="0" xfId="2" applyFont="1" applyFill="1" applyBorder="1"/>
    <xf numFmtId="169" fontId="3" fillId="0" borderId="0" xfId="4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43" fontId="3" fillId="0" borderId="4" xfId="4" applyFont="1" applyFill="1" applyBorder="1"/>
    <xf numFmtId="2" fontId="3" fillId="0" borderId="4" xfId="2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169" fontId="3" fillId="0" borderId="2" xfId="4" applyNumberFormat="1" applyFont="1" applyFill="1" applyBorder="1" applyAlignment="1">
      <alignment horizontal="center"/>
    </xf>
    <xf numFmtId="164" fontId="2" fillId="0" borderId="0" xfId="0" applyFont="1" applyAlignment="1">
      <alignment horizontal="centerContinuous"/>
    </xf>
    <xf numFmtId="164" fontId="0" fillId="0" borderId="0" xfId="0" applyFont="1"/>
    <xf numFmtId="164" fontId="0" fillId="0" borderId="0" xfId="0" applyFont="1" applyAlignment="1">
      <alignment horizontal="center"/>
    </xf>
    <xf numFmtId="164" fontId="5" fillId="0" borderId="5" xfId="2" applyFont="1" applyFill="1" applyBorder="1" applyAlignment="1">
      <alignment horizontal="center"/>
    </xf>
    <xf numFmtId="164" fontId="5" fillId="0" borderId="9" xfId="2" applyFont="1" applyFill="1" applyBorder="1" applyAlignment="1">
      <alignment horizontal="centerContinuous"/>
    </xf>
    <xf numFmtId="164" fontId="5" fillId="0" borderId="14" xfId="2" applyFont="1" applyFill="1" applyBorder="1" applyAlignment="1">
      <alignment horizontal="centerContinuous"/>
    </xf>
    <xf numFmtId="164" fontId="5" fillId="0" borderId="5" xfId="2" applyFont="1" applyFill="1" applyBorder="1" applyAlignment="1">
      <alignment horizontal="centerContinuous"/>
    </xf>
    <xf numFmtId="164" fontId="5" fillId="0" borderId="8" xfId="2" applyFont="1" applyFill="1" applyBorder="1" applyAlignment="1">
      <alignment horizontal="centerContinuous"/>
    </xf>
    <xf numFmtId="164" fontId="5" fillId="0" borderId="7" xfId="2" applyFont="1" applyFill="1" applyBorder="1" applyAlignment="1">
      <alignment horizontal="center"/>
    </xf>
    <xf numFmtId="164" fontId="5" fillId="0" borderId="6" xfId="2" applyFont="1" applyFill="1" applyBorder="1" applyAlignment="1">
      <alignment horizontal="centerContinuous"/>
    </xf>
    <xf numFmtId="164" fontId="5" fillId="0" borderId="12" xfId="2" applyFont="1" applyFill="1" applyBorder="1" applyAlignment="1">
      <alignment horizontal="centerContinuous"/>
    </xf>
    <xf numFmtId="164" fontId="0" fillId="0" borderId="6" xfId="0" applyFont="1" applyFill="1" applyBorder="1" applyAlignment="1">
      <alignment horizontal="center"/>
    </xf>
    <xf numFmtId="164" fontId="5" fillId="0" borderId="3" xfId="2" applyFont="1" applyFill="1" applyBorder="1" applyAlignment="1">
      <alignment horizontal="center"/>
    </xf>
    <xf numFmtId="164" fontId="5" fillId="0" borderId="4" xfId="2" applyFont="1" applyFill="1" applyBorder="1" applyAlignment="1">
      <alignment horizontal="center"/>
    </xf>
    <xf numFmtId="164" fontId="5" fillId="0" borderId="1" xfId="2" applyFont="1" applyFill="1" applyBorder="1" applyAlignment="1">
      <alignment horizontal="center"/>
    </xf>
    <xf numFmtId="164" fontId="5" fillId="0" borderId="6" xfId="2" applyFont="1" applyFill="1" applyBorder="1" applyAlignment="1">
      <alignment horizontal="center"/>
    </xf>
    <xf numFmtId="164" fontId="5" fillId="0" borderId="12" xfId="2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0" fontId="3" fillId="0" borderId="8" xfId="2" applyNumberFormat="1" applyFont="1" applyFill="1" applyBorder="1" applyAlignment="1">
      <alignment horizontal="center"/>
    </xf>
    <xf numFmtId="170" fontId="3" fillId="0" borderId="5" xfId="4" applyNumberFormat="1" applyFont="1" applyFill="1" applyBorder="1"/>
    <xf numFmtId="171" fontId="3" fillId="0" borderId="8" xfId="4" applyNumberFormat="1" applyFont="1" applyFill="1" applyBorder="1"/>
    <xf numFmtId="170" fontId="3" fillId="0" borderId="8" xfId="4" applyNumberFormat="1" applyFont="1" applyFill="1" applyBorder="1"/>
    <xf numFmtId="0" fontId="3" fillId="0" borderId="15" xfId="2" applyNumberFormat="1" applyFont="1" applyFill="1" applyBorder="1" applyAlignment="1">
      <alignment horizontal="center"/>
    </xf>
    <xf numFmtId="170" fontId="3" fillId="0" borderId="7" xfId="4" applyNumberFormat="1" applyFont="1" applyFill="1" applyBorder="1"/>
    <xf numFmtId="171" fontId="3" fillId="0" borderId="15" xfId="4" applyNumberFormat="1" applyFont="1" applyFill="1" applyBorder="1"/>
    <xf numFmtId="170" fontId="3" fillId="0" borderId="15" xfId="4" applyNumberFormat="1" applyFont="1" applyFill="1" applyBorder="1"/>
    <xf numFmtId="0" fontId="3" fillId="0" borderId="11" xfId="2" applyNumberFormat="1" applyFont="1" applyFill="1" applyBorder="1" applyAlignment="1">
      <alignment horizontal="center"/>
    </xf>
    <xf numFmtId="170" fontId="3" fillId="0" borderId="6" xfId="4" applyNumberFormat="1" applyFont="1" applyFill="1" applyBorder="1"/>
    <xf numFmtId="171" fontId="3" fillId="0" borderId="11" xfId="4" applyNumberFormat="1" applyFont="1" applyFill="1" applyBorder="1"/>
    <xf numFmtId="170" fontId="3" fillId="0" borderId="11" xfId="4" applyNumberFormat="1" applyFont="1" applyFill="1" applyBorder="1"/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43" fontId="3" fillId="0" borderId="6" xfId="4" applyNumberFormat="1" applyFont="1" applyFill="1" applyBorder="1"/>
    <xf numFmtId="43" fontId="3" fillId="0" borderId="4" xfId="4" applyNumberFormat="1" applyFont="1" applyFill="1" applyBorder="1"/>
    <xf numFmtId="164" fontId="3" fillId="0" borderId="0" xfId="4" applyNumberFormat="1" applyFont="1" applyFill="1" applyBorder="1" applyAlignment="1">
      <alignment horizontal="left"/>
    </xf>
    <xf numFmtId="167" fontId="7" fillId="0" borderId="0" xfId="0" applyNumberFormat="1" applyFont="1" applyFill="1"/>
    <xf numFmtId="0" fontId="5" fillId="0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43" fontId="3" fillId="0" borderId="1" xfId="4" applyFont="1" applyFill="1" applyBorder="1" applyAlignment="1">
      <alignment horizontal="left"/>
    </xf>
    <xf numFmtId="43" fontId="3" fillId="0" borderId="3" xfId="4" applyFont="1" applyFill="1" applyBorder="1" applyAlignment="1">
      <alignment horizontal="left"/>
    </xf>
    <xf numFmtId="164" fontId="3" fillId="0" borderId="1" xfId="2" applyFont="1" applyFill="1" applyBorder="1" applyAlignment="1">
      <alignment horizontal="left"/>
    </xf>
    <xf numFmtId="164" fontId="3" fillId="0" borderId="3" xfId="2" applyFont="1" applyFill="1" applyBorder="1" applyAlignment="1">
      <alignment horizontal="left"/>
    </xf>
    <xf numFmtId="164" fontId="3" fillId="0" borderId="2" xfId="2" applyFont="1" applyFill="1" applyBorder="1" applyAlignment="1">
      <alignment horizontal="left"/>
    </xf>
    <xf numFmtId="164" fontId="0" fillId="0" borderId="16" xfId="0" applyFont="1" applyBorder="1" applyAlignment="1"/>
    <xf numFmtId="164" fontId="0" fillId="0" borderId="17" xfId="0" applyBorder="1" applyAlignment="1"/>
    <xf numFmtId="164" fontId="0" fillId="0" borderId="18" xfId="0" applyBorder="1" applyAlignment="1"/>
    <xf numFmtId="164" fontId="0" fillId="0" borderId="11" xfId="0" applyFont="1" applyBorder="1" applyAlignment="1"/>
    <xf numFmtId="164" fontId="0" fillId="0" borderId="13" xfId="0" applyBorder="1" applyAlignment="1"/>
    <xf numFmtId="164" fontId="0" fillId="0" borderId="12" xfId="0" applyBorder="1" applyAlignment="1"/>
    <xf numFmtId="164" fontId="0" fillId="0" borderId="1" xfId="0" applyFont="1" applyBorder="1" applyAlignment="1"/>
    <xf numFmtId="164" fontId="0" fillId="0" borderId="2" xfId="0" applyBorder="1" applyAlignment="1"/>
    <xf numFmtId="164" fontId="0" fillId="0" borderId="3" xfId="0" applyBorder="1" applyAlignment="1"/>
  </cellXfs>
  <cellStyles count="7">
    <cellStyle name="Comma 2" xfId="4"/>
    <cellStyle name="Normal" xfId="0" builtinId="0"/>
    <cellStyle name="Normal_Thermal Attributes" xfId="3"/>
    <cellStyle name="Normal_xAC_Demand (Avoided Cost)" xfId="2"/>
    <cellStyle name="Percent" xfId="1" builtinId="5"/>
    <cellStyle name="Percent 2" xfId="5"/>
    <cellStyle name="Percent 3 2 2 2" xfId="6"/>
  </cellStyles>
  <dxfs count="21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voided%20Cost%20-%202017\45%20-%20UT%20Compliance%20Filing%202016.Q4%20-%202017%20Feb\Data\Source%20Files\xxx2017%20QF%20Pricing%20Request%20Study%20List%202017%200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xxx2017 QF Pricing Request Stud"/>
    </sheetNames>
    <definedNames>
      <definedName name="Active_CF" refersTo="='QF_Names'!$E$4:$E$79"/>
      <definedName name="Active_Deg_Method" refersTo="='QF_Names'!$N$4:$N$79"/>
      <definedName name="Active_Deg_Rate" refersTo="='QF_Names'!$M$4:$M$79"/>
      <definedName name="Active_Delivery_Point" refersTo="='QF_Names'!$C$4:$C$79"/>
      <definedName name="Active_MW" refersTo="='QF_Names'!$D$4:$D$79"/>
      <definedName name="Active_Name_Conf" refersTo="='QF_Names'!$A$4:$A$79"/>
      <definedName name="Active_Online" refersTo="='QF_Names'!$F$4:$F$79"/>
      <definedName name="Active_QF_Name" refersTo="='QF_Names'!$B$4:$B$79"/>
      <definedName name="Active_QF_Queue_Date" refersTo="='QF_Names'!$L$4:$L$79"/>
      <definedName name="Active_Status" refersTo="='QF_Names'!$K$4:$K$79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  <row r="59">
          <cell r="B59">
            <v>5</v>
          </cell>
          <cell r="C59" t="str">
            <v xml:space="preserve">ExxonMobil </v>
          </cell>
          <cell r="D59" t="str">
            <v>ExxonMobil  QF (2011)</v>
          </cell>
          <cell r="F59" t="str">
            <v>WY</v>
          </cell>
          <cell r="K59">
            <v>98</v>
          </cell>
          <cell r="L59">
            <v>0.75</v>
          </cell>
          <cell r="M59">
            <v>5</v>
          </cell>
          <cell r="N59">
            <v>40909</v>
          </cell>
        </row>
        <row r="60">
          <cell r="B60">
            <v>6</v>
          </cell>
          <cell r="C60" t="str">
            <v xml:space="preserve">XRG Wind </v>
          </cell>
          <cell r="F60" t="str">
            <v>ID</v>
          </cell>
          <cell r="K60">
            <v>72</v>
          </cell>
          <cell r="L60">
            <v>0.35499999999999998</v>
          </cell>
          <cell r="M60">
            <v>20</v>
          </cell>
          <cell r="N60">
            <v>41275</v>
          </cell>
        </row>
        <row r="61">
          <cell r="B61">
            <v>7</v>
          </cell>
          <cell r="C61" t="str">
            <v xml:space="preserve">Latigo Wind Park </v>
          </cell>
          <cell r="D61" t="str">
            <v>QF - 04 - UT - Wind</v>
          </cell>
          <cell r="E61" t="str">
            <v>Wasatch Wind</v>
          </cell>
          <cell r="F61" t="str">
            <v>UT</v>
          </cell>
          <cell r="K61">
            <v>59.2</v>
          </cell>
          <cell r="L61">
            <v>0.307</v>
          </cell>
          <cell r="M61">
            <v>20</v>
          </cell>
          <cell r="N61">
            <v>41244</v>
          </cell>
        </row>
        <row r="62">
          <cell r="B62" t="str">
            <v>2011.Q2</v>
          </cell>
          <cell r="C62" t="str">
            <v>2011.Q2 UT Compliance Filing</v>
          </cell>
          <cell r="E62" t="str">
            <v>Utah PSC</v>
          </cell>
          <cell r="F62" t="str">
            <v>UT</v>
          </cell>
          <cell r="K62">
            <v>100</v>
          </cell>
          <cell r="L62">
            <v>0.85</v>
          </cell>
          <cell r="M62">
            <v>20</v>
          </cell>
          <cell r="N62" t="str">
            <v>2011 Jan</v>
          </cell>
        </row>
        <row r="63">
          <cell r="B63">
            <v>8</v>
          </cell>
          <cell r="C63" t="str">
            <v xml:space="preserve">Big Wind Wyoming </v>
          </cell>
          <cell r="F63" t="str">
            <v>WY</v>
          </cell>
          <cell r="K63">
            <v>78.2</v>
          </cell>
          <cell r="L63">
            <v>0.40500000000000003</v>
          </cell>
          <cell r="M63">
            <v>20</v>
          </cell>
          <cell r="N63">
            <v>42186</v>
          </cell>
        </row>
        <row r="64">
          <cell r="B64">
            <v>9</v>
          </cell>
          <cell r="C64" t="str">
            <v xml:space="preserve">Kennecott Smelter </v>
          </cell>
          <cell r="D64" t="str">
            <v>Kennecott Smelter  QF (2011)</v>
          </cell>
          <cell r="F64" t="str">
            <v>UT</v>
          </cell>
          <cell r="K64">
            <v>31.8</v>
          </cell>
          <cell r="L64">
            <v>0.85</v>
          </cell>
          <cell r="M64">
            <v>5</v>
          </cell>
          <cell r="N64">
            <v>40909</v>
          </cell>
        </row>
        <row r="65">
          <cell r="B65">
            <v>10</v>
          </cell>
          <cell r="C65" t="str">
            <v xml:space="preserve">Kennecott Refinery </v>
          </cell>
          <cell r="D65" t="str">
            <v>Kennecott Refinery  QF (2011)</v>
          </cell>
          <cell r="F65" t="str">
            <v>UT</v>
          </cell>
          <cell r="K65">
            <v>7.5</v>
          </cell>
          <cell r="L65">
            <v>0.72</v>
          </cell>
          <cell r="M65">
            <v>5</v>
          </cell>
          <cell r="N65">
            <v>40909</v>
          </cell>
        </row>
        <row r="66">
          <cell r="B66">
            <v>11</v>
          </cell>
          <cell r="C66" t="str">
            <v xml:space="preserve">Black Canyon Wind </v>
          </cell>
          <cell r="D66" t="str">
            <v>QF - 06 - ID - Wind</v>
          </cell>
          <cell r="E66" t="str">
            <v>Intermountain Wind</v>
          </cell>
          <cell r="F66" t="str">
            <v>ID</v>
          </cell>
          <cell r="K66">
            <v>20</v>
          </cell>
          <cell r="L66">
            <v>0.29799999999999999</v>
          </cell>
          <cell r="M66">
            <v>20</v>
          </cell>
          <cell r="N66">
            <v>41275</v>
          </cell>
        </row>
        <row r="67">
          <cell r="B67">
            <v>12</v>
          </cell>
          <cell r="C67" t="str">
            <v>Blue Mtn Wind I</v>
          </cell>
          <cell r="D67" t="str">
            <v>QF - 07 - UT - Wind</v>
          </cell>
          <cell r="E67" t="str">
            <v>Redco (Renewable Energy Development Corp.)</v>
          </cell>
          <cell r="F67" t="str">
            <v>UT</v>
          </cell>
          <cell r="K67">
            <v>80</v>
          </cell>
          <cell r="L67">
            <v>0.29499999999999998</v>
          </cell>
          <cell r="M67">
            <v>20</v>
          </cell>
          <cell r="N67">
            <v>41639</v>
          </cell>
        </row>
        <row r="68">
          <cell r="B68">
            <v>13</v>
          </cell>
          <cell r="C68" t="str">
            <v xml:space="preserve">ExxonMobil </v>
          </cell>
          <cell r="D68" t="str">
            <v>ExxonMobil  QF (2011)</v>
          </cell>
          <cell r="F68" t="str">
            <v>WY</v>
          </cell>
          <cell r="K68">
            <v>98</v>
          </cell>
          <cell r="L68">
            <v>0.75</v>
          </cell>
          <cell r="M68">
            <v>5</v>
          </cell>
          <cell r="N68">
            <v>40909</v>
          </cell>
        </row>
        <row r="69">
          <cell r="B69">
            <v>14</v>
          </cell>
          <cell r="C69" t="str">
            <v xml:space="preserve">Meadow Creek Wind </v>
          </cell>
          <cell r="F69" t="str">
            <v>ID</v>
          </cell>
          <cell r="K69">
            <v>80</v>
          </cell>
          <cell r="L69">
            <v>0.41399999999999998</v>
          </cell>
          <cell r="M69">
            <v>20</v>
          </cell>
          <cell r="N69">
            <v>41275</v>
          </cell>
        </row>
        <row r="70">
          <cell r="B70">
            <v>14.5</v>
          </cell>
          <cell r="C70" t="str">
            <v xml:space="preserve">Tesoro </v>
          </cell>
          <cell r="D70" t="str">
            <v>Tesoro  QF (2011)</v>
          </cell>
          <cell r="F70" t="str">
            <v>UT</v>
          </cell>
          <cell r="K70">
            <v>25</v>
          </cell>
          <cell r="L70">
            <v>0.85</v>
          </cell>
          <cell r="M70">
            <v>20</v>
          </cell>
          <cell r="N70">
            <v>40909</v>
          </cell>
        </row>
        <row r="71">
          <cell r="B71">
            <v>15</v>
          </cell>
          <cell r="C71" t="str">
            <v xml:space="preserve">Surprise Valley Geothermal </v>
          </cell>
          <cell r="F71" t="str">
            <v>CA</v>
          </cell>
          <cell r="K71">
            <v>28.1</v>
          </cell>
          <cell r="L71">
            <v>0.92</v>
          </cell>
          <cell r="M71">
            <v>20</v>
          </cell>
          <cell r="N71">
            <v>41791</v>
          </cell>
        </row>
        <row r="72">
          <cell r="B72" t="str">
            <v>2011.Q3</v>
          </cell>
          <cell r="C72" t="str">
            <v>2011.Q3 UT Compliance Filing</v>
          </cell>
          <cell r="E72" t="str">
            <v>Utah PSC</v>
          </cell>
          <cell r="F72" t="str">
            <v>UT</v>
          </cell>
          <cell r="K72">
            <v>100</v>
          </cell>
          <cell r="L72">
            <v>0.85</v>
          </cell>
          <cell r="M72">
            <v>20</v>
          </cell>
          <cell r="N72" t="str">
            <v>2012 Jan</v>
          </cell>
        </row>
        <row r="73">
          <cell r="B73">
            <v>16</v>
          </cell>
          <cell r="C73" t="str">
            <v xml:space="preserve">Blue Mtn Biogas </v>
          </cell>
          <cell r="D73" t="str">
            <v>QF - 10 - UT - Biogas</v>
          </cell>
          <cell r="E73" t="str">
            <v>Alpental Energy Partners</v>
          </cell>
          <cell r="F73" t="str">
            <v>UT</v>
          </cell>
          <cell r="K73">
            <v>3</v>
          </cell>
          <cell r="L73">
            <v>0.94999999999999984</v>
          </cell>
          <cell r="M73">
            <v>12</v>
          </cell>
          <cell r="N73">
            <v>41091</v>
          </cell>
        </row>
        <row r="74">
          <cell r="B74">
            <v>17</v>
          </cell>
          <cell r="C74" t="str">
            <v>Vivaldi Wind  (refresh of previous study)</v>
          </cell>
          <cell r="D74" t="str">
            <v>QF - 03 - ID - Wind</v>
          </cell>
          <cell r="E74" t="str">
            <v>Windkraft Nord</v>
          </cell>
          <cell r="F74" t="str">
            <v>ID</v>
          </cell>
          <cell r="K74">
            <v>78</v>
          </cell>
          <cell r="L74">
            <v>0.33300000000000002</v>
          </cell>
          <cell r="M74">
            <v>20</v>
          </cell>
          <cell r="N74">
            <v>41275</v>
          </cell>
        </row>
        <row r="75">
          <cell r="B75">
            <v>18</v>
          </cell>
          <cell r="C75" t="str">
            <v xml:space="preserve">Scatec Solar </v>
          </cell>
          <cell r="D75" t="str">
            <v>QF - 11 - UT - Solar</v>
          </cell>
          <cell r="F75" t="str">
            <v>UT</v>
          </cell>
          <cell r="K75">
            <v>40</v>
          </cell>
          <cell r="L75">
            <v>0.31</v>
          </cell>
          <cell r="M75">
            <v>20</v>
          </cell>
          <cell r="N75">
            <v>41091</v>
          </cell>
        </row>
        <row r="76">
          <cell r="B76">
            <v>19</v>
          </cell>
          <cell r="C76" t="str">
            <v>Schwendiman Wind</v>
          </cell>
          <cell r="D76" t="str">
            <v>QF - 12 - ID - Wind</v>
          </cell>
          <cell r="E76" t="str">
            <v>DeWind Inc</v>
          </cell>
          <cell r="F76" t="str">
            <v>ID</v>
          </cell>
          <cell r="K76">
            <v>20</v>
          </cell>
          <cell r="L76">
            <v>0.33700000000000002</v>
          </cell>
          <cell r="M76">
            <v>20</v>
          </cell>
          <cell r="N76">
            <v>41153</v>
          </cell>
        </row>
        <row r="77">
          <cell r="B77">
            <v>20</v>
          </cell>
          <cell r="C77" t="str">
            <v xml:space="preserve">Ormat Veyo </v>
          </cell>
          <cell r="D77" t="str">
            <v>QF - 13 - UT - Gas</v>
          </cell>
          <cell r="F77" t="str">
            <v>UT</v>
          </cell>
          <cell r="K77">
            <v>7.2</v>
          </cell>
          <cell r="L77">
            <v>0.80400000000000005</v>
          </cell>
          <cell r="M77">
            <v>20</v>
          </cell>
          <cell r="N77">
            <v>41671</v>
          </cell>
        </row>
        <row r="78">
          <cell r="B78">
            <v>21</v>
          </cell>
          <cell r="C78" t="str">
            <v>Boswell Springs I &amp; Boswell Springs II (See note)</v>
          </cell>
          <cell r="D78" t="str">
            <v xml:space="preserve">QF - 14 - WY - Wind </v>
          </cell>
          <cell r="E78" t="str">
            <v>Intermountain Wind</v>
          </cell>
          <cell r="F78" t="str">
            <v>WY</v>
          </cell>
          <cell r="K78" t="str">
            <v>76.5 Each</v>
          </cell>
          <cell r="L78">
            <v>0.38330122146118728</v>
          </cell>
          <cell r="M78">
            <v>20</v>
          </cell>
          <cell r="N78" t="str">
            <v>2013 Dec / 2014 Dec</v>
          </cell>
        </row>
        <row r="79">
          <cell r="B79">
            <v>22</v>
          </cell>
          <cell r="C79" t="str">
            <v>US MagCorp</v>
          </cell>
          <cell r="D79" t="str">
            <v>US MagCorp QF (2011)</v>
          </cell>
          <cell r="F79" t="str">
            <v>UT</v>
          </cell>
          <cell r="K79">
            <v>36</v>
          </cell>
          <cell r="L79">
            <v>0.85</v>
          </cell>
          <cell r="M79">
            <v>5</v>
          </cell>
          <cell r="N79">
            <v>40909</v>
          </cell>
        </row>
      </sheetData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Solimar Utah 1 Solar</v>
          </cell>
          <cell r="B46" t="str">
            <v>QF - 338 - UT - Solar</v>
          </cell>
          <cell r="C46" t="str">
            <v>Utah South</v>
          </cell>
          <cell r="D46">
            <v>80</v>
          </cell>
          <cell r="E46">
            <v>0.26088327625570779</v>
          </cell>
          <cell r="F46">
            <v>43678</v>
          </cell>
          <cell r="K46" t="str">
            <v>Active</v>
          </cell>
          <cell r="L46">
            <v>42713.55</v>
          </cell>
          <cell r="M46">
            <v>4.0000000000000001E-3</v>
          </cell>
          <cell r="N46" t="str">
            <v>First Year</v>
          </cell>
        </row>
        <row r="47">
          <cell r="A47" t="str">
            <v>Elk Mtn Wind</v>
          </cell>
          <cell r="B47" t="str">
            <v>QF - 339 - WY - Wind</v>
          </cell>
          <cell r="C47" t="str">
            <v>Wyoming Northeast</v>
          </cell>
          <cell r="D47">
            <v>75.900000000000006</v>
          </cell>
          <cell r="E47">
            <v>0.46942022969420227</v>
          </cell>
          <cell r="F47">
            <v>43374</v>
          </cell>
          <cell r="K47" t="str">
            <v>Active</v>
          </cell>
          <cell r="L47">
            <v>42713.580555555556</v>
          </cell>
          <cell r="M47">
            <v>0</v>
          </cell>
          <cell r="N47" t="str">
            <v>First Year</v>
          </cell>
        </row>
        <row r="48">
          <cell r="A48" t="str">
            <v>Homestead I Solar</v>
          </cell>
          <cell r="B48" t="str">
            <v>QF - 340 - WY - Solar</v>
          </cell>
          <cell r="C48" t="str">
            <v>Wyoming Northeast</v>
          </cell>
          <cell r="D48">
            <v>80</v>
          </cell>
          <cell r="E48">
            <v>0.27384703196347032</v>
          </cell>
          <cell r="F48">
            <v>43617</v>
          </cell>
          <cell r="K48" t="str">
            <v>Active</v>
          </cell>
          <cell r="L48">
            <v>42719.606944444444</v>
          </cell>
          <cell r="M48">
            <v>7.0000000000000001E-3</v>
          </cell>
          <cell r="N48" t="str">
            <v>Prior Year</v>
          </cell>
        </row>
        <row r="49">
          <cell r="A49" t="str">
            <v>Graphite Solar</v>
          </cell>
          <cell r="B49" t="str">
            <v>QF - 341 - UT - Solar</v>
          </cell>
          <cell r="C49" t="str">
            <v>Utah North</v>
          </cell>
          <cell r="D49">
            <v>80</v>
          </cell>
          <cell r="E49">
            <v>0.301488299086758</v>
          </cell>
          <cell r="F49">
            <v>43405</v>
          </cell>
          <cell r="K49" t="str">
            <v>Active</v>
          </cell>
          <cell r="L49">
            <v>42720.652777777781</v>
          </cell>
          <cell r="M49">
            <v>5.0000000000000001E-3</v>
          </cell>
          <cell r="N49" t="str">
            <v>Prior Year</v>
          </cell>
        </row>
        <row r="50">
          <cell r="A50" t="str">
            <v>Sheep Dip Solar</v>
          </cell>
          <cell r="B50" t="str">
            <v>QF - 342 - UT - Solar</v>
          </cell>
          <cell r="C50" t="str">
            <v>Utah North</v>
          </cell>
          <cell r="D50">
            <v>80</v>
          </cell>
          <cell r="E50">
            <v>0.28941152968036532</v>
          </cell>
          <cell r="F50">
            <v>43435</v>
          </cell>
          <cell r="K50" t="str">
            <v>Active</v>
          </cell>
          <cell r="L50">
            <v>42724.4375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 Solar</v>
          </cell>
          <cell r="B51" t="str">
            <v>QF - 343 -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 Solar</v>
          </cell>
          <cell r="B52" t="str">
            <v>QF - 344 -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III Solar</v>
          </cell>
          <cell r="B53" t="str">
            <v>QF - 345 -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IV Solar</v>
          </cell>
          <cell r="B54" t="str">
            <v>QF - 346 -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Green River V Solar</v>
          </cell>
          <cell r="B55" t="str">
            <v>QF - 347 - UT - Solar</v>
          </cell>
          <cell r="C55" t="str">
            <v>Utah South</v>
          </cell>
          <cell r="D55">
            <v>80</v>
          </cell>
          <cell r="E55">
            <v>0.31296501569634705</v>
          </cell>
          <cell r="F55">
            <v>43922</v>
          </cell>
          <cell r="K55" t="str">
            <v>Active</v>
          </cell>
          <cell r="L55">
            <v>42725.349305555559</v>
          </cell>
          <cell r="M55">
            <v>5.0000000000000001E-3</v>
          </cell>
          <cell r="N55" t="str">
            <v>Prior Year</v>
          </cell>
        </row>
        <row r="56">
          <cell r="A56" t="str">
            <v>Homestead II Solar</v>
          </cell>
          <cell r="B56" t="str">
            <v>QF - 348 - WY - Solar</v>
          </cell>
          <cell r="C56" t="str">
            <v>Wyoming Northeast</v>
          </cell>
          <cell r="D56">
            <v>80</v>
          </cell>
          <cell r="E56">
            <v>0.27302226027397258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Homestead III Solar</v>
          </cell>
          <cell r="B57" t="str">
            <v>QF - 349 - WY - Solar</v>
          </cell>
          <cell r="C57" t="str">
            <v>Wyoming Northeast</v>
          </cell>
          <cell r="D57">
            <v>80</v>
          </cell>
          <cell r="E57">
            <v>0.2703581621004566</v>
          </cell>
          <cell r="F57">
            <v>43800</v>
          </cell>
          <cell r="K57" t="str">
            <v>Active</v>
          </cell>
          <cell r="L57">
            <v>42726.347916666666</v>
          </cell>
          <cell r="M57">
            <v>7.0000000000000001E-3</v>
          </cell>
          <cell r="N57" t="str">
            <v>Prior Year</v>
          </cell>
        </row>
        <row r="58">
          <cell r="A58" t="str">
            <v>Glen Canyon C Solar</v>
          </cell>
          <cell r="B58" t="str">
            <v>QF - 350 - UT - Solar</v>
          </cell>
          <cell r="C58" t="str">
            <v>PP-GC</v>
          </cell>
          <cell r="D58">
            <v>59</v>
          </cell>
          <cell r="E58">
            <v>0.34871720455073135</v>
          </cell>
          <cell r="F58">
            <v>43800</v>
          </cell>
          <cell r="K58" t="str">
            <v>Active</v>
          </cell>
          <cell r="L58">
            <v>42726.586111111108</v>
          </cell>
          <cell r="M58">
            <v>5.0000000000000001E-3</v>
          </cell>
          <cell r="N58" t="str">
            <v>Prior Year</v>
          </cell>
        </row>
        <row r="59">
          <cell r="A59" t="str">
            <v>Rimrock Solar</v>
          </cell>
          <cell r="B59" t="str">
            <v>QF - 351 - OR - Solar</v>
          </cell>
          <cell r="C59" t="str">
            <v>Central Oregon</v>
          </cell>
          <cell r="D59">
            <v>55</v>
          </cell>
          <cell r="E59">
            <v>0.28014736405147361</v>
          </cell>
          <cell r="F59">
            <v>43466</v>
          </cell>
          <cell r="K59" t="str">
            <v>Active</v>
          </cell>
          <cell r="L59">
            <v>42738.710416666669</v>
          </cell>
          <cell r="M59">
            <v>5.0000000000000001E-3</v>
          </cell>
          <cell r="N59" t="str">
            <v>First Year</v>
          </cell>
        </row>
        <row r="60">
          <cell r="A60" t="str">
            <v>Ponderosa V29</v>
          </cell>
          <cell r="B60" t="str">
            <v>QF - 352 -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43101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V30</v>
          </cell>
          <cell r="B61" t="str">
            <v>QF - 353 - OR - Solar</v>
          </cell>
          <cell r="C61" t="str">
            <v>Central Oregon</v>
          </cell>
          <cell r="D61">
            <v>34</v>
          </cell>
          <cell r="E61">
            <v>0.29430844077356971</v>
          </cell>
          <cell r="F61">
            <v>43831</v>
          </cell>
          <cell r="K61" t="str">
            <v>Internal</v>
          </cell>
          <cell r="L61">
            <v>42741</v>
          </cell>
          <cell r="M61">
            <v>2.5000000000000001E-3</v>
          </cell>
          <cell r="N61" t="str">
            <v>Prior Year</v>
          </cell>
        </row>
        <row r="62">
          <cell r="A62" t="str">
            <v>Ponderosa V32</v>
          </cell>
          <cell r="B62" t="str">
            <v>QF - 354 -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43101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Ponderosa V33</v>
          </cell>
          <cell r="B63" t="str">
            <v>QF - 355 - OR - Solar</v>
          </cell>
          <cell r="C63" t="str">
            <v>Central Oregon</v>
          </cell>
          <cell r="D63">
            <v>34</v>
          </cell>
          <cell r="E63">
            <v>0.29809016250335751</v>
          </cell>
          <cell r="F63">
            <v>43831</v>
          </cell>
          <cell r="K63" t="str">
            <v>Internal</v>
          </cell>
          <cell r="L63">
            <v>42741</v>
          </cell>
          <cell r="M63">
            <v>5.0000000000000001E-3</v>
          </cell>
          <cell r="N63" t="str">
            <v>Prior Year</v>
          </cell>
        </row>
        <row r="64">
          <cell r="A64" t="str">
            <v>Sigurd Solar</v>
          </cell>
          <cell r="B64" t="str">
            <v>QF - 356 - UT - Solar</v>
          </cell>
          <cell r="C64" t="str">
            <v>Utah South</v>
          </cell>
          <cell r="D64">
            <v>80</v>
          </cell>
          <cell r="E64">
            <v>0.29963184931506848</v>
          </cell>
          <cell r="F64">
            <v>43435</v>
          </cell>
          <cell r="K64" t="str">
            <v>Active</v>
          </cell>
          <cell r="L64">
            <v>42760.725694444445</v>
          </cell>
          <cell r="M64">
            <v>5.0000000000000001E-3</v>
          </cell>
          <cell r="N64" t="str">
            <v>Prior Year</v>
          </cell>
        </row>
        <row r="65">
          <cell r="A65" t="str">
            <v>Clover Creek Solar</v>
          </cell>
          <cell r="B65" t="str">
            <v>QF - 357 - UT - Solar</v>
          </cell>
          <cell r="C65" t="str">
            <v>Clover</v>
          </cell>
          <cell r="D65">
            <v>80</v>
          </cell>
          <cell r="E65">
            <v>0.27895262557077627</v>
          </cell>
          <cell r="F65">
            <v>43922</v>
          </cell>
          <cell r="K65" t="str">
            <v>Active</v>
          </cell>
          <cell r="L65">
            <v>42762.306250000001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 Solar</v>
          </cell>
          <cell r="B66" t="str">
            <v>QF - 358 -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 Solar</v>
          </cell>
          <cell r="B67" t="str">
            <v>QF - 359 -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III Solar</v>
          </cell>
          <cell r="B68" t="str">
            <v>QF - 360 -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IV Solar</v>
          </cell>
          <cell r="B69" t="str">
            <v>QF - 361 -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 Solar</v>
          </cell>
          <cell r="B70" t="str">
            <v>QF - 362 -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 Solar</v>
          </cell>
          <cell r="B71" t="str">
            <v>QF - 363 -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Goshen Valley VII Solar</v>
          </cell>
          <cell r="B72" t="str">
            <v>QF - 364 - UT - Solar</v>
          </cell>
          <cell r="C72" t="str">
            <v>Clover</v>
          </cell>
          <cell r="D72">
            <v>80</v>
          </cell>
          <cell r="E72">
            <v>0.2965884703196347</v>
          </cell>
          <cell r="F72">
            <v>43800</v>
          </cell>
          <cell r="K72" t="str">
            <v>Active</v>
          </cell>
          <cell r="L72">
            <v>42774.469444444447</v>
          </cell>
          <cell r="M72">
            <v>5.0000000000000001E-3</v>
          </cell>
          <cell r="N72" t="str">
            <v>Prior Year</v>
          </cell>
        </row>
        <row r="73">
          <cell r="A73" t="str">
            <v>Skysol Solar</v>
          </cell>
          <cell r="B73" t="str">
            <v>QF - 254 - OR - Solar</v>
          </cell>
          <cell r="C73" t="str">
            <v>Central Oregon</v>
          </cell>
          <cell r="D73">
            <v>55</v>
          </cell>
          <cell r="E73">
            <v>0.24561402833410492</v>
          </cell>
          <cell r="F73">
            <v>43830</v>
          </cell>
          <cell r="K73" t="str">
            <v>Active</v>
          </cell>
          <cell r="L73">
            <v>42774.688888888886</v>
          </cell>
          <cell r="M73">
            <v>5.0000000000000001E-3</v>
          </cell>
          <cell r="N73" t="str">
            <v>Prior Year</v>
          </cell>
        </row>
        <row r="74">
          <cell r="A74" t="str">
            <v>Echo Divide Wind</v>
          </cell>
          <cell r="B74" t="str">
            <v>QF - 365 - UT - Wind</v>
          </cell>
          <cell r="C74" t="str">
            <v>Utah North</v>
          </cell>
          <cell r="D74">
            <v>80</v>
          </cell>
          <cell r="E74">
            <v>0.31355450913242011</v>
          </cell>
          <cell r="F74">
            <v>43466</v>
          </cell>
          <cell r="K74" t="str">
            <v>Active</v>
          </cell>
          <cell r="L74">
            <v>42779.411111111112</v>
          </cell>
          <cell r="M74">
            <v>0</v>
          </cell>
          <cell r="N74" t="str">
            <v>Prior Year</v>
          </cell>
        </row>
        <row r="75">
          <cell r="A75" t="str">
            <v>UM1802 OR Wind</v>
          </cell>
          <cell r="B75" t="str">
            <v>QF - 367 - OR - Wind</v>
          </cell>
          <cell r="C75" t="str">
            <v>West Main</v>
          </cell>
          <cell r="D75">
            <v>50</v>
          </cell>
          <cell r="E75">
            <v>0</v>
          </cell>
          <cell r="F75">
            <v>43101</v>
          </cell>
          <cell r="K75" t="str">
            <v>Active</v>
          </cell>
          <cell r="L75">
            <v>42786.411111111112</v>
          </cell>
          <cell r="M75">
            <v>0</v>
          </cell>
          <cell r="N75" t="str">
            <v>Prior Year</v>
          </cell>
        </row>
        <row r="76">
          <cell r="A76" t="str">
            <v>UM1802 OR Solar</v>
          </cell>
          <cell r="B76" t="str">
            <v>QF - 368 - OR - Solar</v>
          </cell>
          <cell r="C76" t="str">
            <v>West Main</v>
          </cell>
          <cell r="D76">
            <v>50</v>
          </cell>
          <cell r="E76">
            <v>0</v>
          </cell>
          <cell r="F76">
            <v>43101</v>
          </cell>
          <cell r="K76" t="str">
            <v>Active</v>
          </cell>
          <cell r="L76">
            <v>42786.411111111112</v>
          </cell>
          <cell r="M76">
            <v>5.0000000000000001E-3</v>
          </cell>
          <cell r="N76" t="str">
            <v>Prior Year</v>
          </cell>
        </row>
        <row r="77">
          <cell r="A77" t="str">
            <v>UM1802 OR Base</v>
          </cell>
          <cell r="B77">
            <v>0</v>
          </cell>
          <cell r="C77" t="str">
            <v>West Main</v>
          </cell>
          <cell r="D77">
            <v>50</v>
          </cell>
          <cell r="E77">
            <v>0.85</v>
          </cell>
          <cell r="F77">
            <v>43101</v>
          </cell>
          <cell r="K77" t="str">
            <v>Active</v>
          </cell>
          <cell r="L77">
            <v>42786.411111111112</v>
          </cell>
          <cell r="M77">
            <v>0</v>
          </cell>
          <cell r="N77" t="str">
            <v>Prior Year</v>
          </cell>
        </row>
        <row r="78">
          <cell r="A78">
            <v>0</v>
          </cell>
        </row>
        <row r="79">
          <cell r="A79" t="str">
            <v>Utah 2016.Q4</v>
          </cell>
          <cell r="B79" t="str">
            <v>Avoided Cost Resource</v>
          </cell>
          <cell r="C79" t="str">
            <v>Utah North</v>
          </cell>
          <cell r="D79">
            <v>100</v>
          </cell>
          <cell r="E79">
            <v>0.85</v>
          </cell>
          <cell r="F79">
            <v>43101</v>
          </cell>
          <cell r="K79" t="str">
            <v>Utah 2016.Q4</v>
          </cell>
          <cell r="L79">
            <v>42786.411111111112</v>
          </cell>
          <cell r="M79">
            <v>0</v>
          </cell>
          <cell r="N79" t="str">
            <v>First Year</v>
          </cell>
        </row>
      </sheetData>
      <sheetData sheetId="2">
        <row r="5">
          <cell r="B5">
            <v>1</v>
          </cell>
          <cell r="C5" t="str">
            <v>Utah Pavant Solar III</v>
          </cell>
          <cell r="D5">
            <v>7.82</v>
          </cell>
          <cell r="E5">
            <v>20</v>
          </cell>
          <cell r="F5">
            <v>0.29510273972602741</v>
          </cell>
          <cell r="K5" t="str">
            <v>Signed</v>
          </cell>
          <cell r="L5" t="str">
            <v>Utah South</v>
          </cell>
          <cell r="M5">
            <v>42388</v>
          </cell>
          <cell r="N5">
            <v>5.0000000000000001E-3</v>
          </cell>
        </row>
        <row r="6">
          <cell r="B6">
            <v>2</v>
          </cell>
          <cell r="C6" t="str">
            <v>Sweetwater Solar</v>
          </cell>
          <cell r="D6">
            <v>31.28</v>
          </cell>
          <cell r="E6">
            <v>80</v>
          </cell>
          <cell r="F6">
            <v>0.26619292237442921</v>
          </cell>
          <cell r="K6" t="str">
            <v>Signed</v>
          </cell>
          <cell r="L6" t="str">
            <v>Trona</v>
          </cell>
          <cell r="M6">
            <v>42152.580555555556</v>
          </cell>
          <cell r="N6">
            <v>8.0000000000000002E-3</v>
          </cell>
        </row>
        <row r="7">
          <cell r="B7">
            <v>3</v>
          </cell>
          <cell r="C7" t="str">
            <v>Orchard Wind Farm</v>
          </cell>
          <cell r="D7">
            <v>10.16</v>
          </cell>
          <cell r="E7">
            <v>40</v>
          </cell>
          <cell r="F7">
            <v>0.35992009132420089</v>
          </cell>
          <cell r="K7" t="str">
            <v>Signed</v>
          </cell>
          <cell r="L7" t="str">
            <v>Walla Walla</v>
          </cell>
          <cell r="M7">
            <v>42458.392361111109</v>
          </cell>
          <cell r="N7">
            <v>0</v>
          </cell>
        </row>
        <row r="8">
          <cell r="B8">
            <v>4</v>
          </cell>
          <cell r="C8" t="str">
            <v>Chevron Wind</v>
          </cell>
          <cell r="D8">
            <v>2.39</v>
          </cell>
          <cell r="E8">
            <v>16.5</v>
          </cell>
          <cell r="F8">
            <v>0.29492873944928738</v>
          </cell>
          <cell r="K8" t="str">
            <v>Signed</v>
          </cell>
          <cell r="L8" t="str">
            <v>Wyoming Northeast</v>
          </cell>
          <cell r="M8">
            <v>42383.388888888891</v>
          </cell>
          <cell r="N8">
            <v>0</v>
          </cell>
        </row>
        <row r="9">
          <cell r="B9">
            <v>5</v>
          </cell>
          <cell r="C9" t="str">
            <v>Surprise Valley Geothermal</v>
          </cell>
          <cell r="D9">
            <v>3.7</v>
          </cell>
          <cell r="E9">
            <v>3.7</v>
          </cell>
          <cell r="F9">
            <v>0.85</v>
          </cell>
          <cell r="K9" t="str">
            <v>Signed</v>
          </cell>
          <cell r="L9" t="str">
            <v>Central Oregon</v>
          </cell>
          <cell r="M9">
            <v>41508</v>
          </cell>
          <cell r="N9">
            <v>0</v>
          </cell>
        </row>
        <row r="27">
          <cell r="B27" t="str">
            <v>Total Signed MW</v>
          </cell>
          <cell r="D27">
            <v>55.35</v>
          </cell>
          <cell r="E27">
            <v>160.19999999999999</v>
          </cell>
        </row>
        <row r="30">
          <cell r="B30">
            <v>1</v>
          </cell>
          <cell r="C30" t="str">
            <v>Pryor Caves Wind</v>
          </cell>
          <cell r="D30">
            <v>11.6</v>
          </cell>
          <cell r="E30">
            <v>80</v>
          </cell>
          <cell r="F30">
            <v>0.44888127853881277</v>
          </cell>
          <cell r="K30" t="str">
            <v>Active</v>
          </cell>
          <cell r="L30" t="str">
            <v>Wyoming Northeast</v>
          </cell>
          <cell r="M30">
            <v>42419.695138888892</v>
          </cell>
          <cell r="N30">
            <v>0</v>
          </cell>
        </row>
        <row r="31">
          <cell r="B31">
            <v>2</v>
          </cell>
          <cell r="C31" t="str">
            <v>Horse Thief Wind</v>
          </cell>
          <cell r="D31">
            <v>11.6</v>
          </cell>
          <cell r="E31">
            <v>80</v>
          </cell>
          <cell r="F31">
            <v>0.4201084474885845</v>
          </cell>
          <cell r="K31" t="str">
            <v>Active</v>
          </cell>
          <cell r="L31" t="str">
            <v>Wyoming Northeast</v>
          </cell>
          <cell r="M31">
            <v>42419.695138888892</v>
          </cell>
          <cell r="N31">
            <v>0</v>
          </cell>
        </row>
        <row r="32">
          <cell r="B32">
            <v>3</v>
          </cell>
          <cell r="C32" t="str">
            <v>Mud Springs Wind</v>
          </cell>
          <cell r="D32">
            <v>11.6</v>
          </cell>
          <cell r="E32">
            <v>80</v>
          </cell>
          <cell r="F32">
            <v>0.37412813926940641</v>
          </cell>
          <cell r="K32" t="str">
            <v>Active</v>
          </cell>
          <cell r="L32" t="str">
            <v>Wyoming Northeast</v>
          </cell>
          <cell r="M32">
            <v>42419.695138888892</v>
          </cell>
          <cell r="N32">
            <v>0</v>
          </cell>
        </row>
        <row r="33">
          <cell r="B33">
            <v>4</v>
          </cell>
          <cell r="C33" t="str">
            <v>Grass Butte Solar</v>
          </cell>
          <cell r="D33">
            <v>14.68</v>
          </cell>
          <cell r="E33">
            <v>40</v>
          </cell>
          <cell r="F33">
            <v>0.29103767123287672</v>
          </cell>
          <cell r="K33" t="str">
            <v>Active</v>
          </cell>
          <cell r="L33" t="str">
            <v>Central Oregon</v>
          </cell>
          <cell r="M33">
            <v>42452.393750000003</v>
          </cell>
          <cell r="N33">
            <v>5.0000000000000001E-3</v>
          </cell>
        </row>
        <row r="34">
          <cell r="B34">
            <v>5</v>
          </cell>
          <cell r="C34" t="str">
            <v>Glen Canyon A Solar</v>
          </cell>
          <cell r="D34">
            <v>26.59</v>
          </cell>
          <cell r="E34">
            <v>68</v>
          </cell>
          <cell r="F34">
            <v>0.32198059358069719</v>
          </cell>
          <cell r="K34" t="str">
            <v>Active</v>
          </cell>
          <cell r="L34" t="str">
            <v>PP-GC</v>
          </cell>
          <cell r="M34">
            <v>42514.577777777777</v>
          </cell>
          <cell r="N34">
            <v>5.0000000000000001E-3</v>
          </cell>
        </row>
        <row r="35">
          <cell r="B35">
            <v>6</v>
          </cell>
          <cell r="C35" t="str">
            <v>Sage I Solar</v>
          </cell>
          <cell r="D35">
            <v>7.82</v>
          </cell>
          <cell r="E35">
            <v>20</v>
          </cell>
          <cell r="F35">
            <v>0.28240833333333337</v>
          </cell>
          <cell r="K35" t="str">
            <v>Active</v>
          </cell>
          <cell r="L35" t="str">
            <v>Trona</v>
          </cell>
          <cell r="M35">
            <v>42564.390972222223</v>
          </cell>
          <cell r="N35">
            <v>6.0000000000000001E-3</v>
          </cell>
        </row>
        <row r="36">
          <cell r="B36">
            <v>7</v>
          </cell>
          <cell r="C36" t="str">
            <v>Sage II Solar</v>
          </cell>
          <cell r="D36">
            <v>7.82</v>
          </cell>
          <cell r="E36">
            <v>20</v>
          </cell>
          <cell r="F36">
            <v>0.28240833333333337</v>
          </cell>
          <cell r="K36" t="str">
            <v>Active</v>
          </cell>
          <cell r="L36" t="str">
            <v>Trona</v>
          </cell>
          <cell r="M36">
            <v>42564.390972222223</v>
          </cell>
          <cell r="N36">
            <v>6.0000000000000001E-3</v>
          </cell>
        </row>
        <row r="37">
          <cell r="B37">
            <v>8</v>
          </cell>
          <cell r="C37" t="str">
            <v>Sparrow Solar</v>
          </cell>
          <cell r="D37">
            <v>14.68</v>
          </cell>
          <cell r="E37">
            <v>40</v>
          </cell>
          <cell r="F37">
            <v>0.30979452054794521</v>
          </cell>
          <cell r="K37" t="str">
            <v>Active</v>
          </cell>
          <cell r="L37" t="str">
            <v>West Main</v>
          </cell>
          <cell r="M37">
            <v>42580.675000000003</v>
          </cell>
          <cell r="N37">
            <v>5.0000000000000001E-3</v>
          </cell>
        </row>
        <row r="38">
          <cell r="B38">
            <v>9</v>
          </cell>
          <cell r="C38" t="str">
            <v>Ochoco Solar</v>
          </cell>
          <cell r="D38">
            <v>14.68</v>
          </cell>
          <cell r="E38">
            <v>40</v>
          </cell>
          <cell r="F38">
            <v>0.2791238584474886</v>
          </cell>
          <cell r="K38" t="str">
            <v>Active</v>
          </cell>
          <cell r="L38" t="str">
            <v>Central Oregon</v>
          </cell>
          <cell r="M38">
            <v>42580.675000000003</v>
          </cell>
          <cell r="N38">
            <v>5.0000000000000001E-3</v>
          </cell>
        </row>
        <row r="39">
          <cell r="B39">
            <v>10</v>
          </cell>
          <cell r="C39" t="str">
            <v>Ringtail Solar</v>
          </cell>
          <cell r="D39">
            <v>14.68</v>
          </cell>
          <cell r="E39">
            <v>40</v>
          </cell>
          <cell r="F39">
            <v>0.24543093607305935</v>
          </cell>
          <cell r="K39" t="str">
            <v>Active</v>
          </cell>
          <cell r="L39" t="str">
            <v>West Main</v>
          </cell>
          <cell r="M39">
            <v>42580.683333333334</v>
          </cell>
          <cell r="N39">
            <v>5.0000000000000001E-3</v>
          </cell>
        </row>
        <row r="40">
          <cell r="B40">
            <v>11</v>
          </cell>
          <cell r="C40" t="str">
            <v>Riverton PV1 Solar</v>
          </cell>
          <cell r="D40">
            <v>29.29</v>
          </cell>
          <cell r="E40">
            <v>74.900000000000006</v>
          </cell>
          <cell r="F40">
            <v>0.30612898628917706</v>
          </cell>
          <cell r="K40" t="str">
            <v>Active</v>
          </cell>
          <cell r="L40" t="str">
            <v>Wyoming Northeast</v>
          </cell>
          <cell r="M40">
            <v>42585.531944444447</v>
          </cell>
          <cell r="N40">
            <v>5.0000000000000001E-3</v>
          </cell>
        </row>
        <row r="41">
          <cell r="B41">
            <v>12</v>
          </cell>
          <cell r="C41" t="str">
            <v>Boswell Springs I Wind</v>
          </cell>
          <cell r="D41">
            <v>11.6</v>
          </cell>
          <cell r="E41">
            <v>80</v>
          </cell>
          <cell r="F41">
            <v>0.40697345890410958</v>
          </cell>
          <cell r="K41" t="str">
            <v>Active</v>
          </cell>
          <cell r="L41" t="str">
            <v>Wyoming Northeast</v>
          </cell>
          <cell r="M41">
            <v>42284</v>
          </cell>
          <cell r="N41">
            <v>0</v>
          </cell>
        </row>
        <row r="42">
          <cell r="B42">
            <v>13</v>
          </cell>
          <cell r="C42" t="str">
            <v>Boswell Springs II Wind</v>
          </cell>
          <cell r="D42">
            <v>11.6</v>
          </cell>
          <cell r="E42">
            <v>80</v>
          </cell>
          <cell r="F42">
            <v>0.40697345890410958</v>
          </cell>
          <cell r="K42" t="str">
            <v>Active</v>
          </cell>
          <cell r="L42" t="str">
            <v>Wyoming Northeast</v>
          </cell>
          <cell r="M42">
            <v>42284</v>
          </cell>
          <cell r="N42">
            <v>0</v>
          </cell>
        </row>
        <row r="43">
          <cell r="B43">
            <v>14</v>
          </cell>
          <cell r="C43" t="str">
            <v>Boswell Springs III Wind</v>
          </cell>
          <cell r="D43">
            <v>11.6</v>
          </cell>
          <cell r="E43">
            <v>80</v>
          </cell>
          <cell r="F43">
            <v>0.40697345890410958</v>
          </cell>
          <cell r="K43" t="str">
            <v>Active</v>
          </cell>
          <cell r="L43" t="str">
            <v>Wyoming Northeast</v>
          </cell>
          <cell r="M43">
            <v>42284</v>
          </cell>
          <cell r="N43">
            <v>0</v>
          </cell>
        </row>
        <row r="44">
          <cell r="B44">
            <v>15</v>
          </cell>
          <cell r="C44" t="str">
            <v>Boswell Springs IV Wind</v>
          </cell>
          <cell r="D44">
            <v>11.6</v>
          </cell>
          <cell r="E44">
            <v>80</v>
          </cell>
          <cell r="F44">
            <v>0.40697345890410958</v>
          </cell>
          <cell r="K44" t="str">
            <v>Active</v>
          </cell>
          <cell r="L44" t="str">
            <v>Wyoming Northeast</v>
          </cell>
          <cell r="M44">
            <v>42284</v>
          </cell>
          <cell r="N44">
            <v>0</v>
          </cell>
        </row>
        <row r="45">
          <cell r="B45">
            <v>16</v>
          </cell>
          <cell r="C45" t="str">
            <v>Fremont Solar</v>
          </cell>
          <cell r="D45">
            <v>31.28</v>
          </cell>
          <cell r="E45">
            <v>80</v>
          </cell>
          <cell r="F45">
            <v>0.31172945205479452</v>
          </cell>
          <cell r="K45" t="str">
            <v>Active</v>
          </cell>
          <cell r="L45" t="str">
            <v>Utah South</v>
          </cell>
          <cell r="M45">
            <v>42620.643623379598</v>
          </cell>
          <cell r="N45">
            <v>7.4999999999999997E-3</v>
          </cell>
        </row>
        <row r="46">
          <cell r="B46">
            <v>17</v>
          </cell>
          <cell r="C46" t="str">
            <v>Milford Solar</v>
          </cell>
          <cell r="D46">
            <v>31.28</v>
          </cell>
          <cell r="E46">
            <v>80</v>
          </cell>
          <cell r="F46">
            <v>0.31513555936073057</v>
          </cell>
          <cell r="K46" t="str">
            <v>Active</v>
          </cell>
          <cell r="L46" t="str">
            <v>Utah South</v>
          </cell>
          <cell r="M46">
            <v>42620.643623379598</v>
          </cell>
          <cell r="N46">
            <v>7.4999999999999997E-3</v>
          </cell>
        </row>
        <row r="47">
          <cell r="B47">
            <v>18</v>
          </cell>
          <cell r="C47" t="str">
            <v>Rush Lake Solar</v>
          </cell>
          <cell r="D47">
            <v>31.28</v>
          </cell>
          <cell r="E47">
            <v>80</v>
          </cell>
          <cell r="F47">
            <v>0.31859446347031961</v>
          </cell>
          <cell r="K47" t="str">
            <v>Active</v>
          </cell>
          <cell r="L47" t="str">
            <v>Utah South</v>
          </cell>
          <cell r="M47">
            <v>42620.643623379598</v>
          </cell>
          <cell r="N47">
            <v>7.4999999999999997E-3</v>
          </cell>
        </row>
        <row r="48">
          <cell r="B48">
            <v>19</v>
          </cell>
          <cell r="C48" t="str">
            <v>Sage III Solar</v>
          </cell>
          <cell r="D48">
            <v>6.26</v>
          </cell>
          <cell r="E48">
            <v>16</v>
          </cell>
          <cell r="F48">
            <v>0.29317208904109587</v>
          </cell>
          <cell r="K48" t="str">
            <v>Active</v>
          </cell>
          <cell r="L48" t="str">
            <v>Trona</v>
          </cell>
          <cell r="M48">
            <v>42650.347916666666</v>
          </cell>
          <cell r="N48">
            <v>6.0000000000000001E-3</v>
          </cell>
        </row>
        <row r="49">
          <cell r="B49">
            <v>20</v>
          </cell>
          <cell r="C49" t="str">
            <v>Dinosolar 1 Solar</v>
          </cell>
          <cell r="D49">
            <v>11.73</v>
          </cell>
          <cell r="E49">
            <v>30</v>
          </cell>
          <cell r="F49">
            <v>0.27404870624048705</v>
          </cell>
          <cell r="K49" t="str">
            <v>Active</v>
          </cell>
          <cell r="L49" t="str">
            <v>Wyoming Northeast</v>
          </cell>
          <cell r="M49">
            <v>42657.375</v>
          </cell>
          <cell r="N49">
            <v>5.0000000000000001E-3</v>
          </cell>
        </row>
        <row r="50">
          <cell r="B50">
            <v>21</v>
          </cell>
          <cell r="C50" t="str">
            <v>Dinosolar 2 Solar</v>
          </cell>
          <cell r="D50">
            <v>31.28</v>
          </cell>
          <cell r="E50">
            <v>80</v>
          </cell>
          <cell r="F50">
            <v>0.27414526255707761</v>
          </cell>
          <cell r="K50" t="str">
            <v>Active</v>
          </cell>
          <cell r="L50" t="str">
            <v>Wyoming Northeast</v>
          </cell>
          <cell r="M50">
            <v>42657.375</v>
          </cell>
          <cell r="N50">
            <v>5.0000000000000001E-3</v>
          </cell>
        </row>
        <row r="51">
          <cell r="B51">
            <v>22</v>
          </cell>
          <cell r="C51" t="str">
            <v>Rock Creek I Wind</v>
          </cell>
          <cell r="D51">
            <v>11.6</v>
          </cell>
          <cell r="E51">
            <v>80</v>
          </cell>
          <cell r="F51">
            <v>0.46554223744292239</v>
          </cell>
          <cell r="K51" t="str">
            <v>Active</v>
          </cell>
          <cell r="L51" t="str">
            <v>Wyoming Northeast</v>
          </cell>
          <cell r="M51">
            <v>42668.607638888891</v>
          </cell>
          <cell r="N51">
            <v>0</v>
          </cell>
        </row>
        <row r="52">
          <cell r="B52">
            <v>23</v>
          </cell>
          <cell r="C52" t="str">
            <v>Rock Creek II Wind</v>
          </cell>
          <cell r="D52">
            <v>11.6</v>
          </cell>
          <cell r="E52">
            <v>80</v>
          </cell>
          <cell r="F52">
            <v>0.46554223744292239</v>
          </cell>
          <cell r="K52" t="str">
            <v>Active</v>
          </cell>
          <cell r="L52" t="str">
            <v>Wyoming Northeast</v>
          </cell>
          <cell r="M52">
            <v>42668.607638888891</v>
          </cell>
          <cell r="N52">
            <v>0</v>
          </cell>
        </row>
        <row r="53">
          <cell r="B53">
            <v>24</v>
          </cell>
          <cell r="C53" t="str">
            <v>Rock Creek III Wind</v>
          </cell>
          <cell r="D53">
            <v>11.6</v>
          </cell>
          <cell r="E53">
            <v>80</v>
          </cell>
          <cell r="F53">
            <v>0.46554223744292239</v>
          </cell>
          <cell r="K53" t="str">
            <v>Active</v>
          </cell>
          <cell r="L53" t="str">
            <v>Wyoming Northeast</v>
          </cell>
          <cell r="M53">
            <v>42668.607638888891</v>
          </cell>
          <cell r="N53">
            <v>0</v>
          </cell>
        </row>
        <row r="54">
          <cell r="B54">
            <v>25</v>
          </cell>
          <cell r="C54" t="str">
            <v>Rock Creek IV Wind</v>
          </cell>
          <cell r="D54">
            <v>5.8</v>
          </cell>
          <cell r="E54">
            <v>40</v>
          </cell>
          <cell r="F54">
            <v>0.46554223744292239</v>
          </cell>
          <cell r="K54" t="str">
            <v>Active</v>
          </cell>
          <cell r="L54" t="str">
            <v>Wyoming Northeast</v>
          </cell>
          <cell r="M54">
            <v>42668.607638888891</v>
          </cell>
          <cell r="N54">
            <v>0</v>
          </cell>
        </row>
        <row r="55">
          <cell r="B55">
            <v>26</v>
          </cell>
          <cell r="C55" t="str">
            <v>Oregon Potential Solar</v>
          </cell>
          <cell r="D55">
            <v>6.59</v>
          </cell>
          <cell r="E55">
            <v>17.97</v>
          </cell>
          <cell r="F55">
            <v>0.25991088505834109</v>
          </cell>
          <cell r="K55" t="str">
            <v>Active</v>
          </cell>
          <cell r="L55" t="str">
            <v>Central Oregon</v>
          </cell>
          <cell r="M55">
            <v>42675</v>
          </cell>
          <cell r="N55">
            <v>5.1666666666666666E-3</v>
          </cell>
        </row>
        <row r="56">
          <cell r="B56">
            <v>27</v>
          </cell>
          <cell r="C56" t="str">
            <v>Faraday II Solar</v>
          </cell>
          <cell r="D56">
            <v>31.28</v>
          </cell>
          <cell r="E56">
            <v>80</v>
          </cell>
          <cell r="F56">
            <v>0.2962956621004566</v>
          </cell>
          <cell r="K56" t="str">
            <v>Active</v>
          </cell>
          <cell r="L56" t="str">
            <v>Clover</v>
          </cell>
          <cell r="M56">
            <v>42676.605555555558</v>
          </cell>
          <cell r="N56">
            <v>5.0000000000000001E-3</v>
          </cell>
        </row>
        <row r="57">
          <cell r="B57">
            <v>28</v>
          </cell>
          <cell r="C57" t="str">
            <v>Faraday IV Solar</v>
          </cell>
          <cell r="D57">
            <v>31.28</v>
          </cell>
          <cell r="E57">
            <v>80</v>
          </cell>
          <cell r="F57">
            <v>0.2962956621004566</v>
          </cell>
          <cell r="K57" t="str">
            <v>Active</v>
          </cell>
          <cell r="L57" t="str">
            <v>Clover</v>
          </cell>
          <cell r="M57">
            <v>42676.605555555558</v>
          </cell>
          <cell r="N57">
            <v>5.0000000000000001E-3</v>
          </cell>
        </row>
        <row r="58">
          <cell r="B58">
            <v>29</v>
          </cell>
          <cell r="C58" t="str">
            <v>Faraday VI Solar</v>
          </cell>
          <cell r="D58">
            <v>31.28</v>
          </cell>
          <cell r="E58">
            <v>80</v>
          </cell>
          <cell r="F58">
            <v>0.2962956621004566</v>
          </cell>
          <cell r="K58" t="str">
            <v>Active</v>
          </cell>
          <cell r="L58" t="str">
            <v>Clover</v>
          </cell>
          <cell r="M58">
            <v>42676.605555555558</v>
          </cell>
          <cell r="N58">
            <v>5.0000000000000001E-3</v>
          </cell>
        </row>
        <row r="59">
          <cell r="B59">
            <v>30</v>
          </cell>
          <cell r="C59" t="str">
            <v>Faraday VIII Solar</v>
          </cell>
          <cell r="D59">
            <v>31.28</v>
          </cell>
          <cell r="E59">
            <v>80</v>
          </cell>
          <cell r="F59">
            <v>0.2962956621004566</v>
          </cell>
          <cell r="K59" t="str">
            <v>Active</v>
          </cell>
          <cell r="L59" t="str">
            <v>Clover</v>
          </cell>
          <cell r="M59">
            <v>42676.605555555558</v>
          </cell>
          <cell r="N59">
            <v>5.0000000000000001E-3</v>
          </cell>
        </row>
        <row r="60">
          <cell r="B60">
            <v>31</v>
          </cell>
          <cell r="C60" t="str">
            <v>Faraday X Solar</v>
          </cell>
          <cell r="D60">
            <v>31.28</v>
          </cell>
          <cell r="E60">
            <v>80</v>
          </cell>
          <cell r="F60">
            <v>0.2962956621004566</v>
          </cell>
          <cell r="K60" t="str">
            <v>Active</v>
          </cell>
          <cell r="L60" t="str">
            <v>Clover</v>
          </cell>
          <cell r="M60">
            <v>42676.605555555558</v>
          </cell>
          <cell r="N60">
            <v>5.0000000000000001E-3</v>
          </cell>
        </row>
        <row r="61">
          <cell r="B61">
            <v>32</v>
          </cell>
          <cell r="C61" t="str">
            <v>Faraday XII Solar</v>
          </cell>
          <cell r="D61">
            <v>31.28</v>
          </cell>
          <cell r="E61">
            <v>80</v>
          </cell>
          <cell r="F61">
            <v>0.2962956621004566</v>
          </cell>
          <cell r="K61" t="str">
            <v>Active</v>
          </cell>
          <cell r="L61" t="str">
            <v>Clover</v>
          </cell>
          <cell r="M61">
            <v>42676.605555555558</v>
          </cell>
          <cell r="N61">
            <v>5.0000000000000001E-3</v>
          </cell>
        </row>
        <row r="62">
          <cell r="B62">
            <v>33</v>
          </cell>
          <cell r="C62" t="str">
            <v>Faraday XIV Solar</v>
          </cell>
          <cell r="D62">
            <v>31.28</v>
          </cell>
          <cell r="E62">
            <v>80</v>
          </cell>
          <cell r="F62">
            <v>0.2962956621004566</v>
          </cell>
          <cell r="K62" t="str">
            <v>Active</v>
          </cell>
          <cell r="L62" t="str">
            <v>Clover</v>
          </cell>
          <cell r="M62">
            <v>42676.605555555558</v>
          </cell>
          <cell r="N62">
            <v>5.0000000000000001E-3</v>
          </cell>
        </row>
        <row r="63">
          <cell r="B63">
            <v>34</v>
          </cell>
          <cell r="C63" t="str">
            <v>Glen Canyon B Solar</v>
          </cell>
          <cell r="D63">
            <v>8.2100000000000009</v>
          </cell>
          <cell r="E63">
            <v>21</v>
          </cell>
          <cell r="F63">
            <v>0.3490215264187867</v>
          </cell>
          <cell r="K63" t="str">
            <v>Active</v>
          </cell>
          <cell r="L63" t="str">
            <v>PP-GC</v>
          </cell>
          <cell r="M63">
            <v>42684</v>
          </cell>
          <cell r="N63">
            <v>5.0000000000000001E-3</v>
          </cell>
        </row>
        <row r="64">
          <cell r="B64">
            <v>35</v>
          </cell>
          <cell r="C64" t="str">
            <v>Hornet PV2 Solar</v>
          </cell>
          <cell r="D64">
            <v>2.94</v>
          </cell>
          <cell r="E64">
            <v>8</v>
          </cell>
          <cell r="F64">
            <v>0.28451753710045663</v>
          </cell>
          <cell r="K64" t="str">
            <v>Active</v>
          </cell>
          <cell r="L64" t="str">
            <v>West Main</v>
          </cell>
          <cell r="M64">
            <v>42692.344444444447</v>
          </cell>
          <cell r="N64">
            <v>5.0000000000000001E-3</v>
          </cell>
        </row>
        <row r="65">
          <cell r="B65">
            <v>36</v>
          </cell>
          <cell r="C65" t="str">
            <v>Hornet PV1-3 Solar</v>
          </cell>
          <cell r="D65">
            <v>16.88</v>
          </cell>
          <cell r="E65">
            <v>46</v>
          </cell>
          <cell r="F65">
            <v>0.28746024171133611</v>
          </cell>
          <cell r="K65" t="str">
            <v>Active</v>
          </cell>
          <cell r="L65" t="str">
            <v>West Main</v>
          </cell>
          <cell r="M65">
            <v>42692.344444444447</v>
          </cell>
          <cell r="N65">
            <v>5.0000000000000001E-3</v>
          </cell>
        </row>
        <row r="66">
          <cell r="B66">
            <v>37</v>
          </cell>
          <cell r="C66" t="str">
            <v>Cove Mtn Solar</v>
          </cell>
          <cell r="D66">
            <v>22.68</v>
          </cell>
          <cell r="E66">
            <v>58</v>
          </cell>
          <cell r="F66">
            <v>0.33892497244528419</v>
          </cell>
          <cell r="K66" t="str">
            <v>Active</v>
          </cell>
          <cell r="L66" t="str">
            <v>Utah South</v>
          </cell>
          <cell r="M66">
            <v>42703.375</v>
          </cell>
          <cell r="N66">
            <v>5.0000000000000001E-3</v>
          </cell>
        </row>
        <row r="67">
          <cell r="B67">
            <v>38</v>
          </cell>
          <cell r="C67" t="str">
            <v>Shoshoni PV1 Solar</v>
          </cell>
          <cell r="D67">
            <v>5.21</v>
          </cell>
          <cell r="E67">
            <v>13.33</v>
          </cell>
          <cell r="F67">
            <v>0.26666769432084048</v>
          </cell>
          <cell r="K67" t="str">
            <v>Active</v>
          </cell>
          <cell r="L67" t="str">
            <v>Wyoming Northeast</v>
          </cell>
          <cell r="M67">
            <v>42706.356249999997</v>
          </cell>
          <cell r="N67">
            <v>5.0000000000000001E-3</v>
          </cell>
        </row>
        <row r="68">
          <cell r="B68">
            <v>39</v>
          </cell>
          <cell r="C68" t="str">
            <v>Solimar Utah 1 Solar</v>
          </cell>
          <cell r="D68">
            <v>31.28</v>
          </cell>
          <cell r="E68">
            <v>80</v>
          </cell>
          <cell r="F68">
            <v>0.26088327625570779</v>
          </cell>
          <cell r="K68" t="str">
            <v>Active</v>
          </cell>
          <cell r="L68" t="str">
            <v>Utah South</v>
          </cell>
          <cell r="M68">
            <v>42713.55</v>
          </cell>
          <cell r="N68">
            <v>4.0000000000000001E-3</v>
          </cell>
        </row>
        <row r="69">
          <cell r="B69">
            <v>40</v>
          </cell>
          <cell r="C69" t="str">
            <v>Elk Mtn Wind</v>
          </cell>
          <cell r="D69">
            <v>11.01</v>
          </cell>
          <cell r="E69">
            <v>75.900000000000006</v>
          </cell>
          <cell r="F69">
            <v>0.46942022969420227</v>
          </cell>
          <cell r="K69" t="str">
            <v>Active</v>
          </cell>
          <cell r="L69" t="str">
            <v>Wyoming Northeast</v>
          </cell>
          <cell r="M69">
            <v>42713.580555555556</v>
          </cell>
          <cell r="N69">
            <v>0</v>
          </cell>
        </row>
        <row r="70">
          <cell r="B70">
            <v>41</v>
          </cell>
          <cell r="C70" t="str">
            <v>Homestead I Solar</v>
          </cell>
          <cell r="D70">
            <v>31.28</v>
          </cell>
          <cell r="E70">
            <v>80</v>
          </cell>
          <cell r="F70">
            <v>0.27384703196347032</v>
          </cell>
          <cell r="K70" t="str">
            <v>Active</v>
          </cell>
          <cell r="L70" t="str">
            <v>Wyoming Northeast</v>
          </cell>
          <cell r="M70">
            <v>42719.606944444444</v>
          </cell>
          <cell r="N70">
            <v>7.0000000000000001E-3</v>
          </cell>
        </row>
        <row r="71">
          <cell r="B71">
            <v>42</v>
          </cell>
          <cell r="C71" t="str">
            <v>Sheep Dip Solar</v>
          </cell>
          <cell r="D71">
            <v>31.28</v>
          </cell>
          <cell r="E71">
            <v>80</v>
          </cell>
          <cell r="F71">
            <v>0.28941152968036532</v>
          </cell>
          <cell r="K71" t="str">
            <v>Active</v>
          </cell>
          <cell r="L71" t="str">
            <v>Utah North</v>
          </cell>
          <cell r="M71">
            <v>42724.4375</v>
          </cell>
          <cell r="N71">
            <v>5.0000000000000001E-3</v>
          </cell>
        </row>
        <row r="72">
          <cell r="B72">
            <v>43</v>
          </cell>
          <cell r="C72" t="str">
            <v>Homestead II Solar</v>
          </cell>
          <cell r="D72">
            <v>31.28</v>
          </cell>
          <cell r="E72">
            <v>80</v>
          </cell>
          <cell r="F72">
            <v>0.27302226027397258</v>
          </cell>
          <cell r="K72" t="str">
            <v>Active</v>
          </cell>
          <cell r="L72" t="str">
            <v>Wyoming Northeast</v>
          </cell>
          <cell r="M72">
            <v>42726.347916666666</v>
          </cell>
          <cell r="N72">
            <v>7.0000000000000001E-3</v>
          </cell>
        </row>
        <row r="73">
          <cell r="B73">
            <v>44</v>
          </cell>
          <cell r="C73" t="str">
            <v>Homestead III Solar</v>
          </cell>
          <cell r="D73">
            <v>31.28</v>
          </cell>
          <cell r="E73">
            <v>80</v>
          </cell>
          <cell r="F73">
            <v>0.2703581621004566</v>
          </cell>
          <cell r="K73" t="str">
            <v>Active</v>
          </cell>
          <cell r="L73" t="str">
            <v>Wyoming Northeast</v>
          </cell>
          <cell r="M73">
            <v>42726.347916666666</v>
          </cell>
          <cell r="N73">
            <v>7.0000000000000001E-3</v>
          </cell>
        </row>
        <row r="74">
          <cell r="B74">
            <v>45</v>
          </cell>
          <cell r="C74" t="str">
            <v>Glen Canyon C Solar</v>
          </cell>
          <cell r="D74">
            <v>2.3460000000000001</v>
          </cell>
          <cell r="E74">
            <v>59</v>
          </cell>
          <cell r="F74">
            <v>0.34871720455073135</v>
          </cell>
          <cell r="K74" t="str">
            <v>Active</v>
          </cell>
          <cell r="L74" t="str">
            <v>PP-GC</v>
          </cell>
          <cell r="M74">
            <v>42726.586111111108</v>
          </cell>
          <cell r="N74">
            <v>5.0000000000000001E-3</v>
          </cell>
        </row>
        <row r="75">
          <cell r="B75">
            <v>46</v>
          </cell>
          <cell r="C75" t="str">
            <v>Rimrock Solar</v>
          </cell>
          <cell r="D75">
            <v>20.190000000000001</v>
          </cell>
          <cell r="E75">
            <v>55</v>
          </cell>
          <cell r="F75">
            <v>0.28014736405147361</v>
          </cell>
          <cell r="K75" t="str">
            <v>Active</v>
          </cell>
          <cell r="L75" t="str">
            <v>Central Oregon</v>
          </cell>
          <cell r="M75">
            <v>42738.710416666669</v>
          </cell>
          <cell r="N75">
            <v>5.0000000000000001E-3</v>
          </cell>
        </row>
        <row r="76">
          <cell r="B76">
            <v>47</v>
          </cell>
          <cell r="C76" t="str">
            <v>Sigurd Solar</v>
          </cell>
          <cell r="D76">
            <v>31.28</v>
          </cell>
          <cell r="E76">
            <v>80</v>
          </cell>
          <cell r="F76">
            <v>0.29963184931506848</v>
          </cell>
          <cell r="K76" t="str">
            <v>Active</v>
          </cell>
          <cell r="L76" t="str">
            <v>Utah South</v>
          </cell>
          <cell r="M76">
            <v>42760.725694444445</v>
          </cell>
          <cell r="N76">
            <v>5.0000000000000001E-3</v>
          </cell>
        </row>
        <row r="77">
          <cell r="B77">
            <v>48</v>
          </cell>
          <cell r="C77" t="str">
            <v>Clover Creek Solar</v>
          </cell>
          <cell r="D77">
            <v>31.28</v>
          </cell>
          <cell r="E77">
            <v>80</v>
          </cell>
          <cell r="F77">
            <v>0.27895262557077627</v>
          </cell>
          <cell r="K77" t="str">
            <v>Active</v>
          </cell>
          <cell r="L77" t="str">
            <v>Clover</v>
          </cell>
          <cell r="M77">
            <v>42762.306250000001</v>
          </cell>
          <cell r="N77">
            <v>5.0000000000000001E-3</v>
          </cell>
        </row>
        <row r="78">
          <cell r="B78">
            <v>49</v>
          </cell>
          <cell r="C78" t="str">
            <v>Goshen Valley I Solar</v>
          </cell>
          <cell r="D78">
            <v>31.28</v>
          </cell>
          <cell r="E78">
            <v>80</v>
          </cell>
          <cell r="F78">
            <v>0.2965884703196347</v>
          </cell>
          <cell r="K78" t="str">
            <v>Active</v>
          </cell>
          <cell r="L78" t="str">
            <v>Clover</v>
          </cell>
          <cell r="M78">
            <v>42774.469444444447</v>
          </cell>
          <cell r="N78">
            <v>5.0000000000000001E-3</v>
          </cell>
        </row>
        <row r="79">
          <cell r="B79">
            <v>50</v>
          </cell>
          <cell r="C79" t="str">
            <v>Goshen Valley II Solar</v>
          </cell>
          <cell r="D79">
            <v>31.28</v>
          </cell>
          <cell r="E79">
            <v>80</v>
          </cell>
          <cell r="F79">
            <v>0.2965884703196347</v>
          </cell>
          <cell r="K79" t="str">
            <v>Active</v>
          </cell>
          <cell r="L79" t="str">
            <v>Clover</v>
          </cell>
          <cell r="M79">
            <v>42774.469444444447</v>
          </cell>
          <cell r="N79">
            <v>5.0000000000000001E-3</v>
          </cell>
        </row>
      </sheetData>
      <sheetData sheetId="3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3718.1 and WeeklyReport is 4498.1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L6" t="str">
            <v>OK</v>
          </cell>
        </row>
        <row r="7">
          <cell r="B7" t="str">
            <v>OR</v>
          </cell>
          <cell r="C7">
            <v>1</v>
          </cell>
          <cell r="D7">
            <v>50</v>
          </cell>
          <cell r="E7">
            <v>14</v>
          </cell>
          <cell r="F7">
            <v>541.97</v>
          </cell>
        </row>
        <row r="8">
          <cell r="B8" t="str">
            <v>UT</v>
          </cell>
          <cell r="C8">
            <v>1</v>
          </cell>
          <cell r="D8">
            <v>80</v>
          </cell>
          <cell r="E8">
            <v>24</v>
          </cell>
          <cell r="F8">
            <v>1806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 t="str">
            <v>WY</v>
          </cell>
          <cell r="C10">
            <v>12</v>
          </cell>
          <cell r="D10">
            <v>915.9</v>
          </cell>
          <cell r="E10">
            <v>10</v>
          </cell>
          <cell r="F10">
            <v>494.23</v>
          </cell>
        </row>
        <row r="11">
          <cell r="B11" t="str">
            <v>TOTAL</v>
          </cell>
          <cell r="C11">
            <v>14</v>
          </cell>
          <cell r="D11">
            <v>1045.9000000000001</v>
          </cell>
          <cell r="E11">
            <v>48</v>
          </cell>
          <cell r="F11">
            <v>2842.2000000000003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OR</v>
          </cell>
          <cell r="C29">
            <v>0</v>
          </cell>
          <cell r="D29">
            <v>-30</v>
          </cell>
          <cell r="E29">
            <v>3</v>
          </cell>
          <cell r="F29">
            <v>84.990000000000009</v>
          </cell>
        </row>
        <row r="30">
          <cell r="B30" t="str">
            <v>UT</v>
          </cell>
          <cell r="C30">
            <v>1</v>
          </cell>
          <cell r="D30">
            <v>80</v>
          </cell>
          <cell r="E30">
            <v>0</v>
          </cell>
          <cell r="F30">
            <v>52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WY</v>
          </cell>
          <cell r="C32">
            <v>4</v>
          </cell>
          <cell r="D32">
            <v>315.89999999999998</v>
          </cell>
          <cell r="E32">
            <v>4</v>
          </cell>
          <cell r="F32">
            <v>249.33</v>
          </cell>
        </row>
        <row r="33">
          <cell r="B33" t="str">
            <v>TOTAL</v>
          </cell>
          <cell r="C33">
            <v>5</v>
          </cell>
          <cell r="D33">
            <v>365.90000000000009</v>
          </cell>
          <cell r="E33">
            <v>7</v>
          </cell>
          <cell r="F33">
            <v>386.32000000000016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  <row r="60">
          <cell r="A60" t="str">
            <v>Other (Non-QF)</v>
          </cell>
        </row>
        <row r="61">
          <cell r="B61" t="str">
            <v>Old Mill Solar</v>
          </cell>
          <cell r="C61">
            <v>5</v>
          </cell>
          <cell r="D61">
            <v>0.27504566210045661</v>
          </cell>
          <cell r="E61">
            <v>12047</v>
          </cell>
          <cell r="F61" t="str">
            <v>Tracking</v>
          </cell>
          <cell r="K61" t="str">
            <v>West Main</v>
          </cell>
          <cell r="M61" t="str">
            <v>Oregon</v>
          </cell>
        </row>
        <row r="62">
          <cell r="B62" t="str">
            <v>eBay - Solar</v>
          </cell>
          <cell r="N62" t="str">
            <v>eBay - Solar</v>
          </cell>
        </row>
        <row r="63">
          <cell r="B63" t="str">
            <v>Black Cap</v>
          </cell>
        </row>
        <row r="64">
          <cell r="B64" t="str">
            <v>Pavant III</v>
          </cell>
        </row>
        <row r="65">
          <cell r="A65" t="str">
            <v>Removed</v>
          </cell>
        </row>
        <row r="66">
          <cell r="B66" t="str">
            <v>Sigurd Solar QF</v>
          </cell>
          <cell r="C66">
            <v>80</v>
          </cell>
          <cell r="D66">
            <v>0.30583190639269409</v>
          </cell>
          <cell r="E66">
            <v>214327</v>
          </cell>
          <cell r="F66" t="str">
            <v>Tracking</v>
          </cell>
          <cell r="K66" t="str">
            <v>Utah South</v>
          </cell>
          <cell r="L66" t="str">
            <v>Community Energy Solar</v>
          </cell>
          <cell r="M66" t="str">
            <v>Utah</v>
          </cell>
          <cell r="N66" t="str">
            <v>Sigurd Solar</v>
          </cell>
        </row>
        <row r="67">
          <cell r="B67" t="str">
            <v>Norwest Energy 5 LLC (Arlington)</v>
          </cell>
          <cell r="C67">
            <v>2.99</v>
          </cell>
          <cell r="D67">
            <v>0.27777989444968443</v>
          </cell>
          <cell r="E67">
            <v>7275.7221073839146</v>
          </cell>
          <cell r="F67" t="str">
            <v>Tracking</v>
          </cell>
          <cell r="K67" t="str">
            <v>BPA NITS</v>
          </cell>
          <cell r="L67" t="str">
            <v>Cypress Creek Renewables LLC</v>
          </cell>
          <cell r="M67" t="str">
            <v>Oregon</v>
          </cell>
          <cell r="N67" t="str">
            <v>Norwest Energy 5 LLC (Arlington)</v>
          </cell>
        </row>
        <row r="68">
          <cell r="B68" t="str">
            <v>OR Solar 1 (Sprague River Solar)</v>
          </cell>
          <cell r="C68">
            <v>10</v>
          </cell>
          <cell r="D68">
            <v>0.27582305936073059</v>
          </cell>
          <cell r="E68">
            <v>24162.100000000002</v>
          </cell>
          <cell r="F68" t="str">
            <v>Tracking</v>
          </cell>
          <cell r="K68" t="str">
            <v>West Main</v>
          </cell>
          <cell r="L68" t="str">
            <v>OR Solar 1 (Sprague River Solar)</v>
          </cell>
          <cell r="M68" t="str">
            <v>Oregon</v>
          </cell>
          <cell r="N68" t="str">
            <v>OR Solar 1 (Sprague River Solar)</v>
          </cell>
        </row>
        <row r="69">
          <cell r="B69" t="str">
            <v>OR Solar 4 (Bly Solar)</v>
          </cell>
          <cell r="C69">
            <v>10</v>
          </cell>
          <cell r="D69">
            <v>0.27689840182648401</v>
          </cell>
          <cell r="E69">
            <v>24256.3</v>
          </cell>
          <cell r="F69" t="str">
            <v>Tracking</v>
          </cell>
          <cell r="K69" t="str">
            <v>West Main</v>
          </cell>
          <cell r="L69" t="str">
            <v>OR Solar 4 (Bly Solar)</v>
          </cell>
          <cell r="M69" t="str">
            <v>Oregon</v>
          </cell>
          <cell r="N69" t="str">
            <v>OR Solar 4 (Bly Solar)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showGridLines="0" zoomScale="80" zoomScaleNormal="80" workbookViewId="0">
      <pane xSplit="2" ySplit="3" topLeftCell="C59" activePane="bottomRight" state="frozen"/>
      <selection activeCell="J107" sqref="J107"/>
      <selection pane="topRight" activeCell="J107" sqref="J107"/>
      <selection pane="bottomLeft" activeCell="J107" sqref="J107"/>
      <selection pane="bottomRight" activeCell="A82" sqref="A82"/>
    </sheetView>
  </sheetViews>
  <sheetFormatPr defaultRowHeight="15" x14ac:dyDescent="0.25"/>
  <cols>
    <col min="1" max="1" width="2.85546875" customWidth="1"/>
    <col min="2" max="2" width="5.5703125" customWidth="1"/>
    <col min="3" max="3" width="27.7109375" customWidth="1"/>
    <col min="4" max="4" width="11.5703125" customWidth="1"/>
    <col min="5" max="5" width="12.5703125" customWidth="1"/>
    <col min="6" max="6" width="8.7109375" customWidth="1"/>
    <col min="7" max="7" width="11.140625" customWidth="1"/>
    <col min="8" max="8" width="11.5703125" customWidth="1"/>
    <col min="9" max="9" width="2.42578125" customWidth="1"/>
    <col min="10" max="10" width="3.7109375" customWidth="1"/>
    <col min="11" max="11" width="14" hidden="1" customWidth="1"/>
    <col min="12" max="12" width="0" hidden="1" customWidth="1"/>
    <col min="13" max="13" width="1.7109375" hidden="1" customWidth="1"/>
    <col min="14" max="14" width="13.7109375" hidden="1" customWidth="1"/>
    <col min="15" max="15" width="0" hidden="1" customWidth="1"/>
  </cols>
  <sheetData>
    <row r="1" spans="2:15" ht="6" customHeight="1" x14ac:dyDescent="0.25">
      <c r="B1" s="1"/>
      <c r="C1" s="2"/>
      <c r="D1" s="2"/>
      <c r="E1" s="2"/>
      <c r="F1" s="2"/>
      <c r="G1" s="1"/>
      <c r="H1" s="2"/>
      <c r="I1" s="1"/>
      <c r="J1" s="1"/>
      <c r="K1" s="1"/>
      <c r="L1" s="1"/>
      <c r="M1" s="1"/>
      <c r="N1" s="1"/>
      <c r="O1" s="1"/>
    </row>
    <row r="2" spans="2:15" x14ac:dyDescent="0.25">
      <c r="B2" s="102" t="s">
        <v>0</v>
      </c>
      <c r="C2" s="103"/>
      <c r="D2" s="103"/>
      <c r="E2" s="103"/>
      <c r="F2" s="103"/>
      <c r="G2" s="103"/>
      <c r="H2" s="104"/>
      <c r="I2" s="1"/>
      <c r="J2" s="1"/>
      <c r="K2" s="4" t="s">
        <v>1</v>
      </c>
      <c r="L2" s="4"/>
      <c r="M2" s="5"/>
      <c r="N2" s="5"/>
      <c r="O2" s="3"/>
    </row>
    <row r="3" spans="2:15" ht="26.25" x14ac:dyDescent="0.25">
      <c r="B3" s="6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8" t="s">
        <v>1</v>
      </c>
      <c r="H3" s="8" t="s">
        <v>7</v>
      </c>
      <c r="I3" s="1"/>
      <c r="J3" s="1"/>
      <c r="K3" s="9" t="s">
        <v>8</v>
      </c>
      <c r="L3" s="9" t="s">
        <v>9</v>
      </c>
      <c r="M3" s="1"/>
      <c r="N3" s="9" t="s">
        <v>8</v>
      </c>
      <c r="O3" s="9" t="s">
        <v>10</v>
      </c>
    </row>
    <row r="4" spans="2:15" ht="4.5" customHeight="1" x14ac:dyDescent="0.25">
      <c r="B4" s="10"/>
      <c r="C4" s="11"/>
      <c r="D4" s="10"/>
      <c r="E4" s="10"/>
      <c r="F4" s="12"/>
      <c r="G4" s="10"/>
      <c r="H4" s="13"/>
      <c r="I4" s="1"/>
      <c r="J4" s="1"/>
      <c r="K4" s="1"/>
      <c r="L4" s="1"/>
      <c r="M4" s="1"/>
      <c r="N4" s="1"/>
      <c r="O4" s="1"/>
    </row>
    <row r="5" spans="2:15" ht="12" customHeight="1" x14ac:dyDescent="0.25">
      <c r="B5" s="14">
        <v>1</v>
      </c>
      <c r="C5" s="15" t="s">
        <v>11</v>
      </c>
      <c r="D5" s="16">
        <f>ROUND(E5*CC_E_Tracking,2)</f>
        <v>7.82</v>
      </c>
      <c r="E5" s="16">
        <v>20</v>
      </c>
      <c r="F5" s="17">
        <f>51702/(8760*E5)</f>
        <v>0.29510273972602741</v>
      </c>
      <c r="G5" s="18">
        <f>ROUND(D5/E5,3)</f>
        <v>0.39100000000000001</v>
      </c>
      <c r="H5" s="19">
        <v>42735</v>
      </c>
      <c r="I5" s="1"/>
      <c r="J5" s="1"/>
      <c r="K5" s="20" t="s">
        <v>13</v>
      </c>
      <c r="L5" s="21">
        <v>0.14499999999999999</v>
      </c>
      <c r="M5" s="1"/>
      <c r="N5" s="20" t="str">
        <f>"CC_W_"&amp;K5</f>
        <v xml:space="preserve">CC_W_Wind </v>
      </c>
      <c r="O5" s="21">
        <v>0.254</v>
      </c>
    </row>
    <row r="6" spans="2:15" ht="12" customHeight="1" x14ac:dyDescent="0.25">
      <c r="B6" s="14">
        <f t="shared" ref="B6:B9" ca="1" si="0">OFFSET(B6,-1,0)+1</f>
        <v>2</v>
      </c>
      <c r="C6" s="15" t="s">
        <v>14</v>
      </c>
      <c r="D6" s="16">
        <f>ROUND(E6*CC_E_Tracking,2)</f>
        <v>31.28</v>
      </c>
      <c r="E6" s="16">
        <v>80</v>
      </c>
      <c r="F6" s="17">
        <f>186548/(E6*8760)</f>
        <v>0.26619292237442921</v>
      </c>
      <c r="G6" s="18">
        <f>ROUND(D6/E6,3)</f>
        <v>0.39100000000000001</v>
      </c>
      <c r="H6" s="19">
        <v>43405</v>
      </c>
      <c r="I6" s="1"/>
      <c r="J6" s="1"/>
      <c r="K6" s="20" t="s">
        <v>15</v>
      </c>
      <c r="L6" s="21">
        <v>0.34100000000000003</v>
      </c>
      <c r="M6" s="1"/>
      <c r="N6" s="20" t="str">
        <f>"CC_W_"&amp;K6</f>
        <v>CC_W_Fixed</v>
      </c>
      <c r="O6" s="21">
        <v>0.32200000000000001</v>
      </c>
    </row>
    <row r="7" spans="2:15" ht="12" customHeight="1" x14ac:dyDescent="0.25">
      <c r="B7" s="14">
        <f t="shared" ca="1" si="0"/>
        <v>3</v>
      </c>
      <c r="C7" s="15" t="s">
        <v>16</v>
      </c>
      <c r="D7" s="16">
        <v>10.16</v>
      </c>
      <c r="E7" s="16">
        <v>40</v>
      </c>
      <c r="F7" s="17">
        <v>0.35992009132420089</v>
      </c>
      <c r="G7" s="18">
        <v>0.254</v>
      </c>
      <c r="H7" s="19">
        <v>44105</v>
      </c>
      <c r="I7" s="1"/>
      <c r="J7" s="1"/>
      <c r="K7" s="20" t="s">
        <v>17</v>
      </c>
      <c r="L7" s="21">
        <v>0.39100000000000001</v>
      </c>
      <c r="M7" s="1"/>
      <c r="N7" s="20" t="str">
        <f>"CC_W_"&amp;K7</f>
        <v>CC_W_Tracking</v>
      </c>
      <c r="O7" s="21">
        <v>0.36699999999999999</v>
      </c>
    </row>
    <row r="8" spans="2:15" ht="12" customHeight="1" x14ac:dyDescent="0.25">
      <c r="B8" s="14">
        <f t="shared" ca="1" si="0"/>
        <v>4</v>
      </c>
      <c r="C8" s="15" t="s">
        <v>18</v>
      </c>
      <c r="D8" s="16">
        <v>2.39</v>
      </c>
      <c r="E8" s="16">
        <v>16.5</v>
      </c>
      <c r="F8" s="17">
        <v>0.29492873944928738</v>
      </c>
      <c r="G8" s="18">
        <v>0.14499999999999999</v>
      </c>
      <c r="H8" s="19">
        <v>42552</v>
      </c>
      <c r="I8" s="1"/>
      <c r="J8" s="1"/>
      <c r="K8" s="20" t="s">
        <v>19</v>
      </c>
      <c r="L8" s="21">
        <v>1</v>
      </c>
      <c r="M8" s="1"/>
      <c r="N8" s="20" t="str">
        <f>"CC_W_"&amp;K8</f>
        <v xml:space="preserve">CC_W_Gas </v>
      </c>
      <c r="O8" s="21">
        <v>1</v>
      </c>
    </row>
    <row r="9" spans="2:15" ht="12" customHeight="1" x14ac:dyDescent="0.25">
      <c r="B9" s="14">
        <f t="shared" ca="1" si="0"/>
        <v>5</v>
      </c>
      <c r="C9" s="15" t="s">
        <v>20</v>
      </c>
      <c r="D9" s="16">
        <v>3.7</v>
      </c>
      <c r="E9" s="16">
        <f>D9</f>
        <v>3.7</v>
      </c>
      <c r="F9" s="17">
        <v>0.85</v>
      </c>
      <c r="G9" s="18">
        <v>1</v>
      </c>
      <c r="H9" s="19">
        <v>42614</v>
      </c>
      <c r="I9" s="1"/>
      <c r="J9" s="1"/>
      <c r="K9" s="20" t="s">
        <v>21</v>
      </c>
      <c r="L9" s="21">
        <v>1</v>
      </c>
      <c r="M9" s="1"/>
      <c r="N9" s="20" t="str">
        <f>"CC_W_"&amp;K9</f>
        <v xml:space="preserve">CC_W_Hydro </v>
      </c>
      <c r="O9" s="21">
        <v>1</v>
      </c>
    </row>
    <row r="10" spans="2:15" ht="12" hidden="1" customHeight="1" x14ac:dyDescent="0.25">
      <c r="B10" s="14"/>
      <c r="C10" s="15"/>
      <c r="D10" s="16"/>
      <c r="E10" s="16"/>
      <c r="F10" s="17"/>
      <c r="G10" s="18"/>
      <c r="H10" s="19"/>
      <c r="I10" s="1"/>
      <c r="J10" s="1"/>
      <c r="K10" s="1"/>
      <c r="L10" s="1"/>
      <c r="M10" s="1"/>
      <c r="N10" s="1"/>
      <c r="O10" s="1"/>
    </row>
    <row r="11" spans="2:15" ht="12" hidden="1" customHeight="1" x14ac:dyDescent="0.25">
      <c r="B11" s="14"/>
      <c r="C11" s="15"/>
      <c r="D11" s="16"/>
      <c r="E11" s="16"/>
      <c r="F11" s="17"/>
      <c r="G11" s="18"/>
      <c r="H11" s="19"/>
      <c r="I11" s="1"/>
      <c r="J11" s="1"/>
      <c r="K11" s="1"/>
      <c r="L11" s="1"/>
      <c r="M11" s="1"/>
      <c r="N11" s="1"/>
      <c r="O11" s="1"/>
    </row>
    <row r="12" spans="2:15" ht="12" hidden="1" customHeight="1" x14ac:dyDescent="0.25">
      <c r="B12" s="14"/>
      <c r="C12" s="15"/>
      <c r="D12" s="16"/>
      <c r="E12" s="16"/>
      <c r="F12" s="17"/>
      <c r="G12" s="18"/>
      <c r="H12" s="19"/>
      <c r="I12" s="1"/>
      <c r="J12" s="1"/>
      <c r="K12" s="20" t="s">
        <v>15</v>
      </c>
      <c r="L12" s="21">
        <v>0.34100000000000003</v>
      </c>
      <c r="M12" s="1"/>
      <c r="N12" s="20" t="str">
        <f>"CC_W_"&amp;K12</f>
        <v>CC_W_Fixed</v>
      </c>
      <c r="O12" s="21">
        <v>0.32200000000000001</v>
      </c>
    </row>
    <row r="13" spans="2:15" ht="12" hidden="1" customHeight="1" x14ac:dyDescent="0.25">
      <c r="B13" s="14"/>
      <c r="C13" s="15"/>
      <c r="D13" s="16"/>
      <c r="E13" s="16"/>
      <c r="F13" s="17"/>
      <c r="G13" s="18"/>
      <c r="H13" s="19"/>
      <c r="I13" s="1"/>
      <c r="J13" s="1"/>
      <c r="K13" s="1"/>
      <c r="L13" s="1"/>
      <c r="M13" s="1"/>
      <c r="N13" s="1"/>
      <c r="O13" s="1"/>
    </row>
    <row r="14" spans="2:15" ht="12" hidden="1" customHeight="1" x14ac:dyDescent="0.25">
      <c r="B14" s="14"/>
      <c r="C14" s="15"/>
      <c r="D14" s="16"/>
      <c r="E14" s="16"/>
      <c r="F14" s="17"/>
      <c r="G14" s="18"/>
      <c r="H14" s="19"/>
      <c r="I14" s="1"/>
      <c r="J14" s="1"/>
      <c r="K14" s="1"/>
      <c r="L14" s="1"/>
      <c r="M14" s="1"/>
      <c r="N14" s="1"/>
      <c r="O14" s="1"/>
    </row>
    <row r="15" spans="2:15" ht="12" hidden="1" customHeight="1" x14ac:dyDescent="0.25">
      <c r="B15" s="14"/>
      <c r="C15" s="15"/>
      <c r="D15" s="16"/>
      <c r="E15" s="16"/>
      <c r="F15" s="17"/>
      <c r="G15" s="18"/>
      <c r="H15" s="19"/>
      <c r="I15" s="1"/>
      <c r="J15" s="1"/>
      <c r="K15" s="1"/>
      <c r="L15" s="1"/>
      <c r="M15" s="1"/>
      <c r="N15" s="1"/>
      <c r="O15" s="1"/>
    </row>
    <row r="16" spans="2:15" ht="12" hidden="1" customHeight="1" x14ac:dyDescent="0.25">
      <c r="B16" s="14"/>
      <c r="C16" s="15"/>
      <c r="D16" s="16"/>
      <c r="E16" s="16"/>
      <c r="F16" s="17"/>
      <c r="G16" s="18"/>
      <c r="H16" s="19"/>
      <c r="I16" s="1"/>
      <c r="J16" s="1"/>
      <c r="K16" s="1"/>
      <c r="L16" s="1"/>
      <c r="M16" s="1"/>
      <c r="N16" s="1"/>
      <c r="O16" s="1"/>
    </row>
    <row r="17" spans="1:15" ht="12" hidden="1" customHeight="1" x14ac:dyDescent="0.25">
      <c r="A17" s="1"/>
      <c r="B17" s="14"/>
      <c r="C17" s="15"/>
      <c r="D17" s="16"/>
      <c r="E17" s="16"/>
      <c r="F17" s="17"/>
      <c r="G17" s="18"/>
      <c r="H17" s="19"/>
      <c r="I17" s="1"/>
      <c r="J17" s="1"/>
      <c r="K17" s="1"/>
      <c r="L17" s="1"/>
      <c r="M17" s="1"/>
      <c r="N17" s="1"/>
      <c r="O17" s="1"/>
    </row>
    <row r="18" spans="1:15" ht="12" hidden="1" customHeight="1" x14ac:dyDescent="0.25">
      <c r="A18" s="1"/>
      <c r="B18" s="14"/>
      <c r="C18" s="15"/>
      <c r="D18" s="16"/>
      <c r="E18" s="16"/>
      <c r="F18" s="17"/>
      <c r="G18" s="22"/>
      <c r="H18" s="19"/>
      <c r="I18" s="1"/>
      <c r="J18" s="1"/>
      <c r="K18" s="1"/>
      <c r="L18" s="1"/>
      <c r="M18" s="1"/>
      <c r="N18" s="1"/>
      <c r="O18" s="1"/>
    </row>
    <row r="19" spans="1:15" ht="12" hidden="1" customHeight="1" x14ac:dyDescent="0.25">
      <c r="A19" s="1"/>
      <c r="B19" s="14"/>
      <c r="C19" s="15"/>
      <c r="D19" s="16"/>
      <c r="E19" s="16"/>
      <c r="F19" s="17"/>
      <c r="G19" s="22"/>
      <c r="H19" s="19"/>
      <c r="I19" s="1"/>
      <c r="J19" s="1"/>
      <c r="K19" s="1"/>
      <c r="L19" s="1"/>
      <c r="M19" s="1"/>
      <c r="N19" s="1"/>
      <c r="O19" s="1"/>
    </row>
    <row r="20" spans="1:15" ht="12" hidden="1" customHeight="1" x14ac:dyDescent="0.25">
      <c r="A20" s="1"/>
      <c r="B20" s="14"/>
      <c r="C20" s="15"/>
      <c r="D20" s="16"/>
      <c r="E20" s="16"/>
      <c r="F20" s="17"/>
      <c r="G20" s="22"/>
      <c r="H20" s="19"/>
      <c r="I20" s="1"/>
      <c r="J20" s="1"/>
      <c r="K20" s="1"/>
      <c r="L20" s="1"/>
      <c r="M20" s="1"/>
      <c r="N20" s="1"/>
      <c r="O20" s="1"/>
    </row>
    <row r="21" spans="1:15" ht="12" hidden="1" customHeight="1" x14ac:dyDescent="0.25">
      <c r="A21" s="1"/>
      <c r="B21" s="14"/>
      <c r="C21" s="15"/>
      <c r="D21" s="16"/>
      <c r="E21" s="16"/>
      <c r="F21" s="17"/>
      <c r="G21" s="18"/>
      <c r="H21" s="19"/>
      <c r="I21" s="1"/>
      <c r="J21" s="1"/>
      <c r="K21" s="1"/>
      <c r="L21" s="1"/>
      <c r="M21" s="1"/>
      <c r="N21" s="1"/>
      <c r="O21" s="1"/>
    </row>
    <row r="22" spans="1:15" ht="12" hidden="1" customHeight="1" x14ac:dyDescent="0.25">
      <c r="A22" s="1"/>
      <c r="B22" s="14"/>
      <c r="C22" s="15"/>
      <c r="D22" s="16"/>
      <c r="E22" s="16"/>
      <c r="F22" s="17"/>
      <c r="G22" s="18"/>
      <c r="H22" s="19"/>
      <c r="I22" s="1"/>
      <c r="J22" s="1"/>
      <c r="K22" s="1"/>
      <c r="L22" s="1"/>
      <c r="M22" s="1"/>
      <c r="N22" s="1"/>
      <c r="O22" s="1"/>
    </row>
    <row r="23" spans="1:15" ht="12" hidden="1" customHeight="1" x14ac:dyDescent="0.25">
      <c r="A23" s="1"/>
      <c r="B23" s="14"/>
      <c r="C23" s="15"/>
      <c r="D23" s="16"/>
      <c r="E23" s="16"/>
      <c r="F23" s="17"/>
      <c r="G23" s="22"/>
      <c r="H23" s="19"/>
      <c r="I23" s="1"/>
      <c r="J23" s="1"/>
      <c r="K23" s="1"/>
      <c r="L23" s="1"/>
      <c r="M23" s="1"/>
      <c r="N23" s="1"/>
      <c r="O23" s="1"/>
    </row>
    <row r="24" spans="1:15" ht="12" hidden="1" customHeight="1" x14ac:dyDescent="0.25">
      <c r="A24" s="1"/>
      <c r="B24" s="14"/>
      <c r="C24" s="15"/>
      <c r="D24" s="16"/>
      <c r="E24" s="16"/>
      <c r="F24" s="17"/>
      <c r="G24" s="18"/>
      <c r="H24" s="19"/>
      <c r="I24" s="1"/>
      <c r="J24" s="1"/>
      <c r="K24" s="1"/>
      <c r="L24" s="1"/>
      <c r="M24" s="1"/>
      <c r="N24" s="1"/>
      <c r="O24" s="1"/>
    </row>
    <row r="25" spans="1:15" ht="12" hidden="1" customHeight="1" x14ac:dyDescent="0.25">
      <c r="A25" s="1"/>
      <c r="B25" s="14"/>
      <c r="C25" s="15"/>
      <c r="D25" s="16"/>
      <c r="E25" s="16"/>
      <c r="F25" s="17"/>
      <c r="G25" s="18"/>
      <c r="H25" s="19"/>
      <c r="I25" s="1"/>
      <c r="J25" s="1"/>
      <c r="K25" s="1"/>
      <c r="L25" s="1"/>
      <c r="M25" s="1"/>
      <c r="N25" s="1"/>
      <c r="O25" s="1"/>
    </row>
    <row r="26" spans="1:15" ht="3.75" customHeight="1" x14ac:dyDescent="0.25">
      <c r="A26" s="1"/>
      <c r="B26" s="23"/>
      <c r="C26" s="24"/>
      <c r="D26" s="25"/>
      <c r="E26" s="25"/>
      <c r="F26" s="26"/>
      <c r="G26" s="27"/>
      <c r="H26" s="28"/>
      <c r="I26" s="1"/>
      <c r="J26" s="1"/>
      <c r="K26" s="1"/>
      <c r="L26" s="1"/>
      <c r="M26" s="1"/>
      <c r="N26" s="1"/>
      <c r="O26" s="1"/>
    </row>
    <row r="27" spans="1:15" ht="15" customHeight="1" x14ac:dyDescent="0.25">
      <c r="A27" s="1"/>
      <c r="B27" s="105" t="s">
        <v>22</v>
      </c>
      <c r="C27" s="106"/>
      <c r="D27" s="29">
        <f>ROUND(SUM(D5:D26),2)</f>
        <v>55.35</v>
      </c>
      <c r="E27" s="29">
        <f>ROUND(SUM(E5:E26),2)</f>
        <v>160.19999999999999</v>
      </c>
      <c r="F27" s="30"/>
      <c r="G27" s="31"/>
      <c r="H27" s="32"/>
      <c r="I27" s="1"/>
      <c r="J27" s="1"/>
      <c r="K27" s="1"/>
      <c r="L27" s="1"/>
      <c r="M27" s="1"/>
      <c r="N27" s="1"/>
      <c r="O27" s="1"/>
    </row>
    <row r="28" spans="1:15" ht="6.75" customHeight="1" x14ac:dyDescent="0.25">
      <c r="A28" s="33"/>
      <c r="B28" s="34"/>
      <c r="C28" s="35"/>
      <c r="D28" s="36"/>
      <c r="E28" s="36"/>
      <c r="F28" s="37"/>
      <c r="G28" s="38"/>
      <c r="H28" s="39"/>
      <c r="I28" s="1"/>
      <c r="J28" s="1"/>
      <c r="K28" s="1"/>
      <c r="L28" s="1"/>
      <c r="M28" s="1"/>
      <c r="N28" s="1"/>
      <c r="O28" s="1"/>
    </row>
    <row r="29" spans="1:15" ht="4.5" customHeight="1" x14ac:dyDescent="0.25">
      <c r="A29" s="1"/>
      <c r="B29" s="10"/>
      <c r="C29" s="11"/>
      <c r="D29" s="40"/>
      <c r="E29" s="40"/>
      <c r="F29" s="12"/>
      <c r="G29" s="41"/>
      <c r="H29" s="13"/>
      <c r="I29" s="1"/>
      <c r="J29" s="1"/>
      <c r="K29" s="1"/>
      <c r="L29" s="1"/>
      <c r="M29" s="1"/>
      <c r="N29" s="1"/>
      <c r="O29" s="1"/>
    </row>
    <row r="30" spans="1:15" ht="12" customHeight="1" x14ac:dyDescent="0.25">
      <c r="A30" s="1"/>
      <c r="B30" s="14">
        <f t="shared" ref="B30:B72" ca="1" si="1">OFFSET(B30,-1,0)+1</f>
        <v>1</v>
      </c>
      <c r="C30" s="15" t="s">
        <v>23</v>
      </c>
      <c r="D30" s="16">
        <f>ROUND(E30*IF(RIGHT(C30,4)="Wind",CC_E_Wind,IF(RIGHT(C30,5)="Solar",CC_E_Tracking,IF(RIGHT(C30,3)="Gas",CC_E_Gas,IF(RIGHT(C30,5)="Hydro",CC_E_Hydro,0)))),2)</f>
        <v>11.6</v>
      </c>
      <c r="E30" s="16">
        <v>80</v>
      </c>
      <c r="F30" s="17">
        <v>0.44888127853881277</v>
      </c>
      <c r="G30" s="18">
        <f t="shared" ref="G30:G54" si="2">ROUND(D30/E30,3)</f>
        <v>0.14499999999999999</v>
      </c>
      <c r="H30" s="19">
        <v>43405</v>
      </c>
      <c r="I30" s="42"/>
      <c r="J30" s="42"/>
      <c r="K30" s="42"/>
      <c r="L30" s="42"/>
      <c r="M30" s="42"/>
      <c r="N30" s="42"/>
      <c r="O30" s="42"/>
    </row>
    <row r="31" spans="1:15" ht="12" customHeight="1" x14ac:dyDescent="0.25">
      <c r="A31" s="1"/>
      <c r="B31" s="14">
        <f t="shared" ca="1" si="1"/>
        <v>2</v>
      </c>
      <c r="C31" s="15" t="s">
        <v>24</v>
      </c>
      <c r="D31" s="16">
        <f>ROUND(E31*IF(RIGHT(C31,4)="Wind",CC_E_Wind,IF(RIGHT(C31,5)="Solar",CC_E_Tracking,IF(RIGHT(C31,3)="Gas",CC_E_Gas,IF(RIGHT(C31,5)="Hydro",CC_E_Hydro,0)))),2)</f>
        <v>11.6</v>
      </c>
      <c r="E31" s="16">
        <v>80</v>
      </c>
      <c r="F31" s="17">
        <v>0.4201084474885845</v>
      </c>
      <c r="G31" s="18">
        <f t="shared" si="2"/>
        <v>0.14499999999999999</v>
      </c>
      <c r="H31" s="19">
        <v>43405</v>
      </c>
      <c r="I31" s="42"/>
      <c r="J31" s="42"/>
      <c r="K31" s="42"/>
      <c r="L31" s="42"/>
      <c r="M31" s="42"/>
      <c r="N31" s="42"/>
      <c r="O31" s="42"/>
    </row>
    <row r="32" spans="1:15" ht="12" customHeight="1" x14ac:dyDescent="0.25">
      <c r="A32" s="1"/>
      <c r="B32" s="14">
        <f t="shared" ca="1" si="1"/>
        <v>3</v>
      </c>
      <c r="C32" s="15" t="s">
        <v>25</v>
      </c>
      <c r="D32" s="16">
        <f>ROUND(E32*IF(RIGHT(C32,4)="Wind",CC_E_Wind,IF(RIGHT(C32,5)="Solar",CC_E_Tracking,IF(RIGHT(C32,3)="Gas",CC_E_Gas,IF(RIGHT(C32,5)="Hydro",CC_E_Hydro,0)))),2)</f>
        <v>11.6</v>
      </c>
      <c r="E32" s="16">
        <v>80</v>
      </c>
      <c r="F32" s="17">
        <v>0.37412813926940641</v>
      </c>
      <c r="G32" s="18">
        <f t="shared" si="2"/>
        <v>0.14499999999999999</v>
      </c>
      <c r="H32" s="19">
        <v>43405</v>
      </c>
      <c r="I32" s="42"/>
      <c r="J32" s="42"/>
      <c r="K32" s="42"/>
      <c r="L32" s="42"/>
      <c r="M32" s="42"/>
      <c r="N32" s="42"/>
      <c r="O32" s="42"/>
    </row>
    <row r="33" spans="2:15" ht="12" customHeight="1" x14ac:dyDescent="0.25">
      <c r="B33" s="14">
        <f t="shared" ca="1" si="1"/>
        <v>4</v>
      </c>
      <c r="C33" s="15" t="s">
        <v>26</v>
      </c>
      <c r="D33" s="16">
        <f>ROUND(E33*IF(RIGHT(C33,4)="Wind",CC_W_Wind,IF(RIGHT(C33,5)="Solar",CC_W_Tracking,IF(RIGHT(C33,3)="Gas",CC_W_Gas,IF(RIGHT(C33,5)="Hydro",CC_W_Hydro,0)))),2)</f>
        <v>14.68</v>
      </c>
      <c r="E33" s="16">
        <v>40</v>
      </c>
      <c r="F33" s="17">
        <v>0.29103767123287672</v>
      </c>
      <c r="G33" s="18">
        <f t="shared" si="2"/>
        <v>0.36699999999999999</v>
      </c>
      <c r="H33" s="19">
        <v>43100</v>
      </c>
      <c r="I33" s="42"/>
      <c r="J33" s="42"/>
      <c r="K33" s="42"/>
      <c r="L33" s="42"/>
      <c r="M33" s="42"/>
      <c r="N33" s="42"/>
      <c r="O33" s="42"/>
    </row>
    <row r="34" spans="2:15" ht="12" customHeight="1" x14ac:dyDescent="0.25">
      <c r="B34" s="14">
        <f t="shared" ca="1" si="1"/>
        <v>5</v>
      </c>
      <c r="C34" s="15" t="s">
        <v>27</v>
      </c>
      <c r="D34" s="16">
        <f>ROUND(E34*IF(RIGHT(C34,4)="Wind",CC_E_Wind,IF(RIGHT(C34,5)="Solar",CC_E_Tracking,IF(RIGHT(C34,3)="Gas",CC_E_Gas,IF(RIGHT(C34,5)="Hydro",CC_E_Hydro,0)))),2)</f>
        <v>26.59</v>
      </c>
      <c r="E34" s="16">
        <v>68</v>
      </c>
      <c r="F34" s="17">
        <v>0.32312986838571045</v>
      </c>
      <c r="G34" s="18">
        <f t="shared" si="2"/>
        <v>0.39100000000000001</v>
      </c>
      <c r="H34" s="19">
        <v>43647</v>
      </c>
      <c r="I34" s="42"/>
      <c r="J34" s="42"/>
      <c r="K34" s="42"/>
      <c r="L34" s="42"/>
      <c r="M34" s="42"/>
      <c r="N34" s="42"/>
      <c r="O34" s="42"/>
    </row>
    <row r="35" spans="2:15" ht="12" customHeight="1" x14ac:dyDescent="0.25">
      <c r="B35" s="14">
        <f t="shared" ca="1" si="1"/>
        <v>6</v>
      </c>
      <c r="C35" s="15" t="s">
        <v>28</v>
      </c>
      <c r="D35" s="16">
        <f>ROUND(E35*IF(RIGHT(C35,4)="Wind",CC_E_Wind,IF(RIGHT(C35,5)="Solar",CC_E_Tracking,IF(RIGHT(C35,3)="Gas",CC_E_Gas,IF(RIGHT(C35,5)="Hydro",CC_E_Hydro,0)))),2)</f>
        <v>7.82</v>
      </c>
      <c r="E35" s="16">
        <v>20</v>
      </c>
      <c r="F35" s="17">
        <v>0.28240833333333337</v>
      </c>
      <c r="G35" s="18">
        <f t="shared" si="2"/>
        <v>0.39100000000000001</v>
      </c>
      <c r="H35" s="19">
        <v>43739</v>
      </c>
      <c r="I35" s="42"/>
      <c r="J35" s="42"/>
      <c r="K35" s="42"/>
      <c r="L35" s="42"/>
      <c r="M35" s="42"/>
      <c r="N35" s="42"/>
      <c r="O35" s="42"/>
    </row>
    <row r="36" spans="2:15" ht="12" customHeight="1" x14ac:dyDescent="0.25">
      <c r="B36" s="14">
        <f t="shared" ca="1" si="1"/>
        <v>7</v>
      </c>
      <c r="C36" s="15" t="s">
        <v>29</v>
      </c>
      <c r="D36" s="16">
        <f>ROUND(E36*IF(RIGHT(C36,4)="Wind",CC_E_Wind,IF(RIGHT(C36,5)="Solar",CC_E_Tracking,IF(RIGHT(C36,3)="Gas",CC_E_Gas,IF(RIGHT(C36,5)="Hydro",CC_E_Hydro,0)))),2)</f>
        <v>7.82</v>
      </c>
      <c r="E36" s="16">
        <v>20</v>
      </c>
      <c r="F36" s="17">
        <v>0.28240833333333337</v>
      </c>
      <c r="G36" s="18">
        <f t="shared" si="2"/>
        <v>0.39100000000000001</v>
      </c>
      <c r="H36" s="19">
        <v>43739</v>
      </c>
      <c r="I36" s="42"/>
      <c r="J36" s="42"/>
      <c r="K36" s="42"/>
      <c r="L36" s="42"/>
      <c r="M36" s="42"/>
      <c r="N36" s="42"/>
      <c r="O36" s="42"/>
    </row>
    <row r="37" spans="2:15" ht="12" customHeight="1" x14ac:dyDescent="0.25">
      <c r="B37" s="14">
        <f t="shared" ca="1" si="1"/>
        <v>8</v>
      </c>
      <c r="C37" s="15" t="s">
        <v>30</v>
      </c>
      <c r="D37" s="16">
        <f>ROUND(E37*IF(RIGHT(C37,4)="Wind",CC_W_Wind,IF(RIGHT(C37,5)="Solar",CC_W_Tracking,IF(RIGHT(C37,3)="Gas",CC_W_Gas,IF(RIGHT(C37,5)="Hydro",CC_W_Hydro,0)))),2)</f>
        <v>14.68</v>
      </c>
      <c r="E37" s="16">
        <v>40</v>
      </c>
      <c r="F37" s="17">
        <v>0.30979452054794521</v>
      </c>
      <c r="G37" s="18">
        <f t="shared" si="2"/>
        <v>0.36699999999999999</v>
      </c>
      <c r="H37" s="19">
        <v>43281</v>
      </c>
      <c r="I37" s="42"/>
      <c r="J37" s="42"/>
      <c r="K37" s="42"/>
      <c r="L37" s="42"/>
      <c r="M37" s="42"/>
      <c r="N37" s="42"/>
      <c r="O37" s="42"/>
    </row>
    <row r="38" spans="2:15" ht="12" customHeight="1" x14ac:dyDescent="0.25">
      <c r="B38" s="14">
        <f t="shared" ca="1" si="1"/>
        <v>9</v>
      </c>
      <c r="C38" s="15" t="s">
        <v>31</v>
      </c>
      <c r="D38" s="16">
        <f>ROUND(E38*IF(RIGHT(C38,4)="Wind",CC_W_Wind,IF(RIGHT(C38,5)="Solar",CC_W_Tracking,IF(RIGHT(C38,3)="Gas",CC_W_Gas,IF(RIGHT(C38,5)="Hydro",CC_W_Hydro,0)))),2)</f>
        <v>14.68</v>
      </c>
      <c r="E38" s="16">
        <v>40</v>
      </c>
      <c r="F38" s="17">
        <v>0.2791238584474886</v>
      </c>
      <c r="G38" s="18">
        <f t="shared" si="2"/>
        <v>0.36699999999999999</v>
      </c>
      <c r="H38" s="19">
        <v>43435</v>
      </c>
      <c r="I38" s="42"/>
      <c r="J38" s="42"/>
      <c r="K38" s="42"/>
      <c r="L38" s="42"/>
      <c r="M38" s="42"/>
      <c r="N38" s="42"/>
      <c r="O38" s="42"/>
    </row>
    <row r="39" spans="2:15" ht="12" customHeight="1" x14ac:dyDescent="0.25">
      <c r="B39" s="14">
        <f t="shared" ca="1" si="1"/>
        <v>10</v>
      </c>
      <c r="C39" s="15" t="s">
        <v>32</v>
      </c>
      <c r="D39" s="16">
        <f>ROUND(E39*IF(RIGHT(C39,4)="Wind",CC_W_Wind,IF(RIGHT(C39,5)="Solar",CC_W_Tracking,IF(RIGHT(C39,3)="Gas",CC_W_Gas,IF(RIGHT(C39,5)="Hydro",CC_W_Hydro,0)))),2)</f>
        <v>14.68</v>
      </c>
      <c r="E39" s="16">
        <v>40</v>
      </c>
      <c r="F39" s="17">
        <v>0.24543093607305935</v>
      </c>
      <c r="G39" s="18">
        <f t="shared" si="2"/>
        <v>0.36699999999999999</v>
      </c>
      <c r="H39" s="19">
        <v>43435</v>
      </c>
      <c r="I39" s="42"/>
      <c r="J39" s="42"/>
      <c r="K39" s="42"/>
      <c r="L39" s="42"/>
      <c r="M39" s="42"/>
      <c r="N39" s="42"/>
      <c r="O39" s="42"/>
    </row>
    <row r="40" spans="2:15" ht="12" customHeight="1" x14ac:dyDescent="0.25">
      <c r="B40" s="14">
        <f t="shared" ca="1" si="1"/>
        <v>11</v>
      </c>
      <c r="C40" s="15" t="s">
        <v>33</v>
      </c>
      <c r="D40" s="16">
        <f t="shared" ref="D40:D54" si="3">ROUND(E40*IF(RIGHT(C40,4)="Wind",CC_E_Wind,IF(RIGHT(C40,5)="Solar",CC_E_Tracking,IF(RIGHT(C40,3)="Gas",CC_E_Gas,IF(RIGHT(C40,5)="Hydro",CC_E_Hydro,0)))),2)</f>
        <v>29.29</v>
      </c>
      <c r="E40" s="16">
        <v>74.900000000000006</v>
      </c>
      <c r="F40" s="17">
        <v>0.30612898628917706</v>
      </c>
      <c r="G40" s="18">
        <f t="shared" si="2"/>
        <v>0.39100000000000001</v>
      </c>
      <c r="H40" s="19">
        <v>43160</v>
      </c>
      <c r="I40" s="42"/>
      <c r="J40" s="42"/>
      <c r="K40" s="42"/>
      <c r="L40" s="42"/>
      <c r="M40" s="42"/>
      <c r="N40" s="42"/>
      <c r="O40" s="42"/>
    </row>
    <row r="41" spans="2:15" ht="12" customHeight="1" x14ac:dyDescent="0.25">
      <c r="B41" s="14">
        <f t="shared" ca="1" si="1"/>
        <v>12</v>
      </c>
      <c r="C41" s="15" t="s">
        <v>34</v>
      </c>
      <c r="D41" s="16">
        <f t="shared" si="3"/>
        <v>11.6</v>
      </c>
      <c r="E41" s="16">
        <v>80</v>
      </c>
      <c r="F41" s="17">
        <v>0.40697345890410958</v>
      </c>
      <c r="G41" s="18">
        <f t="shared" si="2"/>
        <v>0.14499999999999999</v>
      </c>
      <c r="H41" s="19">
        <v>43465</v>
      </c>
      <c r="I41" s="42"/>
      <c r="J41" s="42"/>
      <c r="K41" s="42"/>
      <c r="L41" s="42"/>
      <c r="M41" s="42"/>
      <c r="N41" s="42"/>
      <c r="O41" s="42"/>
    </row>
    <row r="42" spans="2:15" ht="12" customHeight="1" x14ac:dyDescent="0.25">
      <c r="B42" s="14">
        <f t="shared" ca="1" si="1"/>
        <v>13</v>
      </c>
      <c r="C42" s="15" t="s">
        <v>35</v>
      </c>
      <c r="D42" s="16">
        <f t="shared" si="3"/>
        <v>11.6</v>
      </c>
      <c r="E42" s="16">
        <v>80</v>
      </c>
      <c r="F42" s="17">
        <v>0.40697345890410958</v>
      </c>
      <c r="G42" s="18">
        <f t="shared" si="2"/>
        <v>0.14499999999999999</v>
      </c>
      <c r="H42" s="19">
        <v>43465</v>
      </c>
      <c r="I42" s="42"/>
      <c r="J42" s="42"/>
      <c r="K42" s="42"/>
      <c r="L42" s="42"/>
      <c r="M42" s="42"/>
      <c r="N42" s="42"/>
      <c r="O42" s="42"/>
    </row>
    <row r="43" spans="2:15" ht="12" customHeight="1" x14ac:dyDescent="0.25">
      <c r="B43" s="14">
        <f t="shared" ca="1" si="1"/>
        <v>14</v>
      </c>
      <c r="C43" s="15" t="s">
        <v>36</v>
      </c>
      <c r="D43" s="16">
        <f t="shared" si="3"/>
        <v>11.6</v>
      </c>
      <c r="E43" s="16">
        <v>80</v>
      </c>
      <c r="F43" s="17">
        <v>0.40697345890410958</v>
      </c>
      <c r="G43" s="18">
        <f t="shared" si="2"/>
        <v>0.14499999999999999</v>
      </c>
      <c r="H43" s="19">
        <v>43465</v>
      </c>
      <c r="I43" s="42"/>
      <c r="J43" s="42"/>
      <c r="K43" s="42"/>
      <c r="L43" s="42"/>
      <c r="M43" s="42"/>
      <c r="N43" s="42"/>
      <c r="O43" s="42"/>
    </row>
    <row r="44" spans="2:15" ht="12" customHeight="1" collapsed="1" x14ac:dyDescent="0.25">
      <c r="B44" s="14">
        <f t="shared" ca="1" si="1"/>
        <v>15</v>
      </c>
      <c r="C44" s="15" t="s">
        <v>37</v>
      </c>
      <c r="D44" s="16">
        <f t="shared" si="3"/>
        <v>11.6</v>
      </c>
      <c r="E44" s="16">
        <v>80</v>
      </c>
      <c r="F44" s="17">
        <v>0.40697345890410958</v>
      </c>
      <c r="G44" s="18">
        <f t="shared" si="2"/>
        <v>0.14499999999999999</v>
      </c>
      <c r="H44" s="19">
        <v>43465</v>
      </c>
      <c r="I44" s="42"/>
      <c r="J44" s="42"/>
      <c r="K44" s="42"/>
      <c r="L44" s="42"/>
      <c r="M44" s="42"/>
      <c r="N44" s="42"/>
      <c r="O44" s="42"/>
    </row>
    <row r="45" spans="2:15" ht="12" customHeight="1" x14ac:dyDescent="0.25">
      <c r="B45" s="14">
        <f t="shared" ca="1" si="1"/>
        <v>16</v>
      </c>
      <c r="C45" s="15" t="s">
        <v>38</v>
      </c>
      <c r="D45" s="16">
        <f t="shared" si="3"/>
        <v>31.28</v>
      </c>
      <c r="E45" s="16">
        <v>80</v>
      </c>
      <c r="F45" s="17">
        <v>0.31172945205479452</v>
      </c>
      <c r="G45" s="18">
        <f t="shared" si="2"/>
        <v>0.39100000000000001</v>
      </c>
      <c r="H45" s="19">
        <v>43435</v>
      </c>
      <c r="I45" s="42"/>
      <c r="J45" s="42"/>
      <c r="K45" s="42"/>
      <c r="L45" s="42"/>
      <c r="M45" s="42"/>
      <c r="N45" s="42"/>
      <c r="O45" s="42"/>
    </row>
    <row r="46" spans="2:15" ht="12" customHeight="1" x14ac:dyDescent="0.25">
      <c r="B46" s="14">
        <f t="shared" ca="1" si="1"/>
        <v>17</v>
      </c>
      <c r="C46" s="15" t="s">
        <v>39</v>
      </c>
      <c r="D46" s="16">
        <f t="shared" si="3"/>
        <v>31.28</v>
      </c>
      <c r="E46" s="16">
        <v>80</v>
      </c>
      <c r="F46" s="17">
        <v>0.31513555936073057</v>
      </c>
      <c r="G46" s="18">
        <f t="shared" si="2"/>
        <v>0.39100000000000001</v>
      </c>
      <c r="H46" s="19">
        <v>43435</v>
      </c>
      <c r="I46" s="42"/>
      <c r="J46" s="42"/>
      <c r="K46" s="42"/>
      <c r="L46" s="42"/>
      <c r="M46" s="42"/>
      <c r="N46" s="42"/>
      <c r="O46" s="42"/>
    </row>
    <row r="47" spans="2:15" ht="12" customHeight="1" x14ac:dyDescent="0.25">
      <c r="B47" s="14">
        <f t="shared" ca="1" si="1"/>
        <v>18</v>
      </c>
      <c r="C47" s="15" t="s">
        <v>40</v>
      </c>
      <c r="D47" s="16">
        <f t="shared" si="3"/>
        <v>31.28</v>
      </c>
      <c r="E47" s="16">
        <v>80</v>
      </c>
      <c r="F47" s="17">
        <v>0.31859446347031961</v>
      </c>
      <c r="G47" s="18">
        <f t="shared" si="2"/>
        <v>0.39100000000000001</v>
      </c>
      <c r="H47" s="19">
        <v>43435</v>
      </c>
      <c r="I47" s="42"/>
      <c r="J47" s="42"/>
      <c r="K47" s="42"/>
      <c r="L47" s="42"/>
      <c r="M47" s="42"/>
      <c r="N47" s="42"/>
      <c r="O47" s="42"/>
    </row>
    <row r="48" spans="2:15" ht="12" customHeight="1" x14ac:dyDescent="0.25">
      <c r="B48" s="14">
        <f t="shared" ca="1" si="1"/>
        <v>19</v>
      </c>
      <c r="C48" s="15" t="s">
        <v>41</v>
      </c>
      <c r="D48" s="16">
        <f t="shared" si="3"/>
        <v>6.26</v>
      </c>
      <c r="E48" s="16">
        <v>16</v>
      </c>
      <c r="F48" s="17">
        <v>0.29317208904109587</v>
      </c>
      <c r="G48" s="18">
        <f t="shared" si="2"/>
        <v>0.39100000000000001</v>
      </c>
      <c r="H48" s="19">
        <v>43739</v>
      </c>
      <c r="I48" s="42"/>
      <c r="J48" s="42"/>
      <c r="K48" s="42"/>
      <c r="L48" s="42"/>
      <c r="M48" s="42"/>
      <c r="N48" s="42"/>
      <c r="O48" s="42"/>
    </row>
    <row r="49" spans="2:15" ht="12" customHeight="1" x14ac:dyDescent="0.25">
      <c r="B49" s="14">
        <f t="shared" ca="1" si="1"/>
        <v>20</v>
      </c>
      <c r="C49" s="15" t="s">
        <v>42</v>
      </c>
      <c r="D49" s="16">
        <f t="shared" si="3"/>
        <v>11.73</v>
      </c>
      <c r="E49" s="16">
        <v>30</v>
      </c>
      <c r="F49" s="17">
        <v>0.27404870624048705</v>
      </c>
      <c r="G49" s="18">
        <f t="shared" si="2"/>
        <v>0.39100000000000001</v>
      </c>
      <c r="H49" s="19">
        <v>43646</v>
      </c>
      <c r="I49" s="42"/>
      <c r="J49" s="42"/>
      <c r="K49" s="42"/>
      <c r="L49" s="42"/>
      <c r="M49" s="42"/>
      <c r="N49" s="42"/>
      <c r="O49" s="42"/>
    </row>
    <row r="50" spans="2:15" ht="12" customHeight="1" x14ac:dyDescent="0.25">
      <c r="B50" s="14">
        <f t="shared" ca="1" si="1"/>
        <v>21</v>
      </c>
      <c r="C50" s="15" t="s">
        <v>43</v>
      </c>
      <c r="D50" s="16">
        <f t="shared" si="3"/>
        <v>31.28</v>
      </c>
      <c r="E50" s="16">
        <v>80</v>
      </c>
      <c r="F50" s="17">
        <v>0.27414526255707761</v>
      </c>
      <c r="G50" s="18">
        <f t="shared" si="2"/>
        <v>0.39100000000000001</v>
      </c>
      <c r="H50" s="19">
        <v>43646</v>
      </c>
      <c r="I50" s="42"/>
      <c r="J50" s="42"/>
      <c r="K50" s="42"/>
      <c r="L50" s="42"/>
      <c r="M50" s="42"/>
      <c r="N50" s="42"/>
      <c r="O50" s="42"/>
    </row>
    <row r="51" spans="2:15" ht="12" customHeight="1" x14ac:dyDescent="0.25">
      <c r="B51" s="14">
        <f t="shared" ca="1" si="1"/>
        <v>22</v>
      </c>
      <c r="C51" s="15" t="s">
        <v>44</v>
      </c>
      <c r="D51" s="16">
        <f t="shared" si="3"/>
        <v>11.6</v>
      </c>
      <c r="E51" s="16">
        <v>80</v>
      </c>
      <c r="F51" s="17">
        <v>0.46554223744292239</v>
      </c>
      <c r="G51" s="18">
        <f t="shared" si="2"/>
        <v>0.14499999999999999</v>
      </c>
      <c r="H51" s="19">
        <v>43831</v>
      </c>
      <c r="I51" s="42"/>
      <c r="J51" s="42"/>
      <c r="K51" s="42"/>
      <c r="L51" s="42"/>
      <c r="M51" s="42"/>
      <c r="N51" s="42"/>
      <c r="O51" s="42"/>
    </row>
    <row r="52" spans="2:15" ht="12" customHeight="1" x14ac:dyDescent="0.25">
      <c r="B52" s="14">
        <f t="shared" ca="1" si="1"/>
        <v>23</v>
      </c>
      <c r="C52" s="15" t="s">
        <v>45</v>
      </c>
      <c r="D52" s="16">
        <f t="shared" si="3"/>
        <v>11.6</v>
      </c>
      <c r="E52" s="16">
        <v>80</v>
      </c>
      <c r="F52" s="17">
        <v>0.46554223744292239</v>
      </c>
      <c r="G52" s="18">
        <f t="shared" si="2"/>
        <v>0.14499999999999999</v>
      </c>
      <c r="H52" s="19">
        <v>43831</v>
      </c>
      <c r="I52" s="42"/>
      <c r="J52" s="42"/>
      <c r="K52" s="42"/>
      <c r="L52" s="42"/>
      <c r="M52" s="42"/>
      <c r="N52" s="42"/>
      <c r="O52" s="42"/>
    </row>
    <row r="53" spans="2:15" ht="12" customHeight="1" x14ac:dyDescent="0.25">
      <c r="B53" s="14">
        <f t="shared" ca="1" si="1"/>
        <v>24</v>
      </c>
      <c r="C53" s="15" t="s">
        <v>46</v>
      </c>
      <c r="D53" s="16">
        <f t="shared" si="3"/>
        <v>11.6</v>
      </c>
      <c r="E53" s="16">
        <v>80</v>
      </c>
      <c r="F53" s="17">
        <v>0.46554223744292239</v>
      </c>
      <c r="G53" s="18">
        <f t="shared" si="2"/>
        <v>0.14499999999999999</v>
      </c>
      <c r="H53" s="19">
        <v>43831</v>
      </c>
      <c r="I53" s="42"/>
      <c r="J53" s="42"/>
      <c r="K53" s="42"/>
      <c r="L53" s="42"/>
      <c r="M53" s="42"/>
      <c r="N53" s="42"/>
      <c r="O53" s="42"/>
    </row>
    <row r="54" spans="2:15" ht="12" customHeight="1" collapsed="1" x14ac:dyDescent="0.25">
      <c r="B54" s="14">
        <f t="shared" ca="1" si="1"/>
        <v>25</v>
      </c>
      <c r="C54" s="15" t="s">
        <v>47</v>
      </c>
      <c r="D54" s="16">
        <f t="shared" si="3"/>
        <v>5.8</v>
      </c>
      <c r="E54" s="16">
        <v>40</v>
      </c>
      <c r="F54" s="17">
        <v>0.46554223744292239</v>
      </c>
      <c r="G54" s="18">
        <f t="shared" si="2"/>
        <v>0.14499999999999999</v>
      </c>
      <c r="H54" s="19">
        <v>43831</v>
      </c>
      <c r="I54" s="42"/>
      <c r="J54" s="42"/>
      <c r="K54" s="42"/>
      <c r="L54" s="42"/>
      <c r="M54" s="42"/>
      <c r="N54" s="42"/>
      <c r="O54" s="42"/>
    </row>
    <row r="55" spans="2:15" ht="12" customHeight="1" x14ac:dyDescent="0.25">
      <c r="B55" s="14">
        <f ca="1">OFFSET(B55,-1,0)+1</f>
        <v>26</v>
      </c>
      <c r="C55" s="15" t="s">
        <v>48</v>
      </c>
      <c r="D55" s="16">
        <f>ROUND(E55*IF(RIGHT(C55,4)="Wind",CC_W_Wind,IF(RIGHT(C55,5)="Solar",CC_W_Tracking,IF(RIGHT(C55,3)="Gas",CC_W_Gas,IF(RIGHT(C55,5)="Hydro",CC_W_Hydro,0)))),2)</f>
        <v>6.59</v>
      </c>
      <c r="E55" s="16">
        <v>17.97</v>
      </c>
      <c r="F55" s="17">
        <v>0.25991088505834109</v>
      </c>
      <c r="G55" s="18">
        <f>ROUND(D55/E55,3)</f>
        <v>0.36699999999999999</v>
      </c>
      <c r="H55" s="19">
        <v>43101</v>
      </c>
      <c r="I55" s="42"/>
      <c r="J55" s="42"/>
      <c r="K55" s="42"/>
      <c r="L55" s="42"/>
      <c r="M55" s="42"/>
      <c r="N55" s="42"/>
      <c r="O55" s="42"/>
    </row>
    <row r="56" spans="2:15" ht="12" customHeight="1" x14ac:dyDescent="0.25">
      <c r="B56" s="14">
        <f t="shared" ref="B56:B61" ca="1" si="4">OFFSET(B56,-1,0)+1</f>
        <v>27</v>
      </c>
      <c r="C56" s="15" t="s">
        <v>49</v>
      </c>
      <c r="D56" s="16">
        <f t="shared" ref="D56:D63" si="5">ROUND(E56*IF(RIGHT(C56,4)="Wind",CC_E_Wind,IF(RIGHT(C56,5)="Solar",CC_E_Tracking,IF(RIGHT(C56,3)="Gas",CC_E_Gas,IF(RIGHT(C56,5)="Hydro",CC_E_Hydro,0)))),2)</f>
        <v>31.28</v>
      </c>
      <c r="E56" s="16">
        <v>80</v>
      </c>
      <c r="F56" s="17">
        <v>0.2962956621004566</v>
      </c>
      <c r="G56" s="18">
        <f t="shared" ref="G56:G86" si="6">ROUND(D56/E56,3)</f>
        <v>0.39100000000000001</v>
      </c>
      <c r="H56" s="19">
        <v>43800</v>
      </c>
      <c r="I56" s="42"/>
      <c r="J56" s="42"/>
      <c r="K56" s="42"/>
      <c r="L56" s="42"/>
      <c r="M56" s="42"/>
      <c r="N56" s="42"/>
      <c r="O56" s="42"/>
    </row>
    <row r="57" spans="2:15" ht="12" customHeight="1" x14ac:dyDescent="0.25">
      <c r="B57" s="14">
        <f t="shared" ca="1" si="4"/>
        <v>28</v>
      </c>
      <c r="C57" s="15" t="s">
        <v>50</v>
      </c>
      <c r="D57" s="16">
        <f t="shared" si="5"/>
        <v>31.28</v>
      </c>
      <c r="E57" s="16">
        <v>80</v>
      </c>
      <c r="F57" s="17">
        <v>0.2962956621004566</v>
      </c>
      <c r="G57" s="18">
        <f t="shared" si="6"/>
        <v>0.39100000000000001</v>
      </c>
      <c r="H57" s="19">
        <v>43800</v>
      </c>
      <c r="I57" s="42"/>
      <c r="J57" s="42"/>
      <c r="K57" s="42"/>
      <c r="L57" s="42"/>
      <c r="M57" s="42"/>
      <c r="N57" s="42"/>
      <c r="O57" s="42"/>
    </row>
    <row r="58" spans="2:15" ht="12" customHeight="1" x14ac:dyDescent="0.25">
      <c r="B58" s="14">
        <f t="shared" ca="1" si="4"/>
        <v>29</v>
      </c>
      <c r="C58" s="15" t="s">
        <v>51</v>
      </c>
      <c r="D58" s="16">
        <f t="shared" si="5"/>
        <v>31.28</v>
      </c>
      <c r="E58" s="16">
        <v>80</v>
      </c>
      <c r="F58" s="17">
        <v>0.2962956621004566</v>
      </c>
      <c r="G58" s="18">
        <f t="shared" si="6"/>
        <v>0.39100000000000001</v>
      </c>
      <c r="H58" s="19">
        <v>43800</v>
      </c>
      <c r="I58" s="42"/>
      <c r="J58" s="42"/>
      <c r="K58" s="42"/>
      <c r="L58" s="42"/>
      <c r="M58" s="42"/>
      <c r="N58" s="42"/>
      <c r="O58" s="42"/>
    </row>
    <row r="59" spans="2:15" ht="12" customHeight="1" x14ac:dyDescent="0.25">
      <c r="B59" s="14">
        <f t="shared" ca="1" si="4"/>
        <v>30</v>
      </c>
      <c r="C59" s="15" t="s">
        <v>52</v>
      </c>
      <c r="D59" s="16">
        <f t="shared" si="5"/>
        <v>31.28</v>
      </c>
      <c r="E59" s="16">
        <v>80</v>
      </c>
      <c r="F59" s="17">
        <v>0.2962956621004566</v>
      </c>
      <c r="G59" s="18">
        <f t="shared" si="6"/>
        <v>0.39100000000000001</v>
      </c>
      <c r="H59" s="19">
        <v>43800</v>
      </c>
      <c r="I59" s="42"/>
      <c r="J59" s="42"/>
      <c r="K59" s="42"/>
      <c r="L59" s="42"/>
      <c r="M59" s="42"/>
      <c r="N59" s="42"/>
      <c r="O59" s="42"/>
    </row>
    <row r="60" spans="2:15" ht="12" customHeight="1" x14ac:dyDescent="0.25">
      <c r="B60" s="14">
        <f t="shared" ca="1" si="4"/>
        <v>31</v>
      </c>
      <c r="C60" s="15" t="s">
        <v>53</v>
      </c>
      <c r="D60" s="16">
        <f t="shared" si="5"/>
        <v>31.28</v>
      </c>
      <c r="E60" s="16">
        <v>80</v>
      </c>
      <c r="F60" s="17">
        <v>0.2962956621004566</v>
      </c>
      <c r="G60" s="18">
        <f t="shared" si="6"/>
        <v>0.39100000000000001</v>
      </c>
      <c r="H60" s="19">
        <v>43800</v>
      </c>
      <c r="I60" s="42"/>
      <c r="J60" s="42"/>
      <c r="K60" s="42"/>
      <c r="L60" s="42"/>
      <c r="M60" s="42"/>
      <c r="N60" s="42"/>
      <c r="O60" s="42"/>
    </row>
    <row r="61" spans="2:15" ht="12" customHeight="1" x14ac:dyDescent="0.25">
      <c r="B61" s="14">
        <f t="shared" ca="1" si="4"/>
        <v>32</v>
      </c>
      <c r="C61" s="15" t="s">
        <v>54</v>
      </c>
      <c r="D61" s="16">
        <f t="shared" si="5"/>
        <v>31.28</v>
      </c>
      <c r="E61" s="16">
        <v>80</v>
      </c>
      <c r="F61" s="17">
        <v>0.2962956621004566</v>
      </c>
      <c r="G61" s="18">
        <f t="shared" si="6"/>
        <v>0.39100000000000001</v>
      </c>
      <c r="H61" s="19">
        <v>43800</v>
      </c>
      <c r="I61" s="42"/>
      <c r="J61" s="42"/>
      <c r="K61" s="42"/>
      <c r="L61" s="42"/>
      <c r="M61" s="42"/>
      <c r="N61" s="42"/>
      <c r="O61" s="42"/>
    </row>
    <row r="62" spans="2:15" ht="12" customHeight="1" collapsed="1" x14ac:dyDescent="0.25">
      <c r="B62" s="14">
        <f t="shared" ca="1" si="1"/>
        <v>33</v>
      </c>
      <c r="C62" s="15" t="s">
        <v>55</v>
      </c>
      <c r="D62" s="16">
        <f t="shared" si="5"/>
        <v>31.28</v>
      </c>
      <c r="E62" s="16">
        <v>80</v>
      </c>
      <c r="F62" s="17">
        <v>0.2962956621004566</v>
      </c>
      <c r="G62" s="18">
        <f t="shared" si="6"/>
        <v>0.39100000000000001</v>
      </c>
      <c r="H62" s="19">
        <v>43800</v>
      </c>
      <c r="I62" s="42"/>
      <c r="J62" s="42"/>
      <c r="K62" s="42"/>
      <c r="L62" s="42"/>
      <c r="M62" s="42"/>
      <c r="N62" s="42"/>
      <c r="O62" s="42"/>
    </row>
    <row r="63" spans="2:15" ht="12" customHeight="1" x14ac:dyDescent="0.25">
      <c r="B63" s="14">
        <f t="shared" ca="1" si="1"/>
        <v>34</v>
      </c>
      <c r="C63" s="15" t="s">
        <v>56</v>
      </c>
      <c r="D63" s="16">
        <f t="shared" si="5"/>
        <v>8.2100000000000009</v>
      </c>
      <c r="E63" s="16">
        <v>21</v>
      </c>
      <c r="F63" s="17">
        <v>0.3490215264187867</v>
      </c>
      <c r="G63" s="18">
        <f t="shared" si="6"/>
        <v>0.39100000000000001</v>
      </c>
      <c r="H63" s="19">
        <v>43800</v>
      </c>
      <c r="I63" s="42"/>
      <c r="J63" s="42"/>
      <c r="K63" s="42"/>
      <c r="L63" s="42"/>
      <c r="M63" s="42"/>
      <c r="N63" s="42"/>
      <c r="O63" s="42"/>
    </row>
    <row r="64" spans="2:15" ht="12" customHeight="1" x14ac:dyDescent="0.25">
      <c r="B64" s="14">
        <f t="shared" ca="1" si="1"/>
        <v>35</v>
      </c>
      <c r="C64" s="15" t="s">
        <v>57</v>
      </c>
      <c r="D64" s="16">
        <f>ROUND(E64*IF(RIGHT(C64,4)="Wind",CC_W_Wind,IF(RIGHT(C64,5)="Solar",CC_W_Tracking,IF(RIGHT(C64,3)="Gas",CC_W_Gas,IF(RIGHT(C64,5)="Hydro",CC_W_Hydro,0)))),2)</f>
        <v>2.94</v>
      </c>
      <c r="E64" s="16">
        <v>8</v>
      </c>
      <c r="F64" s="17">
        <v>0.28451753710045663</v>
      </c>
      <c r="G64" s="18">
        <f t="shared" si="6"/>
        <v>0.36799999999999999</v>
      </c>
      <c r="H64" s="19">
        <v>43435</v>
      </c>
      <c r="I64" s="42"/>
      <c r="J64" s="42"/>
      <c r="K64" s="42"/>
      <c r="L64" s="42"/>
      <c r="M64" s="42"/>
      <c r="N64" s="42"/>
      <c r="O64" s="42"/>
    </row>
    <row r="65" spans="2:15" ht="12" customHeight="1" x14ac:dyDescent="0.25">
      <c r="B65" s="14">
        <f t="shared" ca="1" si="1"/>
        <v>36</v>
      </c>
      <c r="C65" s="15" t="s">
        <v>58</v>
      </c>
      <c r="D65" s="16">
        <f>ROUND(E65*IF(RIGHT(C65,4)="Wind",CC_W_Wind,IF(RIGHT(C65,5)="Solar",CC_W_Tracking,IF(RIGHT(C65,3)="Gas",CC_W_Gas,IF(RIGHT(C65,5)="Hydro",CC_W_Hydro,0)))),2)</f>
        <v>16.88</v>
      </c>
      <c r="E65" s="16">
        <v>46</v>
      </c>
      <c r="F65" s="17">
        <v>0.28746024171133611</v>
      </c>
      <c r="G65" s="18">
        <f t="shared" si="6"/>
        <v>0.36699999999999999</v>
      </c>
      <c r="H65" s="19">
        <v>43435</v>
      </c>
      <c r="I65" s="42"/>
      <c r="J65" s="42"/>
      <c r="K65" s="42"/>
      <c r="L65" s="42"/>
      <c r="M65" s="42"/>
      <c r="N65" s="42"/>
      <c r="O65" s="42"/>
    </row>
    <row r="66" spans="2:15" ht="12" customHeight="1" x14ac:dyDescent="0.25">
      <c r="B66" s="14">
        <f t="shared" ca="1" si="1"/>
        <v>37</v>
      </c>
      <c r="C66" s="15" t="s">
        <v>59</v>
      </c>
      <c r="D66" s="16">
        <f t="shared" ref="D66:D73" si="7">ROUND(E66*IF(RIGHT(C66,4)="Wind",CC_E_Wind,IF(RIGHT(C66,5)="Solar",CC_E_Tracking,IF(RIGHT(C66,3)="Gas",CC_E_Gas,IF(RIGHT(C66,5)="Hydro",CC_E_Hydro,0)))),2)</f>
        <v>22.68</v>
      </c>
      <c r="E66" s="16">
        <v>58</v>
      </c>
      <c r="F66" s="17">
        <v>0.33892497244528419</v>
      </c>
      <c r="G66" s="18">
        <f t="shared" si="6"/>
        <v>0.39100000000000001</v>
      </c>
      <c r="H66" s="19">
        <v>43282</v>
      </c>
      <c r="I66" s="42"/>
      <c r="J66" s="42"/>
      <c r="K66" s="42"/>
      <c r="L66" s="42"/>
      <c r="M66" s="42"/>
      <c r="N66" s="42"/>
      <c r="O66" s="42"/>
    </row>
    <row r="67" spans="2:15" ht="12" customHeight="1" x14ac:dyDescent="0.25">
      <c r="B67" s="14">
        <f t="shared" ca="1" si="1"/>
        <v>38</v>
      </c>
      <c r="C67" s="15" t="s">
        <v>60</v>
      </c>
      <c r="D67" s="16">
        <f t="shared" si="7"/>
        <v>5.21</v>
      </c>
      <c r="E67" s="16">
        <v>13.33</v>
      </c>
      <c r="F67" s="17">
        <v>0.26666769432084048</v>
      </c>
      <c r="G67" s="18">
        <f t="shared" si="6"/>
        <v>0.39100000000000001</v>
      </c>
      <c r="H67" s="19">
        <v>43313</v>
      </c>
      <c r="I67" s="42"/>
      <c r="J67" s="42"/>
      <c r="K67" s="42"/>
      <c r="L67" s="42"/>
      <c r="M67" s="42"/>
      <c r="N67" s="42"/>
      <c r="O67" s="42"/>
    </row>
    <row r="68" spans="2:15" ht="12" customHeight="1" x14ac:dyDescent="0.25">
      <c r="B68" s="14">
        <f t="shared" ca="1" si="1"/>
        <v>39</v>
      </c>
      <c r="C68" s="15" t="s">
        <v>61</v>
      </c>
      <c r="D68" s="16">
        <f t="shared" si="7"/>
        <v>31.28</v>
      </c>
      <c r="E68" s="16">
        <v>80</v>
      </c>
      <c r="F68" s="17">
        <v>0.26088327625570779</v>
      </c>
      <c r="G68" s="18">
        <f t="shared" si="6"/>
        <v>0.39100000000000001</v>
      </c>
      <c r="H68" s="19">
        <v>43678</v>
      </c>
      <c r="I68" s="42"/>
      <c r="J68" s="42"/>
      <c r="K68" s="42"/>
      <c r="L68" s="42"/>
      <c r="M68" s="42"/>
      <c r="N68" s="42"/>
      <c r="O68" s="42"/>
    </row>
    <row r="69" spans="2:15" ht="12" customHeight="1" x14ac:dyDescent="0.25">
      <c r="B69" s="14">
        <f t="shared" ca="1" si="1"/>
        <v>40</v>
      </c>
      <c r="C69" s="15" t="s">
        <v>62</v>
      </c>
      <c r="D69" s="16">
        <f t="shared" si="7"/>
        <v>11.01</v>
      </c>
      <c r="E69" s="16">
        <v>75.900000000000006</v>
      </c>
      <c r="F69" s="17">
        <v>0.46942022969420227</v>
      </c>
      <c r="G69" s="18">
        <f t="shared" si="6"/>
        <v>0.14499999999999999</v>
      </c>
      <c r="H69" s="19">
        <v>43374</v>
      </c>
      <c r="I69" s="42"/>
      <c r="J69" s="42"/>
      <c r="K69" s="42"/>
      <c r="L69" s="42"/>
      <c r="M69" s="42"/>
      <c r="N69" s="42"/>
      <c r="O69" s="42"/>
    </row>
    <row r="70" spans="2:15" ht="12" customHeight="1" x14ac:dyDescent="0.25">
      <c r="B70" s="14">
        <f t="shared" ca="1" si="1"/>
        <v>41</v>
      </c>
      <c r="C70" s="15" t="s">
        <v>63</v>
      </c>
      <c r="D70" s="16">
        <f t="shared" si="7"/>
        <v>31.28</v>
      </c>
      <c r="E70" s="16">
        <v>80</v>
      </c>
      <c r="F70" s="17">
        <v>0.27384703196347032</v>
      </c>
      <c r="G70" s="18">
        <f t="shared" si="6"/>
        <v>0.39100000000000001</v>
      </c>
      <c r="H70" s="19">
        <v>43617</v>
      </c>
      <c r="I70" s="42"/>
      <c r="J70" s="42"/>
      <c r="K70" s="42"/>
      <c r="L70" s="42"/>
      <c r="M70" s="42"/>
      <c r="N70" s="42"/>
      <c r="O70" s="42"/>
    </row>
    <row r="71" spans="2:15" ht="12" customHeight="1" x14ac:dyDescent="0.25">
      <c r="B71" s="14">
        <f t="shared" ca="1" si="1"/>
        <v>42</v>
      </c>
      <c r="C71" s="15" t="s">
        <v>64</v>
      </c>
      <c r="D71" s="16">
        <f t="shared" si="7"/>
        <v>31.28</v>
      </c>
      <c r="E71" s="16">
        <v>80</v>
      </c>
      <c r="F71" s="17">
        <v>0.28941152968036532</v>
      </c>
      <c r="G71" s="18">
        <f t="shared" si="6"/>
        <v>0.39100000000000001</v>
      </c>
      <c r="H71" s="19">
        <v>43435</v>
      </c>
      <c r="I71" s="42"/>
      <c r="J71" s="42"/>
      <c r="K71" s="42"/>
      <c r="L71" s="42"/>
      <c r="M71" s="42"/>
      <c r="N71" s="42"/>
      <c r="O71" s="42"/>
    </row>
    <row r="72" spans="2:15" ht="12" customHeight="1" x14ac:dyDescent="0.25">
      <c r="B72" s="14">
        <f t="shared" ca="1" si="1"/>
        <v>43</v>
      </c>
      <c r="C72" s="15" t="s">
        <v>65</v>
      </c>
      <c r="D72" s="16">
        <f t="shared" si="7"/>
        <v>31.28</v>
      </c>
      <c r="E72" s="16">
        <v>80</v>
      </c>
      <c r="F72" s="17">
        <v>0.27302226027397258</v>
      </c>
      <c r="G72" s="18">
        <f t="shared" si="6"/>
        <v>0.39100000000000001</v>
      </c>
      <c r="H72" s="19">
        <v>43800</v>
      </c>
      <c r="I72" s="42"/>
      <c r="J72" s="42"/>
      <c r="K72" s="42"/>
      <c r="L72" s="42"/>
      <c r="M72" s="42"/>
      <c r="N72" s="42"/>
      <c r="O72" s="42"/>
    </row>
    <row r="73" spans="2:15" ht="12" customHeight="1" x14ac:dyDescent="0.25">
      <c r="B73" s="14">
        <f ca="1">OFFSET(B73,-1,0)+1</f>
        <v>44</v>
      </c>
      <c r="C73" s="15" t="s">
        <v>66</v>
      </c>
      <c r="D73" s="16">
        <f t="shared" si="7"/>
        <v>31.28</v>
      </c>
      <c r="E73" s="16">
        <v>80</v>
      </c>
      <c r="F73" s="17">
        <v>0.2703581621004566</v>
      </c>
      <c r="G73" s="18">
        <f t="shared" si="6"/>
        <v>0.39100000000000001</v>
      </c>
      <c r="H73" s="19">
        <v>43800</v>
      </c>
      <c r="I73" s="42"/>
      <c r="J73" s="42"/>
      <c r="K73" s="42"/>
      <c r="L73" s="42"/>
      <c r="M73" s="42"/>
      <c r="N73" s="42"/>
      <c r="O73" s="42"/>
    </row>
    <row r="74" spans="2:15" ht="12" customHeight="1" x14ac:dyDescent="0.25">
      <c r="B74" s="14">
        <f ca="1">OFFSET(B74,-1,0)+1</f>
        <v>45</v>
      </c>
      <c r="C74" s="15" t="s">
        <v>67</v>
      </c>
      <c r="D74" s="16">
        <f>ROUND(6*IF(RIGHT(C74,4)="Wind",CC_E_Wind,IF(RIGHT(C74,5)="Solar",CC_E_Tracking,IF(RIGHT(C74,3)="Gas",CC_E_Gas,IF(RIGHT(C74,5)="Hydro",CC_E_Hydro,0))))+53*0,3)</f>
        <v>2.3460000000000001</v>
      </c>
      <c r="E74" s="16">
        <v>59</v>
      </c>
      <c r="F74" s="17">
        <v>0.34871720455073135</v>
      </c>
      <c r="G74" s="18">
        <f t="shared" si="6"/>
        <v>0.04</v>
      </c>
      <c r="H74" s="19">
        <v>43800</v>
      </c>
      <c r="I74" s="42"/>
      <c r="J74" s="42"/>
      <c r="K74" s="42"/>
      <c r="L74" s="42"/>
      <c r="M74" s="42"/>
      <c r="N74" s="42"/>
      <c r="O74" s="42"/>
    </row>
    <row r="75" spans="2:15" ht="12" customHeight="1" x14ac:dyDescent="0.25">
      <c r="B75" s="14">
        <f t="shared" ref="B75:B86" ca="1" si="8">OFFSET(B75,-1,0)+1</f>
        <v>46</v>
      </c>
      <c r="C75" s="15" t="s">
        <v>68</v>
      </c>
      <c r="D75" s="16">
        <f>ROUND(E75*IF(RIGHT(C75,4)="Wind",CC_W_Wind,IF(RIGHT(C75,5)="Solar",CC_W_Tracking,IF(RIGHT(C75,3)="Gas",CC_W_Gas,IF(RIGHT(C75,5)="Hydro",CC_W_Hydro,0)))),2)</f>
        <v>20.190000000000001</v>
      </c>
      <c r="E75" s="16">
        <v>55</v>
      </c>
      <c r="F75" s="17">
        <v>0.28014736405147361</v>
      </c>
      <c r="G75" s="18">
        <f t="shared" si="6"/>
        <v>0.36699999999999999</v>
      </c>
      <c r="H75" s="19">
        <v>43466</v>
      </c>
      <c r="I75" s="42"/>
      <c r="J75" s="42"/>
      <c r="K75" s="42"/>
      <c r="L75" s="42"/>
      <c r="M75" s="42"/>
      <c r="N75" s="42"/>
      <c r="O75" s="42"/>
    </row>
    <row r="76" spans="2:15" ht="12" customHeight="1" x14ac:dyDescent="0.25">
      <c r="B76" s="14">
        <f t="shared" ca="1" si="8"/>
        <v>47</v>
      </c>
      <c r="C76" s="15" t="s">
        <v>69</v>
      </c>
      <c r="D76" s="16">
        <f t="shared" ref="D76:D84" si="9">ROUND(E76*IF(RIGHT(C76,4)="Wind",CC_E_Wind,IF(RIGHT(C76,5)="Solar",CC_E_Tracking,IF(RIGHT(C76,3)="Gas",CC_E_Gas,IF(RIGHT(C76,5)="Hydro",CC_E_Hydro,0)))),2)</f>
        <v>31.28</v>
      </c>
      <c r="E76" s="16">
        <v>80</v>
      </c>
      <c r="F76" s="17">
        <v>0.29963184931506848</v>
      </c>
      <c r="G76" s="18">
        <f t="shared" si="6"/>
        <v>0.39100000000000001</v>
      </c>
      <c r="H76" s="19">
        <v>43435</v>
      </c>
      <c r="I76" s="42"/>
      <c r="J76" s="42"/>
      <c r="K76" s="42"/>
      <c r="L76" s="42"/>
      <c r="M76" s="42"/>
      <c r="N76" s="42"/>
      <c r="O76" s="42"/>
    </row>
    <row r="77" spans="2:15" ht="12" customHeight="1" x14ac:dyDescent="0.25">
      <c r="B77" s="14">
        <f t="shared" ca="1" si="8"/>
        <v>48</v>
      </c>
      <c r="C77" s="15" t="s">
        <v>70</v>
      </c>
      <c r="D77" s="16">
        <f t="shared" si="9"/>
        <v>31.28</v>
      </c>
      <c r="E77" s="16">
        <v>80</v>
      </c>
      <c r="F77" s="17">
        <v>0.27895262557077627</v>
      </c>
      <c r="G77" s="18">
        <f t="shared" si="6"/>
        <v>0.39100000000000001</v>
      </c>
      <c r="H77" s="19">
        <v>43922</v>
      </c>
      <c r="I77" s="42"/>
      <c r="J77" s="42"/>
      <c r="K77" s="42"/>
      <c r="L77" s="42"/>
      <c r="M77" s="42"/>
      <c r="N77" s="42"/>
      <c r="O77" s="42"/>
    </row>
    <row r="78" spans="2:15" ht="12" customHeight="1" x14ac:dyDescent="0.25">
      <c r="B78" s="14">
        <f t="shared" ca="1" si="8"/>
        <v>49</v>
      </c>
      <c r="C78" s="15" t="s">
        <v>71</v>
      </c>
      <c r="D78" s="16">
        <f t="shared" si="9"/>
        <v>31.28</v>
      </c>
      <c r="E78" s="16">
        <v>80</v>
      </c>
      <c r="F78" s="17">
        <v>0.2965884703196347</v>
      </c>
      <c r="G78" s="18">
        <f t="shared" si="6"/>
        <v>0.39100000000000001</v>
      </c>
      <c r="H78" s="19">
        <v>43800</v>
      </c>
      <c r="I78" s="42"/>
      <c r="J78" s="42"/>
      <c r="K78" s="42"/>
      <c r="L78" s="42"/>
      <c r="M78" s="42"/>
      <c r="N78" s="42"/>
      <c r="O78" s="42"/>
    </row>
    <row r="79" spans="2:15" ht="12" customHeight="1" x14ac:dyDescent="0.25">
      <c r="B79" s="14">
        <f t="shared" ca="1" si="8"/>
        <v>50</v>
      </c>
      <c r="C79" s="15" t="s">
        <v>72</v>
      </c>
      <c r="D79" s="16">
        <f t="shared" si="9"/>
        <v>31.28</v>
      </c>
      <c r="E79" s="16">
        <v>80</v>
      </c>
      <c r="F79" s="17">
        <v>0.2965884703196347</v>
      </c>
      <c r="G79" s="18">
        <f t="shared" si="6"/>
        <v>0.39100000000000001</v>
      </c>
      <c r="H79" s="19">
        <v>43800</v>
      </c>
      <c r="I79" s="42"/>
      <c r="J79" s="42"/>
      <c r="K79" s="42"/>
      <c r="L79" s="42"/>
      <c r="M79" s="42"/>
      <c r="N79" s="42"/>
      <c r="O79" s="42"/>
    </row>
    <row r="80" spans="2:15" ht="12" customHeight="1" x14ac:dyDescent="0.25">
      <c r="B80" s="14">
        <f t="shared" ca="1" si="8"/>
        <v>51</v>
      </c>
      <c r="C80" s="15" t="s">
        <v>73</v>
      </c>
      <c r="D80" s="16">
        <f t="shared" si="9"/>
        <v>31.28</v>
      </c>
      <c r="E80" s="16">
        <v>80</v>
      </c>
      <c r="F80" s="17">
        <v>0.2965884703196347</v>
      </c>
      <c r="G80" s="18">
        <f t="shared" si="6"/>
        <v>0.39100000000000001</v>
      </c>
      <c r="H80" s="19">
        <v>43800</v>
      </c>
      <c r="I80" s="42"/>
      <c r="J80" s="42"/>
      <c r="K80" s="42"/>
      <c r="L80" s="42"/>
      <c r="M80" s="42"/>
      <c r="N80" s="42"/>
      <c r="O80" s="42"/>
    </row>
    <row r="81" spans="1:15" ht="12" customHeight="1" x14ac:dyDescent="0.25">
      <c r="A81" s="1"/>
      <c r="B81" s="14">
        <f t="shared" ca="1" si="8"/>
        <v>52</v>
      </c>
      <c r="C81" s="15" t="s">
        <v>74</v>
      </c>
      <c r="D81" s="16">
        <f t="shared" si="9"/>
        <v>31.28</v>
      </c>
      <c r="E81" s="16">
        <v>80</v>
      </c>
      <c r="F81" s="17">
        <v>0.2965884703196347</v>
      </c>
      <c r="G81" s="18">
        <f t="shared" si="6"/>
        <v>0.39100000000000001</v>
      </c>
      <c r="H81" s="19">
        <v>43800</v>
      </c>
      <c r="I81" s="42"/>
      <c r="J81" s="42"/>
      <c r="K81" s="42"/>
      <c r="L81" s="42"/>
      <c r="M81" s="42"/>
      <c r="N81" s="42"/>
      <c r="O81" s="42"/>
    </row>
    <row r="82" spans="1:15" ht="12" customHeight="1" x14ac:dyDescent="0.25">
      <c r="A82" s="1"/>
      <c r="B82" s="14">
        <f t="shared" ca="1" si="8"/>
        <v>53</v>
      </c>
      <c r="C82" s="15" t="s">
        <v>75</v>
      </c>
      <c r="D82" s="16">
        <f t="shared" si="9"/>
        <v>31.28</v>
      </c>
      <c r="E82" s="16">
        <v>80</v>
      </c>
      <c r="F82" s="17">
        <v>0.2965884703196347</v>
      </c>
      <c r="G82" s="18">
        <f t="shared" si="6"/>
        <v>0.39100000000000001</v>
      </c>
      <c r="H82" s="19">
        <v>43800</v>
      </c>
      <c r="I82" s="42"/>
      <c r="J82" s="42"/>
      <c r="K82" s="42"/>
      <c r="L82" s="42"/>
      <c r="M82" s="42"/>
      <c r="N82" s="42"/>
      <c r="O82" s="42"/>
    </row>
    <row r="83" spans="1:15" ht="12" customHeight="1" x14ac:dyDescent="0.25">
      <c r="A83" s="1"/>
      <c r="B83" s="14">
        <f t="shared" ca="1" si="8"/>
        <v>54</v>
      </c>
      <c r="C83" s="15" t="s">
        <v>76</v>
      </c>
      <c r="D83" s="16">
        <f t="shared" si="9"/>
        <v>31.28</v>
      </c>
      <c r="E83" s="16">
        <v>80</v>
      </c>
      <c r="F83" s="17">
        <v>0.2965884703196347</v>
      </c>
      <c r="G83" s="18">
        <f t="shared" si="6"/>
        <v>0.39100000000000001</v>
      </c>
      <c r="H83" s="19">
        <v>43800</v>
      </c>
      <c r="I83" s="42"/>
      <c r="J83" s="42"/>
      <c r="K83" s="42"/>
      <c r="L83" s="42"/>
      <c r="M83" s="42"/>
      <c r="N83" s="42"/>
      <c r="O83" s="42"/>
    </row>
    <row r="84" spans="1:15" ht="12" customHeight="1" x14ac:dyDescent="0.25">
      <c r="A84" s="1"/>
      <c r="B84" s="14">
        <f t="shared" ca="1" si="8"/>
        <v>55</v>
      </c>
      <c r="C84" s="15" t="s">
        <v>77</v>
      </c>
      <c r="D84" s="16">
        <f t="shared" si="9"/>
        <v>31.28</v>
      </c>
      <c r="E84" s="16">
        <v>80</v>
      </c>
      <c r="F84" s="17">
        <v>0.2965884703196347</v>
      </c>
      <c r="G84" s="18">
        <f t="shared" si="6"/>
        <v>0.39100000000000001</v>
      </c>
      <c r="H84" s="19">
        <v>43800</v>
      </c>
      <c r="I84" s="42"/>
      <c r="J84" s="42"/>
      <c r="K84" s="42"/>
      <c r="L84" s="42"/>
      <c r="M84" s="42"/>
      <c r="N84" s="42"/>
      <c r="O84" s="42"/>
    </row>
    <row r="85" spans="1:15" s="44" customFormat="1" ht="12" customHeight="1" x14ac:dyDescent="0.2">
      <c r="A85" s="43"/>
      <c r="B85" s="14">
        <f t="shared" ca="1" si="8"/>
        <v>56</v>
      </c>
      <c r="C85" s="15" t="s">
        <v>78</v>
      </c>
      <c r="D85" s="16">
        <f>ROUND(E85*IF(RIGHT(C85,4)="Wind",CC_W_Wind,IF(RIGHT(C85,5)="Solar",CC_W_Tracking,IF(RIGHT(C85,3)="Gas",CC_W_Gas,IF(RIGHT(C85,5)="Hydro",CC_W_Hydro,0)))),2)</f>
        <v>20.190000000000001</v>
      </c>
      <c r="E85" s="16">
        <v>55</v>
      </c>
      <c r="F85" s="17">
        <v>0.24561402833410492</v>
      </c>
      <c r="G85" s="18">
        <f t="shared" si="6"/>
        <v>0.36699999999999999</v>
      </c>
      <c r="H85" s="19">
        <v>43830</v>
      </c>
      <c r="I85" s="43"/>
      <c r="J85" s="100"/>
      <c r="K85" s="101"/>
      <c r="L85" s="39"/>
      <c r="M85" s="39"/>
    </row>
    <row r="86" spans="1:15" ht="12" customHeight="1" x14ac:dyDescent="0.25">
      <c r="A86" s="1"/>
      <c r="B86" s="14">
        <f t="shared" ca="1" si="8"/>
        <v>57</v>
      </c>
      <c r="C86" s="15" t="s">
        <v>79</v>
      </c>
      <c r="D86" s="16">
        <f>ROUND(E86*IF(RIGHT(C86,4)="Wind",CC_E_Wind,IF(RIGHT(C86,5)="Solar",CC_E_Tracking,IF(RIGHT(C86,3)="Gas",CC_E_Gas,IF(RIGHT(C86,5)="Hydro",CC_E_Hydro,0)))),2)</f>
        <v>11.6</v>
      </c>
      <c r="E86" s="16">
        <v>80</v>
      </c>
      <c r="F86" s="17">
        <v>0.31355450913242011</v>
      </c>
      <c r="G86" s="18">
        <f t="shared" si="6"/>
        <v>0.14499999999999999</v>
      </c>
      <c r="H86" s="19">
        <v>43466</v>
      </c>
      <c r="I86" s="42"/>
      <c r="J86" s="42"/>
      <c r="K86" s="42"/>
      <c r="L86" s="42"/>
      <c r="M86" s="42"/>
      <c r="N86" s="42"/>
      <c r="O86" s="42"/>
    </row>
    <row r="87" spans="1:15" ht="12" customHeight="1" x14ac:dyDescent="0.25">
      <c r="A87" s="1"/>
      <c r="B87" s="14"/>
      <c r="C87" s="15"/>
      <c r="D87" s="16"/>
      <c r="E87" s="16"/>
      <c r="F87" s="17"/>
      <c r="G87" s="18"/>
      <c r="H87" s="19"/>
      <c r="I87" s="42"/>
      <c r="J87" s="42"/>
      <c r="K87" s="42"/>
      <c r="L87" s="42"/>
      <c r="M87" s="42"/>
      <c r="N87" s="42"/>
      <c r="O87" s="42"/>
    </row>
    <row r="88" spans="1:15" ht="12" hidden="1" customHeight="1" x14ac:dyDescent="0.25">
      <c r="A88" s="1"/>
      <c r="B88" s="14"/>
      <c r="C88" s="15"/>
      <c r="D88" s="16"/>
      <c r="E88" s="16"/>
      <c r="F88" s="17"/>
      <c r="G88" s="18"/>
      <c r="H88" s="19"/>
      <c r="I88" s="42"/>
      <c r="J88" s="42"/>
      <c r="K88" s="42"/>
      <c r="L88" s="42"/>
      <c r="M88" s="42"/>
      <c r="N88" s="42"/>
      <c r="O88" s="42"/>
    </row>
    <row r="89" spans="1:15" ht="12" hidden="1" customHeight="1" x14ac:dyDescent="0.25">
      <c r="A89" s="1"/>
      <c r="B89" s="14"/>
      <c r="C89" s="15"/>
      <c r="D89" s="16"/>
      <c r="E89" s="16"/>
      <c r="F89" s="17"/>
      <c r="G89" s="18"/>
      <c r="H89" s="19"/>
      <c r="I89" s="42"/>
      <c r="J89" s="42"/>
      <c r="K89" s="42"/>
      <c r="L89" s="42"/>
      <c r="M89" s="42"/>
      <c r="N89" s="42"/>
      <c r="O89" s="42"/>
    </row>
    <row r="90" spans="1:15" ht="12" hidden="1" customHeight="1" x14ac:dyDescent="0.25">
      <c r="A90" s="1"/>
      <c r="B90" s="14"/>
      <c r="C90" s="15"/>
      <c r="D90" s="16"/>
      <c r="E90" s="16"/>
      <c r="F90" s="17"/>
      <c r="G90" s="18"/>
      <c r="H90" s="19"/>
      <c r="I90" s="42"/>
      <c r="J90" s="42"/>
      <c r="K90" s="42"/>
      <c r="L90" s="42"/>
      <c r="M90" s="42"/>
      <c r="N90" s="42"/>
      <c r="O90" s="42"/>
    </row>
    <row r="91" spans="1:15" ht="12" hidden="1" customHeight="1" x14ac:dyDescent="0.25">
      <c r="A91" s="1"/>
      <c r="B91" s="14"/>
      <c r="C91" s="15"/>
      <c r="D91" s="16"/>
      <c r="E91" s="16"/>
      <c r="F91" s="17"/>
      <c r="G91" s="18"/>
      <c r="H91" s="19"/>
      <c r="I91" s="42"/>
      <c r="J91" s="42"/>
      <c r="K91" s="42"/>
      <c r="L91" s="42"/>
      <c r="M91" s="42"/>
      <c r="N91" s="42"/>
      <c r="O91" s="42"/>
    </row>
    <row r="92" spans="1:15" ht="12" hidden="1" customHeight="1" x14ac:dyDescent="0.25">
      <c r="A92" s="1"/>
      <c r="B92" s="14"/>
      <c r="C92" s="15"/>
      <c r="D92" s="16"/>
      <c r="E92" s="16"/>
      <c r="F92" s="17"/>
      <c r="G92" s="18"/>
      <c r="H92" s="19"/>
      <c r="I92" s="42"/>
      <c r="J92" s="42"/>
      <c r="K92" s="42"/>
      <c r="L92" s="42"/>
      <c r="M92" s="42"/>
      <c r="N92" s="42"/>
      <c r="O92" s="42"/>
    </row>
    <row r="93" spans="1:15" ht="12" hidden="1" customHeight="1" x14ac:dyDescent="0.25">
      <c r="A93" s="1"/>
      <c r="B93" s="14"/>
      <c r="C93" s="15"/>
      <c r="D93" s="16"/>
      <c r="E93" s="16"/>
      <c r="F93" s="17"/>
      <c r="G93" s="18"/>
      <c r="H93" s="19"/>
      <c r="I93" s="42"/>
      <c r="J93" s="42"/>
      <c r="K93" s="42"/>
      <c r="L93" s="42"/>
      <c r="M93" s="42"/>
      <c r="N93" s="42"/>
      <c r="O93" s="42"/>
    </row>
    <row r="94" spans="1:15" ht="12" hidden="1" customHeight="1" x14ac:dyDescent="0.25">
      <c r="A94" s="1"/>
      <c r="B94" s="14"/>
      <c r="C94" s="15"/>
      <c r="D94" s="16"/>
      <c r="E94" s="16"/>
      <c r="F94" s="17"/>
      <c r="G94" s="18"/>
      <c r="H94" s="19"/>
      <c r="I94" s="42"/>
      <c r="J94" s="42"/>
      <c r="K94" s="42"/>
      <c r="L94" s="42"/>
      <c r="M94" s="42"/>
      <c r="N94" s="42"/>
      <c r="O94" s="42"/>
    </row>
    <row r="95" spans="1:15" ht="12" hidden="1" customHeight="1" x14ac:dyDescent="0.25">
      <c r="A95" s="1"/>
      <c r="B95" s="14"/>
      <c r="C95" s="15"/>
      <c r="D95" s="16"/>
      <c r="E95" s="16"/>
      <c r="F95" s="17"/>
      <c r="G95" s="18"/>
      <c r="H95" s="19"/>
      <c r="I95" s="42"/>
      <c r="J95" s="42"/>
      <c r="K95" s="42"/>
      <c r="L95" s="42"/>
      <c r="M95" s="42"/>
      <c r="N95" s="42"/>
      <c r="O95" s="42"/>
    </row>
    <row r="96" spans="1:15" ht="12" hidden="1" customHeight="1" x14ac:dyDescent="0.25">
      <c r="A96" s="1"/>
      <c r="B96" s="14"/>
      <c r="C96" s="15"/>
      <c r="D96" s="16"/>
      <c r="E96" s="16"/>
      <c r="F96" s="17"/>
      <c r="G96" s="18"/>
      <c r="H96" s="19"/>
      <c r="I96" s="42"/>
      <c r="J96" s="42"/>
      <c r="K96" s="42"/>
      <c r="L96" s="42"/>
      <c r="M96" s="42"/>
      <c r="N96" s="42"/>
      <c r="O96" s="42"/>
    </row>
    <row r="97" spans="2:15" ht="12" hidden="1" customHeight="1" x14ac:dyDescent="0.25">
      <c r="B97" s="14"/>
      <c r="C97" s="15"/>
      <c r="D97" s="16"/>
      <c r="E97" s="16"/>
      <c r="F97" s="17"/>
      <c r="G97" s="18"/>
      <c r="H97" s="19"/>
      <c r="I97" s="42"/>
      <c r="J97" s="42"/>
      <c r="K97" s="42"/>
      <c r="L97" s="42"/>
      <c r="M97" s="42"/>
      <c r="N97" s="42"/>
      <c r="O97" s="42"/>
    </row>
    <row r="98" spans="2:15" ht="12" hidden="1" customHeight="1" x14ac:dyDescent="0.25">
      <c r="B98" s="14"/>
      <c r="C98" s="15"/>
      <c r="D98" s="16"/>
      <c r="E98" s="16"/>
      <c r="F98" s="17"/>
      <c r="G98" s="18"/>
      <c r="H98" s="19"/>
      <c r="I98" s="42"/>
      <c r="J98" s="42"/>
      <c r="K98" s="42"/>
      <c r="L98" s="42"/>
      <c r="M98" s="42"/>
      <c r="N98" s="42"/>
      <c r="O98" s="42"/>
    </row>
    <row r="99" spans="2:15" ht="12" hidden="1" customHeight="1" x14ac:dyDescent="0.25">
      <c r="B99" s="14"/>
      <c r="C99" s="15"/>
      <c r="D99" s="16"/>
      <c r="E99" s="16"/>
      <c r="F99" s="17"/>
      <c r="G99" s="18"/>
      <c r="H99" s="19"/>
      <c r="I99" s="42"/>
      <c r="J99" s="42"/>
      <c r="K99" s="42"/>
      <c r="L99" s="42"/>
      <c r="M99" s="42"/>
      <c r="N99" s="42"/>
      <c r="O99" s="42"/>
    </row>
    <row r="100" spans="2:15" ht="12" hidden="1" customHeight="1" x14ac:dyDescent="0.25">
      <c r="B100" s="14"/>
      <c r="C100" s="15"/>
      <c r="D100" s="16"/>
      <c r="E100" s="16"/>
      <c r="F100" s="17"/>
      <c r="G100" s="18"/>
      <c r="H100" s="19"/>
      <c r="I100" s="42"/>
      <c r="J100" s="42"/>
      <c r="K100" s="42"/>
      <c r="L100" s="42"/>
      <c r="M100" s="42"/>
      <c r="N100" s="42"/>
      <c r="O100" s="42"/>
    </row>
    <row r="101" spans="2:15" ht="12" hidden="1" customHeight="1" x14ac:dyDescent="0.25">
      <c r="B101" s="14"/>
      <c r="C101" s="15"/>
      <c r="D101" s="16"/>
      <c r="E101" s="16"/>
      <c r="F101" s="17"/>
      <c r="G101" s="18"/>
      <c r="H101" s="19"/>
      <c r="I101" s="42"/>
      <c r="J101" s="42"/>
      <c r="K101" s="42"/>
      <c r="L101" s="42"/>
      <c r="M101" s="42"/>
      <c r="N101" s="42"/>
      <c r="O101" s="42"/>
    </row>
    <row r="102" spans="2:15" ht="3.75" customHeight="1" x14ac:dyDescent="0.25">
      <c r="B102" s="45"/>
      <c r="C102" s="46"/>
      <c r="D102" s="47"/>
      <c r="E102" s="47"/>
      <c r="F102" s="48"/>
      <c r="G102" s="49"/>
      <c r="H102" s="28"/>
      <c r="I102" s="1"/>
      <c r="J102" s="1"/>
      <c r="K102" s="1"/>
      <c r="L102" s="1"/>
      <c r="M102" s="1"/>
      <c r="N102" s="1"/>
      <c r="O102" s="1"/>
    </row>
    <row r="103" spans="2:15" s="1" customFormat="1" ht="11.25" customHeight="1" x14ac:dyDescent="0.2">
      <c r="B103" s="105" t="s">
        <v>80</v>
      </c>
      <c r="C103" s="106"/>
      <c r="D103" s="29">
        <f>SUM(D29:D102)</f>
        <v>1179.8759999999995</v>
      </c>
      <c r="E103" s="29">
        <f>SUM(E29:E102)</f>
        <v>3718.1</v>
      </c>
      <c r="F103" s="30"/>
      <c r="G103" s="50"/>
      <c r="H103" s="32"/>
    </row>
    <row r="104" spans="2:15" ht="7.5" customHeight="1" x14ac:dyDescent="0.25">
      <c r="B104" s="2"/>
      <c r="C104" s="2"/>
      <c r="D104" s="51"/>
      <c r="E104" s="52"/>
      <c r="F104" s="2"/>
      <c r="G104" s="38"/>
      <c r="H104" s="2"/>
      <c r="I104" s="1"/>
      <c r="J104" s="1"/>
      <c r="K104" s="1"/>
      <c r="L104" s="1"/>
      <c r="M104" s="1"/>
      <c r="N104" s="1"/>
      <c r="O104" s="1"/>
    </row>
    <row r="105" spans="2:15" ht="12" customHeight="1" x14ac:dyDescent="0.25">
      <c r="B105" s="107" t="s">
        <v>81</v>
      </c>
      <c r="C105" s="108"/>
      <c r="D105" s="53">
        <f>ROUND(D27+D103,2)</f>
        <v>1235.23</v>
      </c>
      <c r="E105" s="53">
        <f>E27+E103</f>
        <v>3878.2999999999997</v>
      </c>
      <c r="F105" s="54"/>
      <c r="G105" s="55"/>
      <c r="H105" s="56"/>
      <c r="I105" s="1"/>
      <c r="J105" s="1"/>
      <c r="K105" s="1"/>
      <c r="L105" s="1"/>
      <c r="M105" s="1"/>
      <c r="N105" s="1"/>
      <c r="O105" s="1"/>
    </row>
    <row r="106" spans="2:15" ht="6" customHeight="1" x14ac:dyDescent="0.25">
      <c r="B106" s="57"/>
      <c r="C106" s="57"/>
      <c r="D106" s="53"/>
      <c r="E106" s="58"/>
      <c r="F106" s="57"/>
      <c r="G106" s="59"/>
      <c r="H106" s="57"/>
      <c r="I106" s="1"/>
      <c r="J106" s="1"/>
      <c r="K106" s="1"/>
      <c r="L106" s="1"/>
      <c r="M106" s="1"/>
      <c r="N106" s="1"/>
      <c r="O106" s="1"/>
    </row>
    <row r="107" spans="2:15" x14ac:dyDescent="0.25">
      <c r="B107" s="60">
        <f ca="1">MAX(B30:B102)+1</f>
        <v>58</v>
      </c>
      <c r="C107" s="61" t="s">
        <v>82</v>
      </c>
      <c r="D107" s="16">
        <f>ROUND(E107*CC_E_Gas,2)</f>
        <v>100</v>
      </c>
      <c r="E107" s="62">
        <v>100</v>
      </c>
      <c r="F107" s="63">
        <v>0.85</v>
      </c>
      <c r="G107" s="64">
        <f t="shared" ref="G107" si="10">ROUND(D107/E107,3)</f>
        <v>1</v>
      </c>
      <c r="H107" s="32">
        <v>43101</v>
      </c>
      <c r="I107" s="42"/>
      <c r="J107" s="1"/>
      <c r="K107" s="1"/>
      <c r="L107" s="1"/>
      <c r="M107" s="1"/>
      <c r="N107" s="1"/>
      <c r="O107" s="1"/>
    </row>
    <row r="108" spans="2:15" x14ac:dyDescent="0.25">
      <c r="B108" s="107" t="s">
        <v>83</v>
      </c>
      <c r="C108" s="109"/>
      <c r="D108" s="53">
        <f>ROUND(D105+D107,2)</f>
        <v>1335.23</v>
      </c>
      <c r="E108" s="65"/>
      <c r="F108" s="54"/>
      <c r="G108" s="54"/>
      <c r="H108" s="56"/>
      <c r="I108" s="1"/>
      <c r="J108" s="1"/>
      <c r="K108" s="1"/>
      <c r="L108" s="1"/>
      <c r="M108" s="1"/>
      <c r="N108" s="1"/>
      <c r="O108" s="1"/>
    </row>
  </sheetData>
  <mergeCells count="5">
    <mergeCell ref="B2:H2"/>
    <mergeCell ref="B27:C27"/>
    <mergeCell ref="B103:C103"/>
    <mergeCell ref="B105:C105"/>
    <mergeCell ref="B108:C108"/>
  </mergeCells>
  <conditionalFormatting sqref="H6:H8 H10:H11">
    <cfRule type="expression" dxfId="20" priority="51">
      <formula>AND(ISLOGICAL(J6),J6=FALSE)</formula>
    </cfRule>
  </conditionalFormatting>
  <conditionalFormatting sqref="H5:H8">
    <cfRule type="expression" dxfId="19" priority="50">
      <formula>AND(ISLOGICAL(J5),J5=FALSE)</formula>
    </cfRule>
  </conditionalFormatting>
  <conditionalFormatting sqref="H10">
    <cfRule type="expression" dxfId="18" priority="49">
      <formula>AND(ISLOGICAL(J10),J10=FALSE)</formula>
    </cfRule>
  </conditionalFormatting>
  <conditionalFormatting sqref="H10">
    <cfRule type="expression" dxfId="17" priority="48">
      <formula>AND(ISLOGICAL(J10),J10=FALSE)</formula>
    </cfRule>
  </conditionalFormatting>
  <conditionalFormatting sqref="H11">
    <cfRule type="expression" dxfId="16" priority="47">
      <formula>AND(ISLOGICAL(J11),J11=FALSE)</formula>
    </cfRule>
  </conditionalFormatting>
  <conditionalFormatting sqref="H11">
    <cfRule type="expression" dxfId="15" priority="46">
      <formula>AND(ISLOGICAL(J11),J11=FALSE)</formula>
    </cfRule>
  </conditionalFormatting>
  <conditionalFormatting sqref="E12">
    <cfRule type="expression" dxfId="14" priority="45">
      <formula>AND(ISLOGICAL(#REF!),#REF!=FALSE)</formula>
    </cfRule>
  </conditionalFormatting>
  <conditionalFormatting sqref="H12">
    <cfRule type="expression" dxfId="13" priority="44">
      <formula>AND(ISLOGICAL(J12),J12=FALSE)</formula>
    </cfRule>
  </conditionalFormatting>
  <conditionalFormatting sqref="H12">
    <cfRule type="expression" dxfId="12" priority="43">
      <formula>AND(ISLOGICAL(J12),J12=FALSE)</formula>
    </cfRule>
  </conditionalFormatting>
  <conditionalFormatting sqref="H13">
    <cfRule type="expression" dxfId="11" priority="42">
      <formula>AND(ISLOGICAL(#REF!),#REF!=FALSE)</formula>
    </cfRule>
  </conditionalFormatting>
  <conditionalFormatting sqref="H13">
    <cfRule type="expression" dxfId="10" priority="41">
      <formula>AND(ISLOGICAL(#REF!),#REF!=FALSE)</formula>
    </cfRule>
  </conditionalFormatting>
  <conditionalFormatting sqref="E9">
    <cfRule type="expression" dxfId="9" priority="39">
      <formula>AND(ISLOGICAL(#REF!),#REF!=FALSE)</formula>
    </cfRule>
  </conditionalFormatting>
  <conditionalFormatting sqref="H9">
    <cfRule type="expression" dxfId="8" priority="40">
      <formula>AND(ISLOGICAL(#REF!),#REF!=FALSE)</formula>
    </cfRule>
  </conditionalFormatting>
  <conditionalFormatting sqref="L85:M85">
    <cfRule type="expression" dxfId="7" priority="13">
      <formula>AND(ISLOGICAL(AA86),AA86=FALSE)</formula>
    </cfRule>
  </conditionalFormatting>
  <conditionalFormatting sqref="L85:M85">
    <cfRule type="expression" dxfId="6" priority="12">
      <formula>AND(ISLOGICAL(AA40),AA40=FALSE)</formula>
    </cfRule>
  </conditionalFormatting>
  <conditionalFormatting sqref="L85:M85">
    <cfRule type="expression" dxfId="5" priority="10">
      <formula>AND(ISLOGICAL(AA40),AA40=FALSE)</formula>
    </cfRule>
  </conditionalFormatting>
  <conditionalFormatting sqref="M85">
    <cfRule type="expression" dxfId="4" priority="9">
      <formula>AND(ISLOGICAL(AB40),AB40=FALSE)</formula>
    </cfRule>
  </conditionalFormatting>
  <conditionalFormatting sqref="J85">
    <cfRule type="expression" dxfId="3" priority="15">
      <formula>AND(ISLOGICAL(AA43),AA43=FALSE)</formula>
    </cfRule>
  </conditionalFormatting>
  <conditionalFormatting sqref="L85:M85">
    <cfRule type="expression" dxfId="2" priority="56">
      <formula>AND(ISLOGICAL(AA55),AA55=FALSE)</formula>
    </cfRule>
  </conditionalFormatting>
  <conditionalFormatting sqref="E5">
    <cfRule type="expression" dxfId="1" priority="57">
      <formula>AND(ISLOGICAL(#REF!),#REF!=FALSE)</formula>
    </cfRule>
  </conditionalFormatting>
  <conditionalFormatting sqref="B30:B101">
    <cfRule type="expression" dxfId="0" priority="60">
      <formula>AND($E30&gt;0,#REF!=1)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showGridLines="0" tabSelected="1" topLeftCell="A4" workbookViewId="0">
      <selection activeCell="O31" sqref="O31"/>
    </sheetView>
  </sheetViews>
  <sheetFormatPr defaultRowHeight="15" x14ac:dyDescent="0.25"/>
  <cols>
    <col min="1" max="2" width="9.140625" style="67"/>
    <col min="3" max="3" width="7.28515625" style="67" bestFit="1" customWidth="1"/>
    <col min="4" max="4" width="9.28515625" style="67" bestFit="1" customWidth="1"/>
    <col min="5" max="5" width="9.42578125" style="67" bestFit="1" customWidth="1"/>
    <col min="6" max="7" width="9.28515625" style="67" customWidth="1"/>
    <col min="8" max="8" width="8" style="67" bestFit="1" customWidth="1"/>
    <col min="9" max="9" width="9.42578125" style="67" bestFit="1" customWidth="1"/>
    <col min="10" max="10" width="8.42578125" style="67" bestFit="1" customWidth="1"/>
    <col min="11" max="12" width="8" style="67" bestFit="1" customWidth="1"/>
    <col min="13" max="13" width="9.140625" style="67" bestFit="1" customWidth="1"/>
    <col min="14" max="16384" width="9.140625" style="67"/>
  </cols>
  <sheetData>
    <row r="2" spans="2:13" x14ac:dyDescent="0.25">
      <c r="B2" s="66" t="s">
        <v>86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x14ac:dyDescent="0.25">
      <c r="B3" s="66" t="s">
        <v>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x14ac:dyDescent="0.2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3" x14ac:dyDescent="0.25">
      <c r="C5" s="68" t="str">
        <f>CHAR(COLUMN()+94)</f>
        <v>a</v>
      </c>
      <c r="D5" s="68" t="str">
        <f t="shared" ref="D5:M5" si="0">CHAR(COLUMN()+94)</f>
        <v>b</v>
      </c>
      <c r="E5" s="68" t="str">
        <f t="shared" si="0"/>
        <v>c</v>
      </c>
      <c r="F5" s="68" t="str">
        <f t="shared" si="0"/>
        <v>d</v>
      </c>
      <c r="G5" s="68" t="str">
        <f t="shared" si="0"/>
        <v>e</v>
      </c>
      <c r="H5" s="68" t="str">
        <f t="shared" si="0"/>
        <v>f</v>
      </c>
      <c r="I5" s="68" t="str">
        <f t="shared" si="0"/>
        <v>g</v>
      </c>
      <c r="J5" s="68" t="str">
        <f t="shared" si="0"/>
        <v>h</v>
      </c>
      <c r="K5" s="68" t="str">
        <f t="shared" si="0"/>
        <v>i</v>
      </c>
      <c r="L5" s="68" t="str">
        <f t="shared" si="0"/>
        <v>j</v>
      </c>
      <c r="M5" s="68" t="str">
        <f t="shared" si="0"/>
        <v>k</v>
      </c>
    </row>
    <row r="6" spans="2:13" x14ac:dyDescent="0.25">
      <c r="B6" s="69"/>
      <c r="C6" s="70" t="s">
        <v>88</v>
      </c>
      <c r="D6" s="70"/>
      <c r="E6" s="71"/>
      <c r="F6" s="72" t="s">
        <v>104</v>
      </c>
      <c r="G6" s="70"/>
      <c r="H6" s="71" t="s">
        <v>89</v>
      </c>
      <c r="I6" s="70"/>
      <c r="J6" s="70" t="s">
        <v>90</v>
      </c>
      <c r="K6" s="70"/>
      <c r="L6" s="73"/>
      <c r="M6" s="70"/>
    </row>
    <row r="7" spans="2:13" x14ac:dyDescent="0.25">
      <c r="B7" s="74" t="s">
        <v>91</v>
      </c>
      <c r="C7" s="70" t="s">
        <v>92</v>
      </c>
      <c r="D7" s="70"/>
      <c r="E7" s="71"/>
      <c r="F7" s="75" t="s">
        <v>105</v>
      </c>
      <c r="G7" s="76"/>
      <c r="H7" s="71" t="s">
        <v>84</v>
      </c>
      <c r="I7" s="70"/>
      <c r="J7" s="70" t="s">
        <v>85</v>
      </c>
      <c r="K7" s="70"/>
      <c r="L7" s="70" t="s">
        <v>84</v>
      </c>
      <c r="M7" s="70"/>
    </row>
    <row r="8" spans="2:13" x14ac:dyDescent="0.25">
      <c r="B8" s="77"/>
      <c r="C8" s="78" t="s">
        <v>12</v>
      </c>
      <c r="D8" s="79" t="s">
        <v>93</v>
      </c>
      <c r="E8" s="80" t="s">
        <v>94</v>
      </c>
      <c r="F8" s="81" t="s">
        <v>95</v>
      </c>
      <c r="G8" s="82" t="s">
        <v>96</v>
      </c>
      <c r="H8" s="78" t="s">
        <v>97</v>
      </c>
      <c r="I8" s="79" t="s">
        <v>96</v>
      </c>
      <c r="J8" s="79" t="s">
        <v>98</v>
      </c>
      <c r="K8" s="79" t="s">
        <v>94</v>
      </c>
      <c r="L8" s="78" t="s">
        <v>97</v>
      </c>
      <c r="M8" s="79" t="s">
        <v>96</v>
      </c>
    </row>
    <row r="9" spans="2:13" x14ac:dyDescent="0.25">
      <c r="B9" s="83"/>
      <c r="C9" s="83"/>
      <c r="D9" s="83"/>
      <c r="E9" s="83" t="str">
        <f>C5&amp;" + "&amp;D5</f>
        <v>a + b</v>
      </c>
      <c r="F9" s="83"/>
      <c r="G9" s="83"/>
      <c r="H9" s="83" t="str">
        <f>"MIN( "&amp;E5&amp;","&amp;F5&amp;" )"</f>
        <v>MIN( c,d )</v>
      </c>
      <c r="I9" s="83" t="str">
        <f>"MIN( "&amp;G5&amp;","&amp;E5&amp;" - "&amp;H5&amp;" )"</f>
        <v>MIN( e,c - f )</v>
      </c>
      <c r="J9" s="83"/>
      <c r="K9" s="83" t="str">
        <f>E5&amp;" + "&amp;J5</f>
        <v>c + h</v>
      </c>
      <c r="L9" s="83" t="str">
        <f>"MIN( "&amp;F5&amp;","&amp;K5&amp;" )"</f>
        <v>MIN( d,i )</v>
      </c>
      <c r="M9" s="83" t="str">
        <f>"MIN( "&amp;G5&amp;","&amp;K5&amp;" - "&amp;L5&amp;" )"</f>
        <v>MIN( e,i - j )</v>
      </c>
    </row>
    <row r="10" spans="2:13" ht="6" customHeight="1" x14ac:dyDescent="0.25"/>
    <row r="11" spans="2:13" x14ac:dyDescent="0.25">
      <c r="B11" s="84">
        <v>2017</v>
      </c>
      <c r="C11" s="85">
        <v>13.912500000000001</v>
      </c>
      <c r="D11" s="85">
        <v>0</v>
      </c>
      <c r="E11" s="85">
        <f>C11+D11</f>
        <v>13.912500000000001</v>
      </c>
      <c r="F11" s="86">
        <v>0</v>
      </c>
      <c r="G11" s="86">
        <v>747.7</v>
      </c>
      <c r="H11" s="87">
        <f t="shared" ref="H11" si="1">MIN(F11,E11)</f>
        <v>0</v>
      </c>
      <c r="I11" s="85">
        <f>MIN(G11,MAX(E11-H11,0))</f>
        <v>13.912500000000001</v>
      </c>
      <c r="J11" s="85">
        <v>0</v>
      </c>
      <c r="K11" s="85">
        <f>E11+J11</f>
        <v>13.912500000000001</v>
      </c>
      <c r="L11" s="87">
        <f>MIN(F11,K11)</f>
        <v>0</v>
      </c>
      <c r="M11" s="85">
        <f>MIN(G11,MAX(K11-L11,0))</f>
        <v>13.912500000000001</v>
      </c>
    </row>
    <row r="12" spans="2:13" x14ac:dyDescent="0.25">
      <c r="B12" s="88">
        <f t="shared" ref="B12:B36" si="2">B11+1</f>
        <v>2018</v>
      </c>
      <c r="C12" s="89">
        <v>11.4809</v>
      </c>
      <c r="D12" s="89">
        <v>87.91888999999999</v>
      </c>
      <c r="E12" s="89">
        <f t="shared" ref="E12:E36" si="3">C12+D12</f>
        <v>99.399789999999996</v>
      </c>
      <c r="F12" s="90">
        <f>IF(B12=2028,477+635,IF(B12=2030,F11+635,IF(B12=2031,F11+454,IF(B12=2033,F11+423,F11))))</f>
        <v>0</v>
      </c>
      <c r="G12" s="90">
        <v>1093.9000000000001</v>
      </c>
      <c r="H12" s="91">
        <f t="shared" ref="H12:H25" si="4">IF(H11&gt;=F11,MIN(F12,E12),H11)</f>
        <v>0</v>
      </c>
      <c r="I12" s="89">
        <f t="shared" ref="I12" si="5">MIN(G12,MAX(E12-H12,0))</f>
        <v>99.399789999999996</v>
      </c>
      <c r="J12" s="89">
        <v>100</v>
      </c>
      <c r="K12" s="89">
        <f t="shared" ref="K12:K36" si="6">E12+J12</f>
        <v>199.39979</v>
      </c>
      <c r="L12" s="91">
        <f t="shared" ref="L12:L36" si="7">IF(L11&gt;=F11,MIN(F12,K12),L11)</f>
        <v>0</v>
      </c>
      <c r="M12" s="89">
        <f t="shared" ref="M12:M36" si="8">MIN(G12,MAX(K12-L12,0))</f>
        <v>199.39979</v>
      </c>
    </row>
    <row r="13" spans="2:13" x14ac:dyDescent="0.25">
      <c r="B13" s="88">
        <f t="shared" si="2"/>
        <v>2019</v>
      </c>
      <c r="C13" s="89">
        <v>42.721800000000002</v>
      </c>
      <c r="D13" s="89">
        <v>523.14472638500001</v>
      </c>
      <c r="E13" s="89">
        <f t="shared" si="3"/>
        <v>565.86652638500004</v>
      </c>
      <c r="F13" s="90">
        <f t="shared" ref="F13:F29" si="9">IF(B13=2028,477+635,IF(B13=2030,F12+635,IF(B13=2031,F12+454,IF(B13=2033,F12+423,F12))))</f>
        <v>0</v>
      </c>
      <c r="G13" s="90">
        <v>1245.7</v>
      </c>
      <c r="H13" s="91">
        <f t="shared" si="4"/>
        <v>0</v>
      </c>
      <c r="I13" s="89">
        <f>MIN(G13,MAX(E13-H13,0))</f>
        <v>565.86652638500004</v>
      </c>
      <c r="J13" s="89">
        <v>100</v>
      </c>
      <c r="K13" s="89">
        <f t="shared" si="6"/>
        <v>665.86652638500004</v>
      </c>
      <c r="L13" s="91">
        <f t="shared" si="7"/>
        <v>0</v>
      </c>
      <c r="M13" s="89">
        <f t="shared" si="8"/>
        <v>665.86652638500004</v>
      </c>
    </row>
    <row r="14" spans="2:13" x14ac:dyDescent="0.25">
      <c r="B14" s="88">
        <f t="shared" si="2"/>
        <v>2020</v>
      </c>
      <c r="C14" s="89">
        <v>42.432459999999999</v>
      </c>
      <c r="D14" s="89">
        <v>1177.0414097670939</v>
      </c>
      <c r="E14" s="89">
        <f t="shared" si="3"/>
        <v>1219.4738697670939</v>
      </c>
      <c r="F14" s="90">
        <f t="shared" si="9"/>
        <v>0</v>
      </c>
      <c r="G14" s="90">
        <v>1203</v>
      </c>
      <c r="H14" s="91">
        <f t="shared" si="4"/>
        <v>0</v>
      </c>
      <c r="I14" s="89">
        <f t="shared" ref="I14:I36" si="10">MIN(G14,MAX(E14-H14,0))</f>
        <v>1203</v>
      </c>
      <c r="J14" s="89">
        <v>100</v>
      </c>
      <c r="K14" s="89">
        <f t="shared" si="6"/>
        <v>1319.4738697670939</v>
      </c>
      <c r="L14" s="91">
        <f t="shared" si="7"/>
        <v>0</v>
      </c>
      <c r="M14" s="89">
        <f t="shared" si="8"/>
        <v>1203</v>
      </c>
    </row>
    <row r="15" spans="2:13" x14ac:dyDescent="0.25">
      <c r="B15" s="88">
        <f t="shared" si="2"/>
        <v>2021</v>
      </c>
      <c r="C15" s="89">
        <v>52.305121920000005</v>
      </c>
      <c r="D15" s="89">
        <v>1171.4652051769554</v>
      </c>
      <c r="E15" s="89">
        <f t="shared" si="3"/>
        <v>1223.7703270969553</v>
      </c>
      <c r="F15" s="90">
        <f t="shared" si="9"/>
        <v>0</v>
      </c>
      <c r="G15" s="90">
        <v>970.2</v>
      </c>
      <c r="H15" s="91">
        <f t="shared" si="4"/>
        <v>0</v>
      </c>
      <c r="I15" s="89">
        <f t="shared" si="10"/>
        <v>970.2</v>
      </c>
      <c r="J15" s="89">
        <v>100</v>
      </c>
      <c r="K15" s="89">
        <f t="shared" si="6"/>
        <v>1323.7703270969553</v>
      </c>
      <c r="L15" s="91">
        <f t="shared" si="7"/>
        <v>0</v>
      </c>
      <c r="M15" s="89">
        <f t="shared" si="8"/>
        <v>970.2</v>
      </c>
    </row>
    <row r="16" spans="2:13" x14ac:dyDescent="0.25">
      <c r="B16" s="88">
        <f t="shared" si="2"/>
        <v>2022</v>
      </c>
      <c r="C16" s="89">
        <v>48.319769744639999</v>
      </c>
      <c r="D16" s="89">
        <v>1165.9177901235648</v>
      </c>
      <c r="E16" s="89">
        <f t="shared" si="3"/>
        <v>1214.2375598682049</v>
      </c>
      <c r="F16" s="90">
        <f t="shared" si="9"/>
        <v>0</v>
      </c>
      <c r="G16" s="90">
        <v>1060</v>
      </c>
      <c r="H16" s="91">
        <f t="shared" si="4"/>
        <v>0</v>
      </c>
      <c r="I16" s="89">
        <f t="shared" si="10"/>
        <v>1060</v>
      </c>
      <c r="J16" s="89">
        <v>100</v>
      </c>
      <c r="K16" s="89">
        <f t="shared" si="6"/>
        <v>1314.2375598682049</v>
      </c>
      <c r="L16" s="91">
        <f t="shared" si="7"/>
        <v>0</v>
      </c>
      <c r="M16" s="89">
        <f t="shared" si="8"/>
        <v>1060</v>
      </c>
    </row>
    <row r="17" spans="2:13" x14ac:dyDescent="0.25">
      <c r="B17" s="88">
        <f t="shared" si="2"/>
        <v>2023</v>
      </c>
      <c r="C17" s="89">
        <v>48.036387586682878</v>
      </c>
      <c r="D17" s="89">
        <v>1160.3989983580595</v>
      </c>
      <c r="E17" s="89">
        <f t="shared" si="3"/>
        <v>1208.4353859447424</v>
      </c>
      <c r="F17" s="90">
        <f t="shared" si="9"/>
        <v>0</v>
      </c>
      <c r="G17" s="90">
        <v>965.3</v>
      </c>
      <c r="H17" s="91">
        <f t="shared" si="4"/>
        <v>0</v>
      </c>
      <c r="I17" s="89">
        <f t="shared" si="10"/>
        <v>965.3</v>
      </c>
      <c r="J17" s="89">
        <v>100</v>
      </c>
      <c r="K17" s="89">
        <f t="shared" si="6"/>
        <v>1308.4353859447424</v>
      </c>
      <c r="L17" s="91">
        <f t="shared" si="7"/>
        <v>0</v>
      </c>
      <c r="M17" s="89">
        <f t="shared" si="8"/>
        <v>965.3</v>
      </c>
    </row>
    <row r="18" spans="2:13" x14ac:dyDescent="0.25">
      <c r="B18" s="88">
        <f t="shared" si="2"/>
        <v>2024</v>
      </c>
      <c r="C18" s="89">
        <v>47.754959685989419</v>
      </c>
      <c r="D18" s="89">
        <v>1154.908664625425</v>
      </c>
      <c r="E18" s="89">
        <f t="shared" si="3"/>
        <v>1202.6636243114144</v>
      </c>
      <c r="F18" s="90">
        <f t="shared" si="9"/>
        <v>0</v>
      </c>
      <c r="G18" s="90">
        <v>993</v>
      </c>
      <c r="H18" s="91">
        <f t="shared" si="4"/>
        <v>0</v>
      </c>
      <c r="I18" s="89">
        <f t="shared" si="10"/>
        <v>993</v>
      </c>
      <c r="J18" s="89">
        <v>100</v>
      </c>
      <c r="K18" s="89">
        <f t="shared" si="6"/>
        <v>1302.6636243114144</v>
      </c>
      <c r="L18" s="91">
        <f t="shared" si="7"/>
        <v>0</v>
      </c>
      <c r="M18" s="89">
        <f t="shared" si="8"/>
        <v>993</v>
      </c>
    </row>
    <row r="19" spans="2:13" x14ac:dyDescent="0.25">
      <c r="B19" s="88">
        <f t="shared" si="2"/>
        <v>2025</v>
      </c>
      <c r="C19" s="89">
        <v>47.475470408501494</v>
      </c>
      <c r="D19" s="89">
        <v>1149.4466246583365</v>
      </c>
      <c r="E19" s="89">
        <f t="shared" si="3"/>
        <v>1196.922095066838</v>
      </c>
      <c r="F19" s="90">
        <f t="shared" si="9"/>
        <v>0</v>
      </c>
      <c r="G19" s="90">
        <v>1440.3</v>
      </c>
      <c r="H19" s="91">
        <f t="shared" si="4"/>
        <v>0</v>
      </c>
      <c r="I19" s="89">
        <f t="shared" si="10"/>
        <v>1196.922095066838</v>
      </c>
      <c r="J19" s="89">
        <v>100</v>
      </c>
      <c r="K19" s="89">
        <f t="shared" si="6"/>
        <v>1296.922095066838</v>
      </c>
      <c r="L19" s="91">
        <f t="shared" si="7"/>
        <v>0</v>
      </c>
      <c r="M19" s="89">
        <f t="shared" si="8"/>
        <v>1296.922095066838</v>
      </c>
    </row>
    <row r="20" spans="2:13" x14ac:dyDescent="0.25">
      <c r="B20" s="88">
        <f t="shared" si="2"/>
        <v>2026</v>
      </c>
      <c r="C20" s="89">
        <v>47.197904245233488</v>
      </c>
      <c r="D20" s="89">
        <v>1144.0127151710476</v>
      </c>
      <c r="E20" s="89">
        <f t="shared" si="3"/>
        <v>1191.2106194162811</v>
      </c>
      <c r="F20" s="90">
        <f t="shared" si="9"/>
        <v>0</v>
      </c>
      <c r="G20" s="90">
        <v>1440.1</v>
      </c>
      <c r="H20" s="91">
        <f t="shared" si="4"/>
        <v>0</v>
      </c>
      <c r="I20" s="89">
        <f t="shared" si="10"/>
        <v>1191.2106194162811</v>
      </c>
      <c r="J20" s="89">
        <v>100</v>
      </c>
      <c r="K20" s="89">
        <f t="shared" si="6"/>
        <v>1291.2106194162811</v>
      </c>
      <c r="L20" s="91">
        <f t="shared" si="7"/>
        <v>0</v>
      </c>
      <c r="M20" s="89">
        <f t="shared" si="8"/>
        <v>1291.2106194162811</v>
      </c>
    </row>
    <row r="21" spans="2:13" x14ac:dyDescent="0.25">
      <c r="B21" s="88">
        <f t="shared" si="2"/>
        <v>2027</v>
      </c>
      <c r="C21" s="89">
        <v>46.922245811271608</v>
      </c>
      <c r="D21" s="89">
        <v>1138.606773853305</v>
      </c>
      <c r="E21" s="89">
        <f t="shared" si="3"/>
        <v>1185.5290196645765</v>
      </c>
      <c r="F21" s="90">
        <f t="shared" si="9"/>
        <v>0</v>
      </c>
      <c r="G21" s="90">
        <v>1442.9</v>
      </c>
      <c r="H21" s="91">
        <f t="shared" si="4"/>
        <v>0</v>
      </c>
      <c r="I21" s="89">
        <f t="shared" si="10"/>
        <v>1185.5290196645765</v>
      </c>
      <c r="J21" s="89">
        <v>100</v>
      </c>
      <c r="K21" s="89">
        <f t="shared" si="6"/>
        <v>1285.5290196645765</v>
      </c>
      <c r="L21" s="91">
        <f t="shared" si="7"/>
        <v>0</v>
      </c>
      <c r="M21" s="89">
        <f t="shared" si="8"/>
        <v>1285.5290196645765</v>
      </c>
    </row>
    <row r="22" spans="2:13" x14ac:dyDescent="0.25">
      <c r="B22" s="88">
        <f t="shared" si="2"/>
        <v>2028</v>
      </c>
      <c r="C22" s="89">
        <v>46.648479844781448</v>
      </c>
      <c r="D22" s="89">
        <v>1133.2286393643165</v>
      </c>
      <c r="E22" s="89">
        <f t="shared" si="3"/>
        <v>1179.8771192090978</v>
      </c>
      <c r="F22" s="90">
        <f t="shared" si="9"/>
        <v>1112</v>
      </c>
      <c r="G22" s="90">
        <v>1177.3</v>
      </c>
      <c r="H22" s="91">
        <f t="shared" si="4"/>
        <v>1112</v>
      </c>
      <c r="I22" s="89">
        <f t="shared" si="10"/>
        <v>67.877119209097827</v>
      </c>
      <c r="J22" s="89">
        <v>100</v>
      </c>
      <c r="K22" s="89">
        <f t="shared" si="6"/>
        <v>1279.8771192090978</v>
      </c>
      <c r="L22" s="91">
        <f t="shared" si="7"/>
        <v>1112</v>
      </c>
      <c r="M22" s="89">
        <f t="shared" si="8"/>
        <v>167.87711920909783</v>
      </c>
    </row>
    <row r="23" spans="2:13" x14ac:dyDescent="0.25">
      <c r="B23" s="88">
        <f t="shared" si="2"/>
        <v>2029</v>
      </c>
      <c r="C23" s="89">
        <v>46.376591206023193</v>
      </c>
      <c r="D23" s="89">
        <v>1127.8781513267477</v>
      </c>
      <c r="E23" s="89">
        <f t="shared" si="3"/>
        <v>1174.2547425327709</v>
      </c>
      <c r="F23" s="90">
        <f t="shared" si="9"/>
        <v>1112</v>
      </c>
      <c r="G23" s="90">
        <v>1222.8</v>
      </c>
      <c r="H23" s="91">
        <f t="shared" si="4"/>
        <v>1112</v>
      </c>
      <c r="I23" s="89">
        <f t="shared" si="10"/>
        <v>62.254742532770933</v>
      </c>
      <c r="J23" s="89">
        <v>100</v>
      </c>
      <c r="K23" s="89">
        <f t="shared" si="6"/>
        <v>1274.2547425327709</v>
      </c>
      <c r="L23" s="91">
        <f t="shared" si="7"/>
        <v>1112</v>
      </c>
      <c r="M23" s="89">
        <f t="shared" si="8"/>
        <v>162.25474253277093</v>
      </c>
    </row>
    <row r="24" spans="2:13" x14ac:dyDescent="0.25">
      <c r="B24" s="88">
        <f t="shared" si="2"/>
        <v>2030</v>
      </c>
      <c r="C24" s="89">
        <v>46.106564876375003</v>
      </c>
      <c r="D24" s="89">
        <v>1122.5551503207614</v>
      </c>
      <c r="E24" s="89">
        <f t="shared" si="3"/>
        <v>1168.6617151971363</v>
      </c>
      <c r="F24" s="90">
        <f t="shared" si="9"/>
        <v>1747</v>
      </c>
      <c r="G24" s="90">
        <v>1442.9</v>
      </c>
      <c r="H24" s="91">
        <f t="shared" si="4"/>
        <v>1168.6617151971363</v>
      </c>
      <c r="I24" s="89">
        <f t="shared" si="10"/>
        <v>0</v>
      </c>
      <c r="J24" s="89">
        <v>100</v>
      </c>
      <c r="K24" s="89">
        <f t="shared" si="6"/>
        <v>1268.6617151971363</v>
      </c>
      <c r="L24" s="91">
        <f t="shared" si="7"/>
        <v>1268.6617151971363</v>
      </c>
      <c r="M24" s="89">
        <f t="shared" si="8"/>
        <v>0</v>
      </c>
    </row>
    <row r="25" spans="2:13" x14ac:dyDescent="0.25">
      <c r="B25" s="88">
        <f t="shared" si="2"/>
        <v>2031</v>
      </c>
      <c r="C25" s="89">
        <v>45.838385957364011</v>
      </c>
      <c r="D25" s="89">
        <v>1117.2594778780929</v>
      </c>
      <c r="E25" s="89">
        <f t="shared" si="3"/>
        <v>1163.0978638354568</v>
      </c>
      <c r="F25" s="90">
        <f t="shared" si="9"/>
        <v>2201</v>
      </c>
      <c r="G25" s="90">
        <v>1106.5999999999999</v>
      </c>
      <c r="H25" s="91">
        <f t="shared" si="4"/>
        <v>1168.6617151971363</v>
      </c>
      <c r="I25" s="89">
        <f t="shared" si="10"/>
        <v>0</v>
      </c>
      <c r="J25" s="89">
        <v>100</v>
      </c>
      <c r="K25" s="89">
        <f t="shared" si="6"/>
        <v>1263.0978638354568</v>
      </c>
      <c r="L25" s="91">
        <f t="shared" si="7"/>
        <v>1268.6617151971363</v>
      </c>
      <c r="M25" s="89">
        <f t="shared" si="8"/>
        <v>0</v>
      </c>
    </row>
    <row r="26" spans="2:13" x14ac:dyDescent="0.25">
      <c r="B26" s="88">
        <f t="shared" si="2"/>
        <v>2032</v>
      </c>
      <c r="C26" s="89">
        <v>45.572039669705092</v>
      </c>
      <c r="D26" s="89">
        <v>1111.9909764761653</v>
      </c>
      <c r="E26" s="89">
        <f t="shared" si="3"/>
        <v>1157.5630161458705</v>
      </c>
      <c r="F26" s="90">
        <f t="shared" si="9"/>
        <v>2201</v>
      </c>
      <c r="G26" s="90">
        <v>1174</v>
      </c>
      <c r="H26" s="91">
        <f>IF(H25&gt;=F25,MIN(F26,E26),H25)</f>
        <v>1168.6617151971363</v>
      </c>
      <c r="I26" s="89">
        <f t="shared" si="10"/>
        <v>0</v>
      </c>
      <c r="J26" s="89">
        <v>100</v>
      </c>
      <c r="K26" s="89">
        <f t="shared" si="6"/>
        <v>1257.5630161458705</v>
      </c>
      <c r="L26" s="91">
        <f t="shared" si="7"/>
        <v>1268.6617151971363</v>
      </c>
      <c r="M26" s="89">
        <f t="shared" si="8"/>
        <v>0</v>
      </c>
    </row>
    <row r="27" spans="2:13" x14ac:dyDescent="0.25">
      <c r="B27" s="88">
        <f t="shared" si="2"/>
        <v>2033</v>
      </c>
      <c r="C27" s="89">
        <v>45.307511352347447</v>
      </c>
      <c r="D27" s="89">
        <v>1058.5183679951278</v>
      </c>
      <c r="E27" s="89">
        <f t="shared" si="3"/>
        <v>1103.8258793474754</v>
      </c>
      <c r="F27" s="90">
        <f t="shared" si="9"/>
        <v>2624</v>
      </c>
      <c r="G27" s="90">
        <v>1442.9</v>
      </c>
      <c r="H27" s="91">
        <f>IF(H26&gt;=F26,MIN(F27,E27),H26)</f>
        <v>1168.6617151971363</v>
      </c>
      <c r="I27" s="89">
        <f t="shared" si="10"/>
        <v>0</v>
      </c>
      <c r="J27" s="89">
        <v>100</v>
      </c>
      <c r="K27" s="89">
        <f t="shared" si="6"/>
        <v>1203.8258793474754</v>
      </c>
      <c r="L27" s="91">
        <f t="shared" si="7"/>
        <v>1268.6617151971363</v>
      </c>
      <c r="M27" s="89">
        <f t="shared" si="8"/>
        <v>0</v>
      </c>
    </row>
    <row r="28" spans="2:13" x14ac:dyDescent="0.25">
      <c r="B28" s="88">
        <f t="shared" si="2"/>
        <v>2034</v>
      </c>
      <c r="C28" s="89">
        <v>45.044786461528673</v>
      </c>
      <c r="D28" s="89">
        <v>829.53530380737993</v>
      </c>
      <c r="E28" s="89">
        <f t="shared" si="3"/>
        <v>874.58009026890863</v>
      </c>
      <c r="F28" s="90">
        <f t="shared" si="9"/>
        <v>2624</v>
      </c>
      <c r="G28" s="90">
        <v>1442.9</v>
      </c>
      <c r="H28" s="91">
        <f t="shared" ref="H28:H36" si="11">IF(H27&gt;=F27,MIN(F28,E28),H27)</f>
        <v>1168.6617151971363</v>
      </c>
      <c r="I28" s="89">
        <f t="shared" si="10"/>
        <v>0</v>
      </c>
      <c r="J28" s="89">
        <v>100</v>
      </c>
      <c r="K28" s="89">
        <f t="shared" si="6"/>
        <v>974.58009026890863</v>
      </c>
      <c r="L28" s="91">
        <f t="shared" si="7"/>
        <v>1268.6617151971363</v>
      </c>
      <c r="M28" s="89">
        <f t="shared" si="8"/>
        <v>0</v>
      </c>
    </row>
    <row r="29" spans="2:13" x14ac:dyDescent="0.25">
      <c r="B29" s="88">
        <f t="shared" si="2"/>
        <v>2035</v>
      </c>
      <c r="C29" s="89">
        <v>44.783850569836446</v>
      </c>
      <c r="D29" s="89">
        <v>332.72549662077961</v>
      </c>
      <c r="E29" s="89">
        <f t="shared" si="3"/>
        <v>377.50934719061604</v>
      </c>
      <c r="F29" s="90">
        <f t="shared" si="9"/>
        <v>2624</v>
      </c>
      <c r="G29" s="90">
        <v>1442.9</v>
      </c>
      <c r="H29" s="91">
        <f t="shared" si="11"/>
        <v>1168.6617151971363</v>
      </c>
      <c r="I29" s="89">
        <f t="shared" si="10"/>
        <v>0</v>
      </c>
      <c r="J29" s="89">
        <v>100</v>
      </c>
      <c r="K29" s="89">
        <f t="shared" si="6"/>
        <v>477.50934719061604</v>
      </c>
      <c r="L29" s="91">
        <f t="shared" si="7"/>
        <v>1268.6617151971363</v>
      </c>
      <c r="M29" s="89">
        <f t="shared" si="8"/>
        <v>0</v>
      </c>
    </row>
    <row r="30" spans="2:13" x14ac:dyDescent="0.25">
      <c r="B30" s="88">
        <f t="shared" si="2"/>
        <v>2036</v>
      </c>
      <c r="C30" s="89">
        <v>44.524689365277752</v>
      </c>
      <c r="D30" s="89">
        <v>331.52462452230554</v>
      </c>
      <c r="E30" s="89">
        <f t="shared" si="3"/>
        <v>376.04931388758331</v>
      </c>
      <c r="F30" s="90">
        <f>F29</f>
        <v>2624</v>
      </c>
      <c r="G30" s="90">
        <v>1442.9</v>
      </c>
      <c r="H30" s="91">
        <f t="shared" si="11"/>
        <v>1168.6617151971363</v>
      </c>
      <c r="I30" s="89">
        <f t="shared" si="10"/>
        <v>0</v>
      </c>
      <c r="J30" s="89">
        <v>100</v>
      </c>
      <c r="K30" s="89">
        <f t="shared" si="6"/>
        <v>476.04931388758331</v>
      </c>
      <c r="L30" s="91">
        <f t="shared" si="7"/>
        <v>1268.6617151971363</v>
      </c>
      <c r="M30" s="89">
        <f t="shared" si="8"/>
        <v>0</v>
      </c>
    </row>
    <row r="31" spans="2:13" x14ac:dyDescent="0.25">
      <c r="B31" s="88">
        <f t="shared" si="2"/>
        <v>2037</v>
      </c>
      <c r="C31" s="89">
        <v>37.229288650355542</v>
      </c>
      <c r="D31" s="89">
        <v>330.33028471946159</v>
      </c>
      <c r="E31" s="89">
        <f t="shared" si="3"/>
        <v>367.55957336981714</v>
      </c>
      <c r="F31" s="90">
        <f>F30</f>
        <v>2624</v>
      </c>
      <c r="G31" s="90">
        <v>1442.9</v>
      </c>
      <c r="H31" s="91">
        <f t="shared" si="11"/>
        <v>1168.6617151971363</v>
      </c>
      <c r="I31" s="89">
        <f t="shared" si="10"/>
        <v>0</v>
      </c>
      <c r="J31" s="89">
        <v>100</v>
      </c>
      <c r="K31" s="89">
        <f t="shared" si="6"/>
        <v>467.55957336981714</v>
      </c>
      <c r="L31" s="91">
        <f t="shared" si="7"/>
        <v>1268.6617151971363</v>
      </c>
      <c r="M31" s="89">
        <f t="shared" si="8"/>
        <v>0</v>
      </c>
    </row>
    <row r="32" spans="2:13" x14ac:dyDescent="0.25">
      <c r="B32" s="88">
        <f t="shared" si="2"/>
        <v>2038</v>
      </c>
      <c r="C32" s="89">
        <v>37.012734341152694</v>
      </c>
      <c r="D32" s="89">
        <v>296.70416161387976</v>
      </c>
      <c r="E32" s="89">
        <f t="shared" si="3"/>
        <v>333.71689595503244</v>
      </c>
      <c r="F32" s="90">
        <f t="shared" ref="F32:F36" si="12">F31</f>
        <v>2624</v>
      </c>
      <c r="G32" s="90">
        <v>1442.9</v>
      </c>
      <c r="H32" s="91">
        <f t="shared" si="11"/>
        <v>1168.6617151971363</v>
      </c>
      <c r="I32" s="89">
        <f t="shared" si="10"/>
        <v>0</v>
      </c>
      <c r="J32" s="89">
        <v>100</v>
      </c>
      <c r="K32" s="89">
        <f t="shared" si="6"/>
        <v>433.71689595503244</v>
      </c>
      <c r="L32" s="91">
        <f t="shared" si="7"/>
        <v>1268.6617151971363</v>
      </c>
      <c r="M32" s="89">
        <f t="shared" si="8"/>
        <v>0</v>
      </c>
    </row>
    <row r="33" spans="2:13" x14ac:dyDescent="0.25">
      <c r="B33" s="88">
        <f t="shared" si="2"/>
        <v>2039</v>
      </c>
      <c r="C33" s="89">
        <v>10.16</v>
      </c>
      <c r="D33" s="89">
        <v>114.74334353201921</v>
      </c>
      <c r="E33" s="89">
        <f t="shared" si="3"/>
        <v>124.90334353201921</v>
      </c>
      <c r="F33" s="90">
        <f t="shared" si="12"/>
        <v>2624</v>
      </c>
      <c r="G33" s="90">
        <v>1442.9</v>
      </c>
      <c r="H33" s="91">
        <f t="shared" si="11"/>
        <v>1168.6617151971363</v>
      </c>
      <c r="I33" s="89">
        <f t="shared" si="10"/>
        <v>0</v>
      </c>
      <c r="J33" s="89">
        <v>100</v>
      </c>
      <c r="K33" s="89">
        <f t="shared" si="6"/>
        <v>224.90334353201922</v>
      </c>
      <c r="L33" s="91">
        <f t="shared" si="7"/>
        <v>1268.6617151971363</v>
      </c>
      <c r="M33" s="89">
        <f t="shared" si="8"/>
        <v>0</v>
      </c>
    </row>
    <row r="34" spans="2:13" x14ac:dyDescent="0.25">
      <c r="B34" s="88">
        <f t="shared" si="2"/>
        <v>2040</v>
      </c>
      <c r="C34" s="89">
        <v>10.16</v>
      </c>
      <c r="D34" s="89">
        <v>0</v>
      </c>
      <c r="E34" s="89">
        <f t="shared" si="3"/>
        <v>10.16</v>
      </c>
      <c r="F34" s="90">
        <f t="shared" si="12"/>
        <v>2624</v>
      </c>
      <c r="G34" s="90">
        <f>G33</f>
        <v>1442.9</v>
      </c>
      <c r="H34" s="91">
        <f t="shared" si="11"/>
        <v>1168.6617151971363</v>
      </c>
      <c r="I34" s="89">
        <f t="shared" si="10"/>
        <v>0</v>
      </c>
      <c r="J34" s="89">
        <v>100</v>
      </c>
      <c r="K34" s="89">
        <f t="shared" si="6"/>
        <v>110.16</v>
      </c>
      <c r="L34" s="91">
        <f t="shared" si="7"/>
        <v>1268.6617151971363</v>
      </c>
      <c r="M34" s="89">
        <f t="shared" si="8"/>
        <v>0</v>
      </c>
    </row>
    <row r="35" spans="2:13" x14ac:dyDescent="0.25">
      <c r="B35" s="88">
        <f t="shared" si="2"/>
        <v>2041</v>
      </c>
      <c r="C35" s="89">
        <v>0</v>
      </c>
      <c r="D35" s="89">
        <v>0</v>
      </c>
      <c r="E35" s="89">
        <f t="shared" si="3"/>
        <v>0</v>
      </c>
      <c r="F35" s="90">
        <f t="shared" si="12"/>
        <v>2624</v>
      </c>
      <c r="G35" s="90">
        <f>G34</f>
        <v>1442.9</v>
      </c>
      <c r="H35" s="91">
        <f t="shared" si="11"/>
        <v>1168.6617151971363</v>
      </c>
      <c r="I35" s="89">
        <f t="shared" si="10"/>
        <v>0</v>
      </c>
      <c r="J35" s="89">
        <v>100</v>
      </c>
      <c r="K35" s="89">
        <f t="shared" si="6"/>
        <v>100</v>
      </c>
      <c r="L35" s="91">
        <f t="shared" si="7"/>
        <v>1268.6617151971363</v>
      </c>
      <c r="M35" s="89">
        <f t="shared" si="8"/>
        <v>0</v>
      </c>
    </row>
    <row r="36" spans="2:13" x14ac:dyDescent="0.25">
      <c r="B36" s="92">
        <f t="shared" si="2"/>
        <v>2042</v>
      </c>
      <c r="C36" s="93">
        <v>0</v>
      </c>
      <c r="D36" s="93">
        <v>0</v>
      </c>
      <c r="E36" s="93">
        <f t="shared" si="3"/>
        <v>0</v>
      </c>
      <c r="F36" s="94">
        <f t="shared" si="12"/>
        <v>2624</v>
      </c>
      <c r="G36" s="94">
        <f>G35</f>
        <v>1442.9</v>
      </c>
      <c r="H36" s="95">
        <f t="shared" si="11"/>
        <v>1168.6617151971363</v>
      </c>
      <c r="I36" s="93">
        <f t="shared" si="10"/>
        <v>0</v>
      </c>
      <c r="J36" s="93">
        <v>100</v>
      </c>
      <c r="K36" s="93">
        <f t="shared" si="6"/>
        <v>100</v>
      </c>
      <c r="L36" s="95">
        <f t="shared" si="7"/>
        <v>1268.6617151971363</v>
      </c>
      <c r="M36" s="93">
        <f t="shared" si="8"/>
        <v>0</v>
      </c>
    </row>
    <row r="37" spans="2:13" ht="15.75" thickBot="1" x14ac:dyDescent="0.3"/>
    <row r="38" spans="2:13" ht="15.75" thickBot="1" x14ac:dyDescent="0.3">
      <c r="B38" s="110" t="s">
        <v>99</v>
      </c>
      <c r="C38" s="111"/>
      <c r="D38" s="111"/>
      <c r="E38" s="112"/>
      <c r="F38" s="96" t="s">
        <v>100</v>
      </c>
      <c r="G38" s="97" t="s">
        <v>101</v>
      </c>
    </row>
    <row r="39" spans="2:13" x14ac:dyDescent="0.25">
      <c r="B39" s="113" t="s">
        <v>102</v>
      </c>
      <c r="C39" s="114"/>
      <c r="D39" s="114"/>
      <c r="E39" s="115"/>
      <c r="F39" s="98">
        <f>Base_Case</f>
        <v>1235.23</v>
      </c>
      <c r="G39" s="98">
        <f>AC_Case</f>
        <v>1335.23</v>
      </c>
    </row>
    <row r="40" spans="2:13" x14ac:dyDescent="0.25">
      <c r="B40" s="116" t="s">
        <v>103</v>
      </c>
      <c r="C40" s="117"/>
      <c r="D40" s="117"/>
      <c r="E40" s="118"/>
      <c r="F40" s="99">
        <f>IF(ABS(MAX(H11:H36)-F39)&lt;0.05,F39,ROUND(MAX(H11:H36),2))</f>
        <v>1168.6600000000001</v>
      </c>
      <c r="G40" s="99">
        <f>IF(ABS(MAX(L11:L36)-G39)&lt;0.05,G39,ROUND(MAX(L11:L36),2))</f>
        <v>1268.6600000000001</v>
      </c>
    </row>
  </sheetData>
  <mergeCells count="3">
    <mergeCell ref="B38:E38"/>
    <mergeCell ref="B39:E39"/>
    <mergeCell ref="B40:E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Queue</vt:lpstr>
      <vt:lpstr>Displacement</vt:lpstr>
      <vt:lpstr>AC_Case</vt:lpstr>
      <vt:lpstr>Base_Case</vt:lpstr>
      <vt:lpstr>CC_E_Fixed</vt:lpstr>
      <vt:lpstr>CC_E_Gas</vt:lpstr>
      <vt:lpstr>CC_E_Hydro</vt:lpstr>
      <vt:lpstr>CC_E_Tracking</vt:lpstr>
      <vt:lpstr>CC_E_Wind</vt:lpstr>
      <vt:lpstr>CC_W_Fixed</vt:lpstr>
      <vt:lpstr>CC_W_Gas</vt:lpstr>
      <vt:lpstr>CC_W_Hydro</vt:lpstr>
      <vt:lpstr>CC_W_Tracking</vt:lpstr>
      <vt:lpstr>CC_W_Wind</vt:lpstr>
      <vt:lpstr>Queue!Print_Area</vt:lpstr>
      <vt:lpstr>Queue!Signed_MW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2017-03-03T13:59:07Z</dcterms:created>
  <dcterms:modified xsi:type="dcterms:W3CDTF">2017-03-31T19:47:09Z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