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I:\Websites\Pscweb\utilities\electric\16docs\16035T06\"/>
    </mc:Choice>
  </mc:AlternateContent>
  <bookViews>
    <workbookView xWindow="0" yWindow="0" windowWidth="16170" windowHeight="6135" tabRatio="928"/>
  </bookViews>
  <sheets>
    <sheet name="Table 1" sheetId="38" r:id="rId1"/>
    <sheet name="Table 2A BaseLoad" sheetId="17" r:id="rId2"/>
    <sheet name="Table 2B Wind" sheetId="40" r:id="rId3"/>
    <sheet name="Table 2C SolarFixed" sheetId="41" r:id="rId4"/>
    <sheet name="Table 2D SolarTracking" sheetId="42" r:id="rId5"/>
    <sheet name="Tables 3 to 5" sheetId="5" r:id="rId6"/>
    <sheet name="Table 6" sheetId="13" r:id="rId7"/>
    <sheet name="Table 7" sheetId="28" r:id="rId8"/>
    <sheet name="Table 8" sheetId="29" r:id="rId9"/>
    <sheet name="Table 9" sheetId="32" r:id="rId10"/>
    <sheet name="Table 10" sheetId="43" r:id="rId11"/>
    <sheet name="--- Do Not Print ---&gt;" sheetId="37" r:id="rId12"/>
    <sheet name="Tariff Page" sheetId="36" r:id="rId13"/>
    <sheet name="Tariff Page Solar Fixed" sheetId="44" r:id="rId14"/>
    <sheet name="Tariff Page Solar Tracking" sheetId="45" r:id="rId15"/>
    <sheet name="Tariff Page Wind" sheetId="39" r:id="rId16"/>
    <sheet name="OFPC Source" sheetId="52" r:id="rId17"/>
  </sheets>
  <externalReferences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_j1" localSheetId="16" hidden="1">{"PRINT",#N/A,TRUE,"APPA";"PRINT",#N/A,TRUE,"APS";"PRINT",#N/A,TRUE,"BHPL";"PRINT",#N/A,TRUE,"BHPL2";"PRINT",#N/A,TRUE,"CDWR";"PRINT",#N/A,TRUE,"EWEB";"PRINT",#N/A,TRUE,"LADWP";"PRINT",#N/A,TRUE,"NEVBASE"}</definedName>
    <definedName name="_j1" localSheetId="0" hidden="1">{"PRINT",#N/A,TRUE,"APPA";"PRINT",#N/A,TRUE,"APS";"PRINT",#N/A,TRUE,"BHPL";"PRINT",#N/A,TRUE,"BHPL2";"PRINT",#N/A,TRUE,"CDWR";"PRINT",#N/A,TRUE,"EWEB";"PRINT",#N/A,TRUE,"LADWP";"PRINT",#N/A,TRUE,"NEVBASE"}</definedName>
    <definedName name="_j1" hidden="1">{"PRINT",#N/A,TRUE,"APPA";"PRINT",#N/A,TRUE,"APS";"PRINT",#N/A,TRUE,"BHPL";"PRINT",#N/A,TRUE,"BHPL2";"PRINT",#N/A,TRUE,"CDWR";"PRINT",#N/A,TRUE,"EWEB";"PRINT",#N/A,TRUE,"LADWP";"PRINT",#N/A,TRUE,"NEVBASE"}</definedName>
    <definedName name="_j2" localSheetId="16" hidden="1">{"PRINT",#N/A,TRUE,"APPA";"PRINT",#N/A,TRUE,"APS";"PRINT",#N/A,TRUE,"BHPL";"PRINT",#N/A,TRUE,"BHPL2";"PRINT",#N/A,TRUE,"CDWR";"PRINT",#N/A,TRUE,"EWEB";"PRINT",#N/A,TRUE,"LADWP";"PRINT",#N/A,TRUE,"NEVBASE"}</definedName>
    <definedName name="_j2" localSheetId="0" hidden="1">{"PRINT",#N/A,TRUE,"APPA";"PRINT",#N/A,TRUE,"APS";"PRINT",#N/A,TRUE,"BHPL";"PRINT",#N/A,TRUE,"BHPL2";"PRINT",#N/A,TRUE,"CDWR";"PRINT",#N/A,TRUE,"EWEB";"PRINT",#N/A,TRUE,"LADWP";"PRINT",#N/A,TRUE,"NEVBASE"}</definedName>
    <definedName name="_j2" hidden="1">{"PRINT",#N/A,TRUE,"APPA";"PRINT",#N/A,TRUE,"APS";"PRINT",#N/A,TRUE,"BHPL";"PRINT",#N/A,TRUE,"BHPL2";"PRINT",#N/A,TRUE,"CDWR";"PRINT",#N/A,TRUE,"EWEB";"PRINT",#N/A,TRUE,"LADWP";"PRINT",#N/A,TRUE,"NEVBASE"}</definedName>
    <definedName name="_j3" localSheetId="16" hidden="1">{"PRINT",#N/A,TRUE,"APPA";"PRINT",#N/A,TRUE,"APS";"PRINT",#N/A,TRUE,"BHPL";"PRINT",#N/A,TRUE,"BHPL2";"PRINT",#N/A,TRUE,"CDWR";"PRINT",#N/A,TRUE,"EWEB";"PRINT",#N/A,TRUE,"LADWP";"PRINT",#N/A,TRUE,"NEVBASE"}</definedName>
    <definedName name="_j3" localSheetId="0" hidden="1">{"PRINT",#N/A,TRUE,"APPA";"PRINT",#N/A,TRUE,"APS";"PRINT",#N/A,TRUE,"BHPL";"PRINT",#N/A,TRUE,"BHPL2";"PRINT",#N/A,TRUE,"CDWR";"PRINT",#N/A,TRUE,"EWEB";"PRINT",#N/A,TRUE,"LADWP";"PRINT",#N/A,TRUE,"NEVBASE"}</definedName>
    <definedName name="_j3" hidden="1">{"PRINT",#N/A,TRUE,"APPA";"PRINT",#N/A,TRUE,"APS";"PRINT",#N/A,TRUE,"BHPL";"PRINT",#N/A,TRUE,"BHPL2";"PRINT",#N/A,TRUE,"CDWR";"PRINT",#N/A,TRUE,"EWEB";"PRINT",#N/A,TRUE,"LADWP";"PRINT",#N/A,TRUE,"NEVBASE"}</definedName>
    <definedName name="_j4" localSheetId="16" hidden="1">{"PRINT",#N/A,TRUE,"APPA";"PRINT",#N/A,TRUE,"APS";"PRINT",#N/A,TRUE,"BHPL";"PRINT",#N/A,TRUE,"BHPL2";"PRINT",#N/A,TRUE,"CDWR";"PRINT",#N/A,TRUE,"EWEB";"PRINT",#N/A,TRUE,"LADWP";"PRINT",#N/A,TRUE,"NEVBASE"}</definedName>
    <definedName name="_j4" localSheetId="0" hidden="1">{"PRINT",#N/A,TRUE,"APPA";"PRINT",#N/A,TRUE,"APS";"PRINT",#N/A,TRUE,"BHPL";"PRINT",#N/A,TRUE,"BHPL2";"PRINT",#N/A,TRUE,"CDWR";"PRINT",#N/A,TRUE,"EWEB";"PRINT",#N/A,TRUE,"LADWP";"PRINT",#N/A,TRUE,"NEVBASE"}</definedName>
    <definedName name="_j4" hidden="1">{"PRINT",#N/A,TRUE,"APPA";"PRINT",#N/A,TRUE,"APS";"PRINT",#N/A,TRUE,"BHPL";"PRINT",#N/A,TRUE,"BHPL2";"PRINT",#N/A,TRUE,"CDWR";"PRINT",#N/A,TRUE,"EWEB";"PRINT",#N/A,TRUE,"LADWP";"PRINT",#N/A,TRUE,"NEVBASE"}</definedName>
    <definedName name="_j5" localSheetId="16" hidden="1">{"PRINT",#N/A,TRUE,"APPA";"PRINT",#N/A,TRUE,"APS";"PRINT",#N/A,TRUE,"BHPL";"PRINT",#N/A,TRUE,"BHPL2";"PRINT",#N/A,TRUE,"CDWR";"PRINT",#N/A,TRUE,"EWEB";"PRINT",#N/A,TRUE,"LADWP";"PRINT",#N/A,TRUE,"NEVBASE"}</definedName>
    <definedName name="_j5" localSheetId="0" hidden="1">{"PRINT",#N/A,TRUE,"APPA";"PRINT",#N/A,TRUE,"APS";"PRINT",#N/A,TRUE,"BHPL";"PRINT",#N/A,TRUE,"BHPL2";"PRINT",#N/A,TRUE,"CDWR";"PRINT",#N/A,TRUE,"EWEB";"PRINT",#N/A,TRUE,"LADWP";"PRINT",#N/A,TRUE,"NEVBASE"}</definedName>
    <definedName name="_j5" hidden="1">{"PRINT",#N/A,TRUE,"APPA";"PRINT",#N/A,TRUE,"APS";"PRINT",#N/A,TRUE,"BHPL";"PRINT",#N/A,TRUE,"BHPL2";"PRINT",#N/A,TRUE,"CDWR";"PRINT",#N/A,TRUE,"EWEB";"PRINT",#N/A,TRUE,"LADWP";"PRINT",#N/A,TRUE,"NEVBASE"}</definedName>
    <definedName name="_Order1" hidden="1">255</definedName>
    <definedName name="_Order2" hidden="1">0</definedName>
    <definedName name="Capacity_Contr_Solar_Fixed" localSheetId="2">'Table 2B Wind'!#REF!</definedName>
    <definedName name="Capacity_Contr_Solar_Fixed" localSheetId="3">'Table 2C SolarFixed'!$F$93</definedName>
    <definedName name="Capacity_Contr_Solar_Fixed" localSheetId="4">'Table 2D SolarTracking'!#REF!</definedName>
    <definedName name="Capacity_Contr_Solar_Fixed">'Table 2A BaseLoad'!$E$110</definedName>
    <definedName name="Capacity_Contr_Solar_Tracking" localSheetId="2">'Table 2B Wind'!$D$92</definedName>
    <definedName name="Capacity_Contr_Solar_Tracking" localSheetId="3">'Table 2C SolarFixed'!#REF!</definedName>
    <definedName name="Capacity_Contr_Solar_Tracking" localSheetId="4">'Table 2D SolarTracking'!$F$93</definedName>
    <definedName name="Capacity_Contr_Solar_Tracking">'Table 2A BaseLoad'!#REF!</definedName>
    <definedName name="Capacity_Contr_Wind" localSheetId="2">'Table 2B Wind'!$E$93</definedName>
    <definedName name="Capacity_Contr_Wind" localSheetId="3">'Table 2C SolarFixed'!#REF!</definedName>
    <definedName name="Capacity_Contr_Wind" localSheetId="4">'Table 2D SolarTracking'!#REF!</definedName>
    <definedName name="Capacity_Contr_Wind">'Table 2A BaseLoad'!#REF!</definedName>
    <definedName name="dateTable" localSheetId="0">'[1]on off peak hours'!$C$15:$ED$15</definedName>
    <definedName name="dateTable">'[2]on off peak hours'!$C$15:$ED$15</definedName>
    <definedName name="DispatchSum">"GRID Thermal Generation!R2C1:R4C2"</definedName>
    <definedName name="HoursHoliday" localSheetId="0">'[1]on off peak hours'!$C$16:$ED$20</definedName>
    <definedName name="HoursHoliday">'[2]on off peak hours'!$C$16:$ED$20</definedName>
    <definedName name="_xlnm.Print_Area" localSheetId="0">'Table 1'!$A$1:$Y$68</definedName>
    <definedName name="_xlnm.Print_Area" localSheetId="10">'Table 10'!$A$1:$G$41</definedName>
    <definedName name="_xlnm.Print_Area" localSheetId="1">'Table 2A BaseLoad'!$A$1:$M$110</definedName>
    <definedName name="_xlnm.Print_Area" localSheetId="2">'Table 2B Wind'!$A$1:$M$93</definedName>
    <definedName name="_xlnm.Print_Area" localSheetId="3">'Table 2C SolarFixed'!$A$1:$M$93</definedName>
    <definedName name="_xlnm.Print_Area" localSheetId="4">'Table 2D SolarTracking'!$A$1:$M$93</definedName>
    <definedName name="_xlnm.Print_Area" localSheetId="6">'Table 6'!$A$1:$O$49</definedName>
    <definedName name="_xlnm.Print_Area" localSheetId="7">'Table 7'!$B$1:$K$151</definedName>
    <definedName name="_xlnm.Print_Area" localSheetId="8">'Table 8'!$A$1:$F$34</definedName>
    <definedName name="_xlnm.Print_Area" localSheetId="9">'Table 9'!$A$1:$G$31</definedName>
    <definedName name="_xlnm.Print_Area" localSheetId="5">'Tables 3 to 5'!$A$1:$AR$47</definedName>
    <definedName name="_xlnm.Print_Area" localSheetId="12">'Tariff Page'!$A$1:$G$39</definedName>
    <definedName name="_xlnm.Print_Area" localSheetId="13">'Tariff Page Solar Fixed'!$A$1:$F$47</definedName>
    <definedName name="_xlnm.Print_Area" localSheetId="14">'Tariff Page Solar Tracking'!$A$1:$F$47</definedName>
    <definedName name="_xlnm.Print_Area" localSheetId="15">'Tariff Page Wind'!$A$1:$F$47</definedName>
    <definedName name="RevenueSum">"GRID Thermal Revenue!R2C1:R4C2"</definedName>
    <definedName name="Solar_Fixed_integr_cost" localSheetId="16">'[3]Table 12'!$B$46</definedName>
    <definedName name="Solar_Fixed_integr_cost">'Table 10'!$B$41</definedName>
    <definedName name="Solar_Tracking_integr_cost" localSheetId="16">'[3]Table 12'!$B$45</definedName>
    <definedName name="Solar_Tracking_integr_cost">'Table 10'!$B$40</definedName>
    <definedName name="Study_Name" localSheetId="0">[4]ImportData!$D$7</definedName>
    <definedName name="Study_Name">[2]ImportData!$D$7</definedName>
  </definedNames>
  <calcPr calcId="152511"/>
</workbook>
</file>

<file path=xl/calcChain.xml><?xml version="1.0" encoding="utf-8"?>
<calcChain xmlns="http://schemas.openxmlformats.org/spreadsheetml/2006/main">
  <c r="C139" i="28" l="1"/>
  <c r="D139" i="28" s="1"/>
  <c r="C126" i="28"/>
  <c r="D126" i="28" s="1"/>
  <c r="C113" i="28"/>
  <c r="D113" i="28" s="1"/>
  <c r="C43" i="28"/>
  <c r="I6" i="52"/>
  <c r="H6" i="52"/>
  <c r="D7" i="52"/>
  <c r="C7" i="52"/>
  <c r="C6" i="29"/>
  <c r="D6" i="29"/>
  <c r="D226" i="52" l="1"/>
  <c r="D8" i="52" s="1"/>
  <c r="D106" i="28"/>
  <c r="G89" i="28"/>
  <c r="C89" i="28"/>
  <c r="C88" i="28"/>
  <c r="H93" i="42" l="1"/>
  <c r="H93" i="41"/>
  <c r="H93" i="40"/>
  <c r="D135" i="28" l="1"/>
  <c r="C135" i="28"/>
  <c r="D109" i="28" s="1"/>
  <c r="D125" i="28"/>
  <c r="C125" i="28"/>
  <c r="D124" i="28"/>
  <c r="C124" i="28"/>
  <c r="D121" i="28"/>
  <c r="D122" i="28"/>
  <c r="C122" i="28"/>
  <c r="C121" i="28"/>
  <c r="D120" i="28"/>
  <c r="C120" i="28"/>
  <c r="D119" i="28"/>
  <c r="C119" i="28"/>
  <c r="G88" i="28" l="1"/>
  <c r="C106" i="28"/>
  <c r="C109" i="28" s="1"/>
  <c r="D140" i="28"/>
  <c r="C140" i="28"/>
  <c r="D138" i="28"/>
  <c r="C138" i="28"/>
  <c r="D137" i="28"/>
  <c r="C137" i="28"/>
  <c r="D134" i="28"/>
  <c r="C134" i="28"/>
  <c r="D133" i="28"/>
  <c r="C133" i="28"/>
  <c r="D127" i="28"/>
  <c r="C127" i="28"/>
  <c r="C44" i="28"/>
  <c r="C42" i="28"/>
  <c r="F10" i="28" s="1"/>
  <c r="C40" i="28"/>
  <c r="C39" i="28"/>
  <c r="C38" i="28"/>
  <c r="C10" i="28" s="1"/>
  <c r="D10" i="28" s="1"/>
  <c r="C37" i="28"/>
  <c r="D108" i="28" l="1"/>
  <c r="D107" i="28"/>
  <c r="C108" i="28"/>
  <c r="C107" i="28"/>
  <c r="I88" i="28" s="1"/>
  <c r="D111" i="28"/>
  <c r="D112" i="28"/>
  <c r="C111" i="28"/>
  <c r="C112" i="28"/>
  <c r="D141" i="28"/>
  <c r="D136" i="28"/>
  <c r="C136" i="28"/>
  <c r="D128" i="28"/>
  <c r="C114" i="28" s="1"/>
  <c r="G93" i="28" s="1"/>
  <c r="D123" i="28"/>
  <c r="C123" i="28"/>
  <c r="E142" i="28" l="1"/>
  <c r="D114" i="28"/>
  <c r="E129" i="28"/>
  <c r="D129" i="28"/>
  <c r="O24" i="5"/>
  <c r="AH24" i="5"/>
  <c r="AP24" i="5"/>
  <c r="O226" i="52"/>
  <c r="N226" i="52"/>
  <c r="C226" i="52"/>
  <c r="C8" i="52" s="1"/>
  <c r="C4" i="52"/>
  <c r="B30" i="29" s="1"/>
  <c r="D145" i="28"/>
  <c r="F11" i="28" l="1"/>
  <c r="D11" i="28"/>
  <c r="A25" i="38"/>
  <c r="H30" i="39" l="1"/>
  <c r="H29" i="39"/>
  <c r="H30" i="45"/>
  <c r="H29" i="45"/>
  <c r="H29" i="44" l="1"/>
  <c r="H30" i="44"/>
  <c r="K10" i="44" l="1"/>
  <c r="V10" i="44" s="1"/>
  <c r="I11" i="44" l="1"/>
  <c r="K11" i="44" s="1"/>
  <c r="M10" i="44"/>
  <c r="S10" i="44"/>
  <c r="P10" i="44"/>
  <c r="I12" i="44" l="1"/>
  <c r="K12" i="44" s="1"/>
  <c r="P11" i="44"/>
  <c r="V11" i="44"/>
  <c r="S11" i="44"/>
  <c r="M11" i="44"/>
  <c r="I13" i="44" l="1"/>
  <c r="K13" i="44" s="1"/>
  <c r="M12" i="44"/>
  <c r="S12" i="44"/>
  <c r="P12" i="44"/>
  <c r="V12" i="44"/>
  <c r="I14" i="44" l="1"/>
  <c r="K14" i="44"/>
  <c r="I15" i="44"/>
  <c r="P13" i="44"/>
  <c r="V13" i="44"/>
  <c r="M13" i="44"/>
  <c r="S13" i="44"/>
  <c r="K15" i="44" l="1"/>
  <c r="I16" i="44"/>
  <c r="M14" i="44"/>
  <c r="S14" i="44"/>
  <c r="V14" i="44"/>
  <c r="P14" i="44"/>
  <c r="P15" i="44" l="1"/>
  <c r="V15" i="44"/>
  <c r="S15" i="44"/>
  <c r="M15" i="44"/>
  <c r="K16" i="44"/>
  <c r="I17" i="44"/>
  <c r="M16" i="44" l="1"/>
  <c r="S16" i="44"/>
  <c r="P16" i="44"/>
  <c r="V16" i="44"/>
  <c r="K17" i="44"/>
  <c r="I18" i="44"/>
  <c r="K18" i="44" l="1"/>
  <c r="I19" i="44"/>
  <c r="P17" i="44"/>
  <c r="V17" i="44"/>
  <c r="M17" i="44"/>
  <c r="S17" i="44"/>
  <c r="K19" i="44" l="1"/>
  <c r="I20" i="44"/>
  <c r="M18" i="44"/>
  <c r="S18" i="44"/>
  <c r="V18" i="44"/>
  <c r="P18" i="44"/>
  <c r="D45" i="13"/>
  <c r="D46" i="13"/>
  <c r="D47" i="13"/>
  <c r="D48" i="13"/>
  <c r="B12" i="13"/>
  <c r="AC26" i="52"/>
  <c r="AC27" i="52" s="1"/>
  <c r="AC28" i="52" s="1"/>
  <c r="AC29" i="52" s="1"/>
  <c r="AC30" i="52" s="1"/>
  <c r="AC31" i="52" s="1"/>
  <c r="AC32" i="52" s="1"/>
  <c r="AC33" i="52" s="1"/>
  <c r="AC34" i="52" s="1"/>
  <c r="AC35" i="52" s="1"/>
  <c r="AC36" i="52" s="1"/>
  <c r="AC37" i="52" s="1"/>
  <c r="AC38" i="52" s="1"/>
  <c r="AC39" i="52" s="1"/>
  <c r="AC9" i="52"/>
  <c r="AC10" i="52" s="1"/>
  <c r="AC11" i="52" s="1"/>
  <c r="AC12" i="52" s="1"/>
  <c r="AC13" i="52" s="1"/>
  <c r="AC14" i="52" s="1"/>
  <c r="AC15" i="52" s="1"/>
  <c r="AC16" i="52" s="1"/>
  <c r="AC17" i="52" s="1"/>
  <c r="AC18" i="52" s="1"/>
  <c r="AC19" i="52" s="1"/>
  <c r="AC20" i="52" s="1"/>
  <c r="AC21" i="52" s="1"/>
  <c r="J12" i="13" l="1"/>
  <c r="D12" i="13"/>
  <c r="M12" i="13"/>
  <c r="G12" i="13"/>
  <c r="E48" i="13"/>
  <c r="E46" i="13"/>
  <c r="I21" i="44"/>
  <c r="K20" i="44"/>
  <c r="P19" i="44"/>
  <c r="V19" i="44"/>
  <c r="S19" i="44"/>
  <c r="M19" i="44"/>
  <c r="M20" i="44" l="1"/>
  <c r="S20" i="44"/>
  <c r="V20" i="44"/>
  <c r="P20" i="44"/>
  <c r="K21" i="44"/>
  <c r="I22" i="44"/>
  <c r="P21" i="44" l="1"/>
  <c r="V21" i="44"/>
  <c r="M21" i="44"/>
  <c r="S21" i="44"/>
  <c r="I23" i="44"/>
  <c r="K22" i="44"/>
  <c r="M22" i="44" l="1"/>
  <c r="S22" i="44"/>
  <c r="V22" i="44"/>
  <c r="P22" i="44"/>
  <c r="K23" i="44"/>
  <c r="I24" i="44"/>
  <c r="P23" i="44" l="1"/>
  <c r="V23" i="44"/>
  <c r="M23" i="44"/>
  <c r="S23" i="44"/>
  <c r="I25" i="44"/>
  <c r="K24" i="44"/>
  <c r="K25" i="44" l="1"/>
  <c r="K35" i="44" s="1"/>
  <c r="I26" i="44"/>
  <c r="M24" i="44"/>
  <c r="S24" i="44"/>
  <c r="P24" i="44"/>
  <c r="V24" i="44"/>
  <c r="K37" i="44" l="1"/>
  <c r="P25" i="44"/>
  <c r="P35" i="44" s="1"/>
  <c r="V25" i="44"/>
  <c r="V35" i="44" s="1"/>
  <c r="S25" i="44"/>
  <c r="S35" i="44" s="1"/>
  <c r="M25" i="44"/>
  <c r="M35" i="44" s="1"/>
  <c r="K26" i="44"/>
  <c r="I27" i="44"/>
  <c r="K27" i="44" l="1"/>
  <c r="M26" i="44"/>
  <c r="S26" i="44"/>
  <c r="P26" i="44"/>
  <c r="V26" i="44"/>
  <c r="P27" i="44" l="1"/>
  <c r="V27" i="44"/>
  <c r="S27" i="44"/>
  <c r="M27" i="44"/>
  <c r="C146" i="28"/>
  <c r="D146" i="28" s="1"/>
  <c r="D12" i="28" l="1"/>
  <c r="F12" i="28"/>
  <c r="C147" i="28"/>
  <c r="D147" i="28" s="1"/>
  <c r="C144" i="28"/>
  <c r="B30" i="32"/>
  <c r="C148" i="28" l="1"/>
  <c r="D148" i="28" s="1"/>
  <c r="C149" i="28" l="1"/>
  <c r="D149" i="28" s="1"/>
  <c r="C150" i="28" l="1"/>
  <c r="D150" i="28" s="1"/>
  <c r="C151" i="28" l="1"/>
  <c r="D151" i="28" s="1"/>
  <c r="F145" i="28" l="1"/>
  <c r="G145" i="28" s="1"/>
  <c r="F146" i="28" l="1"/>
  <c r="G146" i="28" s="1"/>
  <c r="F147" i="28" l="1"/>
  <c r="G147" i="28" s="1"/>
  <c r="F148" i="28" l="1"/>
  <c r="G148" i="28" s="1"/>
  <c r="F149" i="28" l="1"/>
  <c r="G149" i="28" s="1"/>
  <c r="F150" i="28" l="1"/>
  <c r="G150" i="28" s="1"/>
  <c r="F151" i="28" l="1"/>
  <c r="G151" i="28" s="1"/>
  <c r="I145" i="28" l="1"/>
  <c r="J145" i="28" s="1"/>
  <c r="I146" i="28" l="1"/>
  <c r="J146" i="28" s="1"/>
  <c r="I147" i="28" l="1"/>
  <c r="J147" i="28" s="1"/>
  <c r="N10" i="13"/>
  <c r="K10" i="13"/>
  <c r="H10" i="13"/>
  <c r="E10" i="13"/>
  <c r="I148" i="28" l="1"/>
  <c r="J148" i="28" s="1"/>
  <c r="B13" i="13"/>
  <c r="M13" i="13" l="1"/>
  <c r="J13" i="13"/>
  <c r="D13" i="13"/>
  <c r="G13" i="13"/>
  <c r="I149" i="28"/>
  <c r="J149" i="28" s="1"/>
  <c r="B14" i="13"/>
  <c r="AR10" i="5"/>
  <c r="AQ10" i="5"/>
  <c r="AM10" i="5"/>
  <c r="AM44" i="5"/>
  <c r="AL44" i="5"/>
  <c r="AM43" i="5"/>
  <c r="AL43" i="5"/>
  <c r="AM42" i="5"/>
  <c r="AL42" i="5"/>
  <c r="AE44" i="5"/>
  <c r="AD44" i="5"/>
  <c r="AE43" i="5"/>
  <c r="AD43" i="5"/>
  <c r="AE42" i="5"/>
  <c r="AD42" i="5"/>
  <c r="AJ10" i="5"/>
  <c r="AI10" i="5"/>
  <c r="W43" i="5"/>
  <c r="W42" i="5"/>
  <c r="V43" i="5"/>
  <c r="V42" i="5"/>
  <c r="V44" i="5"/>
  <c r="W44" i="5"/>
  <c r="AB10" i="5"/>
  <c r="AA10" i="5"/>
  <c r="N43" i="5"/>
  <c r="T10" i="5"/>
  <c r="S10" i="5"/>
  <c r="G14" i="13" l="1"/>
  <c r="D14" i="13"/>
  <c r="J14" i="13"/>
  <c r="M14" i="13"/>
  <c r="B15" i="13"/>
  <c r="J15" i="13" l="1"/>
  <c r="D15" i="13"/>
  <c r="M15" i="13"/>
  <c r="G15" i="13"/>
  <c r="B16" i="13"/>
  <c r="J16" i="13" l="1"/>
  <c r="G16" i="13"/>
  <c r="D16" i="13"/>
  <c r="M16" i="13"/>
  <c r="B17" i="13"/>
  <c r="M17" i="13" l="1"/>
  <c r="G17" i="13"/>
  <c r="J17" i="13"/>
  <c r="D17" i="13"/>
  <c r="B18" i="13"/>
  <c r="G18" i="13" l="1"/>
  <c r="D18" i="13"/>
  <c r="M18" i="13"/>
  <c r="J18" i="13"/>
  <c r="B19" i="13"/>
  <c r="G19" i="13" l="1"/>
  <c r="J19" i="13"/>
  <c r="D19" i="13"/>
  <c r="M19" i="13"/>
  <c r="B20" i="13"/>
  <c r="AM41" i="5"/>
  <c r="J20" i="13" l="1"/>
  <c r="M20" i="13"/>
  <c r="G20" i="13"/>
  <c r="D20" i="13"/>
  <c r="B21" i="13"/>
  <c r="M21" i="13" l="1"/>
  <c r="J21" i="13"/>
  <c r="D21" i="13"/>
  <c r="G21" i="13"/>
  <c r="B22" i="13"/>
  <c r="G22" i="13" l="1"/>
  <c r="D22" i="13"/>
  <c r="J22" i="13"/>
  <c r="M22" i="13"/>
  <c r="B23" i="13"/>
  <c r="Q226" i="52"/>
  <c r="P226" i="52"/>
  <c r="B9" i="52"/>
  <c r="M8" i="52"/>
  <c r="G8" i="52"/>
  <c r="E8" i="52"/>
  <c r="M3" i="52"/>
  <c r="C9" i="52" l="1"/>
  <c r="D9" i="52"/>
  <c r="J23" i="13"/>
  <c r="D23" i="13"/>
  <c r="M23" i="13"/>
  <c r="G23" i="13"/>
  <c r="S8" i="52"/>
  <c r="O8" i="52"/>
  <c r="N8" i="52"/>
  <c r="P8" i="52"/>
  <c r="Q8" i="52"/>
  <c r="L8" i="52"/>
  <c r="K8" i="52"/>
  <c r="B10" i="52"/>
  <c r="B24" i="13"/>
  <c r="E9" i="52"/>
  <c r="G9" i="52"/>
  <c r="W8" i="52"/>
  <c r="M9" i="52"/>
  <c r="Q9" i="52" s="1"/>
  <c r="C10" i="52" l="1"/>
  <c r="D10" i="52"/>
  <c r="J24" i="13"/>
  <c r="G24" i="13"/>
  <c r="D24" i="13"/>
  <c r="M24" i="13"/>
  <c r="O9" i="52"/>
  <c r="N9" i="52"/>
  <c r="S9" i="52"/>
  <c r="P9" i="52"/>
  <c r="M10" i="52"/>
  <c r="E10" i="52"/>
  <c r="B11" i="52"/>
  <c r="K9" i="52"/>
  <c r="L9" i="52"/>
  <c r="L10" i="52"/>
  <c r="U8" i="52"/>
  <c r="B25" i="13"/>
  <c r="T8" i="52"/>
  <c r="W9" i="52"/>
  <c r="G10" i="52"/>
  <c r="C11" i="52" l="1"/>
  <c r="D11" i="52"/>
  <c r="M25" i="13"/>
  <c r="G25" i="13"/>
  <c r="J25" i="13"/>
  <c r="D25" i="13"/>
  <c r="K10" i="52"/>
  <c r="N10" i="52"/>
  <c r="O10" i="52"/>
  <c r="S10" i="52"/>
  <c r="P10" i="52"/>
  <c r="Q10" i="52"/>
  <c r="E11" i="52"/>
  <c r="B12" i="52"/>
  <c r="M11" i="52"/>
  <c r="K11" i="52" s="1"/>
  <c r="T9" i="52"/>
  <c r="U9" i="52"/>
  <c r="B26" i="13"/>
  <c r="W10" i="52"/>
  <c r="G11" i="52"/>
  <c r="C12" i="52" l="1"/>
  <c r="D12" i="52"/>
  <c r="B13" i="52"/>
  <c r="M13" i="52" s="1"/>
  <c r="G26" i="13"/>
  <c r="D26" i="13"/>
  <c r="M26" i="13"/>
  <c r="J26" i="13"/>
  <c r="E12" i="52"/>
  <c r="L11" i="52"/>
  <c r="O11" i="52"/>
  <c r="N11" i="52"/>
  <c r="S11" i="52"/>
  <c r="Q11" i="52"/>
  <c r="P11" i="52"/>
  <c r="M12" i="52"/>
  <c r="L12" i="52" s="1"/>
  <c r="U10" i="52"/>
  <c r="T10" i="52"/>
  <c r="B27" i="13"/>
  <c r="B38" i="13" s="1"/>
  <c r="G12" i="52"/>
  <c r="B14" i="52"/>
  <c r="W11" i="52"/>
  <c r="E13" i="52" l="1"/>
  <c r="C14" i="52"/>
  <c r="D14" i="52"/>
  <c r="C13" i="52"/>
  <c r="D13" i="52"/>
  <c r="G27" i="13"/>
  <c r="G39" i="13" s="1"/>
  <c r="J27" i="13"/>
  <c r="J39" i="13" s="1"/>
  <c r="D27" i="13"/>
  <c r="D39" i="13" s="1"/>
  <c r="M27" i="13"/>
  <c r="M39" i="13" s="1"/>
  <c r="S13" i="52"/>
  <c r="N13" i="52"/>
  <c r="O13" i="52"/>
  <c r="P13" i="52"/>
  <c r="Q13" i="52"/>
  <c r="S12" i="52"/>
  <c r="N12" i="52"/>
  <c r="O12" i="52"/>
  <c r="P12" i="52"/>
  <c r="Q12" i="52"/>
  <c r="K12" i="52"/>
  <c r="T11" i="52"/>
  <c r="U11" i="52"/>
  <c r="K13" i="52"/>
  <c r="L13" i="52"/>
  <c r="B28" i="13"/>
  <c r="E14" i="52"/>
  <c r="B15" i="52"/>
  <c r="M14" i="52"/>
  <c r="G13" i="52"/>
  <c r="W12" i="52"/>
  <c r="C15" i="52" l="1"/>
  <c r="D15" i="52"/>
  <c r="U12" i="52"/>
  <c r="J28" i="13"/>
  <c r="M28" i="13"/>
  <c r="G28" i="13"/>
  <c r="D28" i="13"/>
  <c r="T12" i="52"/>
  <c r="N14" i="52"/>
  <c r="S14" i="52"/>
  <c r="O14" i="52"/>
  <c r="P14" i="52"/>
  <c r="Q14" i="52"/>
  <c r="U13" i="52"/>
  <c r="T13" i="52"/>
  <c r="K14" i="52"/>
  <c r="L14" i="52"/>
  <c r="B29" i="13"/>
  <c r="G14" i="52"/>
  <c r="W13" i="52"/>
  <c r="M15" i="52"/>
  <c r="B16" i="52"/>
  <c r="E15" i="52"/>
  <c r="C16" i="52" l="1"/>
  <c r="D16" i="52"/>
  <c r="M29" i="13"/>
  <c r="J29" i="13"/>
  <c r="D29" i="13"/>
  <c r="G29" i="13"/>
  <c r="O15" i="52"/>
  <c r="S15" i="52"/>
  <c r="N15" i="52"/>
  <c r="Q15" i="52"/>
  <c r="P15" i="52"/>
  <c r="U14" i="52"/>
  <c r="K15" i="52"/>
  <c r="L15" i="52"/>
  <c r="T14" i="52"/>
  <c r="W14" i="52"/>
  <c r="G15" i="52"/>
  <c r="E16" i="52"/>
  <c r="M16" i="52"/>
  <c r="B17" i="52"/>
  <c r="C17" i="52" l="1"/>
  <c r="D17" i="52"/>
  <c r="S16" i="52"/>
  <c r="O16" i="52"/>
  <c r="N16" i="52"/>
  <c r="P16" i="52"/>
  <c r="Q16" i="52"/>
  <c r="T15" i="52"/>
  <c r="U15" i="52"/>
  <c r="K16" i="52"/>
  <c r="L16" i="52"/>
  <c r="B18" i="52"/>
  <c r="E17" i="52"/>
  <c r="M17" i="52"/>
  <c r="W15" i="52"/>
  <c r="G16" i="52"/>
  <c r="C18" i="52" l="1"/>
  <c r="D18" i="52"/>
  <c r="O17" i="52"/>
  <c r="S17" i="52"/>
  <c r="N17" i="52"/>
  <c r="Q17" i="52"/>
  <c r="P17" i="52"/>
  <c r="U16" i="52"/>
  <c r="L17" i="52"/>
  <c r="K17" i="52"/>
  <c r="T16" i="52"/>
  <c r="W16" i="52"/>
  <c r="E18" i="52"/>
  <c r="B19" i="52"/>
  <c r="M18" i="52"/>
  <c r="G17" i="52"/>
  <c r="C19" i="52" l="1"/>
  <c r="D19" i="52"/>
  <c r="N18" i="52"/>
  <c r="O18" i="52"/>
  <c r="S18" i="52"/>
  <c r="P18" i="52"/>
  <c r="Q18" i="52"/>
  <c r="U17" i="52"/>
  <c r="T17" i="52"/>
  <c r="K18" i="52"/>
  <c r="L18" i="52"/>
  <c r="M19" i="52"/>
  <c r="E19" i="52"/>
  <c r="B20" i="52"/>
  <c r="G18" i="52"/>
  <c r="W17" i="52"/>
  <c r="C20" i="52" l="1"/>
  <c r="D20" i="52"/>
  <c r="O19" i="52"/>
  <c r="N19" i="52"/>
  <c r="S19" i="52"/>
  <c r="P19" i="52"/>
  <c r="Q19" i="52"/>
  <c r="T18" i="52"/>
  <c r="U18" i="52"/>
  <c r="L19" i="52"/>
  <c r="K19" i="52"/>
  <c r="E20" i="52"/>
  <c r="M20" i="52"/>
  <c r="B21" i="52"/>
  <c r="G19" i="52"/>
  <c r="W18" i="52"/>
  <c r="C21" i="52" l="1"/>
  <c r="D21" i="52"/>
  <c r="S20" i="52"/>
  <c r="N20" i="52"/>
  <c r="O20" i="52"/>
  <c r="Q20" i="52"/>
  <c r="P20" i="52"/>
  <c r="U19" i="52"/>
  <c r="T19" i="52"/>
  <c r="K20" i="52"/>
  <c r="L20" i="52"/>
  <c r="B22" i="52"/>
  <c r="E21" i="52"/>
  <c r="M21" i="52"/>
  <c r="W19" i="52"/>
  <c r="G20" i="52"/>
  <c r="C22" i="52" l="1"/>
  <c r="D22" i="52"/>
  <c r="N21" i="52"/>
  <c r="S21" i="52"/>
  <c r="O21" i="52"/>
  <c r="Q21" i="52"/>
  <c r="P21" i="52"/>
  <c r="U20" i="52"/>
  <c r="T20" i="52"/>
  <c r="K21" i="52"/>
  <c r="L21" i="52"/>
  <c r="G21" i="52"/>
  <c r="W20" i="52"/>
  <c r="B23" i="52"/>
  <c r="M22" i="52"/>
  <c r="E22" i="52"/>
  <c r="C23" i="52" l="1"/>
  <c r="D23" i="52"/>
  <c r="N22" i="52"/>
  <c r="S22" i="52"/>
  <c r="O22" i="52"/>
  <c r="Q22" i="52"/>
  <c r="P22" i="52"/>
  <c r="U21" i="52"/>
  <c r="T21" i="52"/>
  <c r="K22" i="52"/>
  <c r="L22" i="52"/>
  <c r="M23" i="52"/>
  <c r="E23" i="52"/>
  <c r="B24" i="52"/>
  <c r="W21" i="52"/>
  <c r="G22" i="52"/>
  <c r="C24" i="52" l="1"/>
  <c r="D24" i="52"/>
  <c r="O23" i="52"/>
  <c r="S23" i="52"/>
  <c r="N23" i="52"/>
  <c r="P23" i="52"/>
  <c r="Q23" i="52"/>
  <c r="U22" i="52"/>
  <c r="T22" i="52"/>
  <c r="K23" i="52"/>
  <c r="L23" i="52"/>
  <c r="E24" i="52"/>
  <c r="M24" i="52"/>
  <c r="B25" i="52"/>
  <c r="W22" i="52"/>
  <c r="G23" i="52"/>
  <c r="C25" i="52" l="1"/>
  <c r="D25" i="52"/>
  <c r="S24" i="52"/>
  <c r="O24" i="52"/>
  <c r="N24" i="52"/>
  <c r="P24" i="52"/>
  <c r="Q24" i="52"/>
  <c r="U23" i="52"/>
  <c r="T23" i="52"/>
  <c r="K24" i="52"/>
  <c r="L24" i="52"/>
  <c r="B26" i="52"/>
  <c r="M25" i="52"/>
  <c r="E25" i="52"/>
  <c r="G24" i="52"/>
  <c r="W23" i="52"/>
  <c r="C26" i="52" l="1"/>
  <c r="D26" i="52"/>
  <c r="O25" i="52"/>
  <c r="N25" i="52"/>
  <c r="S25" i="52"/>
  <c r="P25" i="52"/>
  <c r="Q25" i="52"/>
  <c r="U24" i="52"/>
  <c r="T24" i="52"/>
  <c r="L25" i="52"/>
  <c r="K25" i="52"/>
  <c r="W24" i="52"/>
  <c r="G25" i="52"/>
  <c r="B27" i="52"/>
  <c r="M26" i="52"/>
  <c r="E26" i="52"/>
  <c r="C27" i="52" l="1"/>
  <c r="D27" i="52"/>
  <c r="N26" i="52"/>
  <c r="O26" i="52"/>
  <c r="S26" i="52"/>
  <c r="Q26" i="52"/>
  <c r="P26" i="52"/>
  <c r="T25" i="52"/>
  <c r="U25" i="52"/>
  <c r="K26" i="52"/>
  <c r="L26" i="52"/>
  <c r="M27" i="52"/>
  <c r="B28" i="52"/>
  <c r="E27" i="52"/>
  <c r="W25" i="52"/>
  <c r="C28" i="52" l="1"/>
  <c r="D28" i="52"/>
  <c r="O27" i="52"/>
  <c r="N27" i="52"/>
  <c r="S27" i="52"/>
  <c r="Q27" i="52"/>
  <c r="P27" i="52"/>
  <c r="U26" i="52"/>
  <c r="T26" i="52"/>
  <c r="K27" i="52"/>
  <c r="L27" i="52"/>
  <c r="E28" i="52"/>
  <c r="B29" i="52"/>
  <c r="M28" i="52"/>
  <c r="C29" i="52" l="1"/>
  <c r="D29" i="52"/>
  <c r="S28" i="52"/>
  <c r="N28" i="52"/>
  <c r="O28" i="52"/>
  <c r="Q28" i="52"/>
  <c r="P28" i="52"/>
  <c r="U27" i="52"/>
  <c r="T27" i="52"/>
  <c r="K28" i="52"/>
  <c r="L28" i="52"/>
  <c r="M29" i="52"/>
  <c r="B30" i="52"/>
  <c r="E29" i="52"/>
  <c r="C30" i="52" l="1"/>
  <c r="D30" i="52"/>
  <c r="S29" i="52"/>
  <c r="N29" i="52"/>
  <c r="O29" i="52"/>
  <c r="P29" i="52"/>
  <c r="Q29" i="52"/>
  <c r="U28" i="52"/>
  <c r="T28" i="52"/>
  <c r="L29" i="52"/>
  <c r="K29" i="52"/>
  <c r="E30" i="52"/>
  <c r="B31" i="52"/>
  <c r="M30" i="52"/>
  <c r="C31" i="52" l="1"/>
  <c r="D31" i="52"/>
  <c r="N30" i="52"/>
  <c r="S30" i="52"/>
  <c r="O30" i="52"/>
  <c r="P30" i="52"/>
  <c r="Q30" i="52"/>
  <c r="T29" i="52"/>
  <c r="U29" i="52"/>
  <c r="K30" i="52"/>
  <c r="L30" i="52"/>
  <c r="B32" i="52"/>
  <c r="M31" i="52"/>
  <c r="E31" i="52"/>
  <c r="C32" i="52" l="1"/>
  <c r="D32" i="52"/>
  <c r="O31" i="52"/>
  <c r="S31" i="52"/>
  <c r="N31" i="52"/>
  <c r="P31" i="52"/>
  <c r="Q31" i="52"/>
  <c r="U30" i="52"/>
  <c r="T30" i="52"/>
  <c r="K31" i="52"/>
  <c r="L31" i="52"/>
  <c r="E32" i="52"/>
  <c r="M32" i="52"/>
  <c r="B33" i="52"/>
  <c r="C33" i="52" l="1"/>
  <c r="D33" i="52"/>
  <c r="S32" i="52"/>
  <c r="O32" i="52"/>
  <c r="N32" i="52"/>
  <c r="Q32" i="52"/>
  <c r="P32" i="52"/>
  <c r="T31" i="52"/>
  <c r="U31" i="52"/>
  <c r="K32" i="52"/>
  <c r="L32" i="52"/>
  <c r="M33" i="52"/>
  <c r="E33" i="52"/>
  <c r="B34" i="52"/>
  <c r="C34" i="52" l="1"/>
  <c r="D34" i="52"/>
  <c r="O33" i="52"/>
  <c r="S33" i="52"/>
  <c r="N33" i="52"/>
  <c r="Q33" i="52"/>
  <c r="P33" i="52"/>
  <c r="U32" i="52"/>
  <c r="T32" i="52"/>
  <c r="L33" i="52"/>
  <c r="K33" i="52"/>
  <c r="M34" i="52"/>
  <c r="E34" i="52"/>
  <c r="B35" i="52"/>
  <c r="C35" i="52" l="1"/>
  <c r="D35" i="52"/>
  <c r="N34" i="52"/>
  <c r="O34" i="52"/>
  <c r="S34" i="52"/>
  <c r="P34" i="52"/>
  <c r="Q34" i="52"/>
  <c r="T33" i="52"/>
  <c r="U33" i="52"/>
  <c r="K34" i="52"/>
  <c r="L34" i="52"/>
  <c r="M35" i="52"/>
  <c r="E35" i="52"/>
  <c r="B36" i="52"/>
  <c r="C36" i="52" l="1"/>
  <c r="D36" i="52"/>
  <c r="O35" i="52"/>
  <c r="N35" i="52"/>
  <c r="S35" i="52"/>
  <c r="P35" i="52"/>
  <c r="Q35" i="52"/>
  <c r="T34" i="52"/>
  <c r="U34" i="52"/>
  <c r="K35" i="52"/>
  <c r="L35" i="52"/>
  <c r="M36" i="52"/>
  <c r="E36" i="52"/>
  <c r="B37" i="52"/>
  <c r="C37" i="52" l="1"/>
  <c r="D37" i="52"/>
  <c r="S36" i="52"/>
  <c r="N36" i="52"/>
  <c r="O36" i="52"/>
  <c r="P36" i="52"/>
  <c r="Q36" i="52"/>
  <c r="U35" i="52"/>
  <c r="T35" i="52"/>
  <c r="K36" i="52"/>
  <c r="L36" i="52"/>
  <c r="B38" i="52"/>
  <c r="M37" i="52"/>
  <c r="E37" i="52"/>
  <c r="C38" i="52" l="1"/>
  <c r="D38" i="52"/>
  <c r="N37" i="52"/>
  <c r="S37" i="52"/>
  <c r="O37" i="52"/>
  <c r="P37" i="52"/>
  <c r="Q37" i="52"/>
  <c r="U36" i="52"/>
  <c r="T36" i="52"/>
  <c r="L37" i="52"/>
  <c r="K37" i="52"/>
  <c r="B39" i="52"/>
  <c r="E38" i="52"/>
  <c r="M38" i="52"/>
  <c r="C39" i="52" l="1"/>
  <c r="D39" i="52"/>
  <c r="N38" i="52"/>
  <c r="S38" i="52"/>
  <c r="O38" i="52"/>
  <c r="Q38" i="52"/>
  <c r="P38" i="52"/>
  <c r="U37" i="52"/>
  <c r="T37" i="52"/>
  <c r="K38" i="52"/>
  <c r="L38" i="52"/>
  <c r="B40" i="52"/>
  <c r="E39" i="52"/>
  <c r="M39" i="52"/>
  <c r="C40" i="52" l="1"/>
  <c r="D40" i="52"/>
  <c r="O39" i="52"/>
  <c r="S39" i="52"/>
  <c r="N39" i="52"/>
  <c r="Q39" i="52"/>
  <c r="P39" i="52"/>
  <c r="T38" i="52"/>
  <c r="U38" i="52"/>
  <c r="L39" i="52"/>
  <c r="K39" i="52"/>
  <c r="B41" i="52"/>
  <c r="E40" i="52"/>
  <c r="M40" i="52"/>
  <c r="C41" i="52" l="1"/>
  <c r="D41" i="52"/>
  <c r="S40" i="52"/>
  <c r="O40" i="52"/>
  <c r="N40" i="52"/>
  <c r="P40" i="52"/>
  <c r="Q40" i="52"/>
  <c r="U39" i="52"/>
  <c r="T39" i="52"/>
  <c r="K40" i="52"/>
  <c r="L40" i="52"/>
  <c r="B42" i="52"/>
  <c r="E41" i="52"/>
  <c r="M41" i="52"/>
  <c r="C42" i="52" l="1"/>
  <c r="D42" i="52"/>
  <c r="O41" i="52"/>
  <c r="N41" i="52"/>
  <c r="S41" i="52"/>
  <c r="P41" i="52"/>
  <c r="Q41" i="52"/>
  <c r="U40" i="52"/>
  <c r="T40" i="52"/>
  <c r="K41" i="52"/>
  <c r="L41" i="52"/>
  <c r="B43" i="52"/>
  <c r="E42" i="52"/>
  <c r="M42" i="52"/>
  <c r="C43" i="52" l="1"/>
  <c r="D43" i="52"/>
  <c r="N42" i="52"/>
  <c r="O42" i="52"/>
  <c r="S42" i="52"/>
  <c r="Q42" i="52"/>
  <c r="P42" i="52"/>
  <c r="U41" i="52"/>
  <c r="T41" i="52"/>
  <c r="K42" i="52"/>
  <c r="L42" i="52"/>
  <c r="B44" i="52"/>
  <c r="E43" i="52"/>
  <c r="M43" i="52"/>
  <c r="C44" i="52" l="1"/>
  <c r="D44" i="52"/>
  <c r="O43" i="52"/>
  <c r="N43" i="52"/>
  <c r="S43" i="52"/>
  <c r="Q43" i="52"/>
  <c r="P43" i="52"/>
  <c r="U42" i="52"/>
  <c r="T42" i="52"/>
  <c r="L43" i="52"/>
  <c r="K43" i="52"/>
  <c r="B45" i="52"/>
  <c r="E44" i="52"/>
  <c r="M44" i="52"/>
  <c r="C45" i="52" l="1"/>
  <c r="D45" i="52"/>
  <c r="S44" i="52"/>
  <c r="N44" i="52"/>
  <c r="O44" i="52"/>
  <c r="Q44" i="52"/>
  <c r="P44" i="52"/>
  <c r="U43" i="52"/>
  <c r="T43" i="52"/>
  <c r="K44" i="52"/>
  <c r="L44" i="52"/>
  <c r="B46" i="52"/>
  <c r="E45" i="52"/>
  <c r="M45" i="52"/>
  <c r="C46" i="52" l="1"/>
  <c r="D46" i="52"/>
  <c r="S45" i="52"/>
  <c r="N45" i="52"/>
  <c r="O45" i="52"/>
  <c r="P45" i="52"/>
  <c r="Q45" i="52"/>
  <c r="U44" i="52"/>
  <c r="T44" i="52"/>
  <c r="K45" i="52"/>
  <c r="L45" i="52"/>
  <c r="B47" i="52"/>
  <c r="E46" i="52"/>
  <c r="M46" i="52"/>
  <c r="C47" i="52" l="1"/>
  <c r="D47" i="52"/>
  <c r="N46" i="52"/>
  <c r="S46" i="52"/>
  <c r="O46" i="52"/>
  <c r="P46" i="52"/>
  <c r="Q46" i="52"/>
  <c r="U45" i="52"/>
  <c r="T45" i="52"/>
  <c r="K46" i="52"/>
  <c r="L46" i="52"/>
  <c r="B48" i="52"/>
  <c r="E47" i="52"/>
  <c r="M47" i="52"/>
  <c r="C48" i="52" l="1"/>
  <c r="D48" i="52"/>
  <c r="O47" i="52"/>
  <c r="S47" i="52"/>
  <c r="N47" i="52"/>
  <c r="P47" i="52"/>
  <c r="Q47" i="52"/>
  <c r="U46" i="52"/>
  <c r="T46" i="52"/>
  <c r="L47" i="52"/>
  <c r="K47" i="52"/>
  <c r="B49" i="52"/>
  <c r="E48" i="52"/>
  <c r="M48" i="52"/>
  <c r="C49" i="52" l="1"/>
  <c r="D49" i="52"/>
  <c r="S48" i="52"/>
  <c r="O48" i="52"/>
  <c r="N48" i="52"/>
  <c r="Q48" i="52"/>
  <c r="P48" i="52"/>
  <c r="U47" i="52"/>
  <c r="T47" i="52"/>
  <c r="K48" i="52"/>
  <c r="L48" i="52"/>
  <c r="B50" i="52"/>
  <c r="E49" i="52"/>
  <c r="M49" i="52"/>
  <c r="C50" i="52" l="1"/>
  <c r="D50" i="52"/>
  <c r="O49" i="52"/>
  <c r="S49" i="52"/>
  <c r="N49" i="52"/>
  <c r="P49" i="52"/>
  <c r="Q49" i="52"/>
  <c r="U48" i="52"/>
  <c r="T48" i="52"/>
  <c r="K49" i="52"/>
  <c r="L49" i="52"/>
  <c r="B51" i="52"/>
  <c r="E50" i="52"/>
  <c r="M50" i="52"/>
  <c r="C51" i="52" l="1"/>
  <c r="D51" i="52"/>
  <c r="N50" i="52"/>
  <c r="O50" i="52"/>
  <c r="S50" i="52"/>
  <c r="P50" i="52"/>
  <c r="Q50" i="52"/>
  <c r="U49" i="52"/>
  <c r="T49" i="52"/>
  <c r="K50" i="52"/>
  <c r="L50" i="52"/>
  <c r="B52" i="52"/>
  <c r="E51" i="52"/>
  <c r="M51" i="52"/>
  <c r="C52" i="52" l="1"/>
  <c r="D52" i="52"/>
  <c r="O51" i="52"/>
  <c r="N51" i="52"/>
  <c r="S51" i="52"/>
  <c r="P51" i="52"/>
  <c r="Q51" i="52"/>
  <c r="T50" i="52"/>
  <c r="U50" i="52"/>
  <c r="L51" i="52"/>
  <c r="K51" i="52"/>
  <c r="B53" i="52"/>
  <c r="E52" i="52"/>
  <c r="M52" i="52"/>
  <c r="C53" i="52" l="1"/>
  <c r="D53" i="52"/>
  <c r="S52" i="52"/>
  <c r="N52" i="52"/>
  <c r="O52" i="52"/>
  <c r="Q52" i="52"/>
  <c r="P52" i="52"/>
  <c r="U51" i="52"/>
  <c r="T51" i="52"/>
  <c r="K52" i="52"/>
  <c r="L52" i="52"/>
  <c r="B54" i="52"/>
  <c r="M53" i="52"/>
  <c r="E53" i="52"/>
  <c r="C54" i="52" l="1"/>
  <c r="D54" i="52"/>
  <c r="N53" i="52"/>
  <c r="S53" i="52"/>
  <c r="O53" i="52"/>
  <c r="P53" i="52"/>
  <c r="Q53" i="52"/>
  <c r="U52" i="52"/>
  <c r="T52" i="52"/>
  <c r="L53" i="52"/>
  <c r="K53" i="52"/>
  <c r="B55" i="52"/>
  <c r="M54" i="52"/>
  <c r="E54" i="52"/>
  <c r="C55" i="52" l="1"/>
  <c r="D55" i="52"/>
  <c r="N54" i="52"/>
  <c r="S54" i="52"/>
  <c r="O54" i="52"/>
  <c r="Q54" i="52"/>
  <c r="P54" i="52"/>
  <c r="T53" i="52"/>
  <c r="U53" i="52"/>
  <c r="K54" i="52"/>
  <c r="L54" i="52"/>
  <c r="B56" i="52"/>
  <c r="M55" i="52"/>
  <c r="E55" i="52"/>
  <c r="C56" i="52" l="1"/>
  <c r="D56" i="52"/>
  <c r="O55" i="52"/>
  <c r="S55" i="52"/>
  <c r="N55" i="52"/>
  <c r="Q55" i="52"/>
  <c r="P55" i="52"/>
  <c r="U54" i="52"/>
  <c r="T54" i="52"/>
  <c r="K55" i="52"/>
  <c r="L55" i="52"/>
  <c r="B57" i="52"/>
  <c r="M56" i="52"/>
  <c r="E56" i="52"/>
  <c r="C57" i="52" l="1"/>
  <c r="D57" i="52"/>
  <c r="S56" i="52"/>
  <c r="O56" i="52"/>
  <c r="N56" i="52"/>
  <c r="P56" i="52"/>
  <c r="Q56" i="52"/>
  <c r="U55" i="52"/>
  <c r="T55" i="52"/>
  <c r="K56" i="52"/>
  <c r="L56" i="52"/>
  <c r="B58" i="52"/>
  <c r="M57" i="52"/>
  <c r="E57" i="52"/>
  <c r="C58" i="52" l="1"/>
  <c r="D58" i="52"/>
  <c r="O57" i="52"/>
  <c r="N57" i="52"/>
  <c r="S57" i="52"/>
  <c r="P57" i="52"/>
  <c r="Q57" i="52"/>
  <c r="U56" i="52"/>
  <c r="T56" i="52"/>
  <c r="L57" i="52"/>
  <c r="K57" i="52"/>
  <c r="B59" i="52"/>
  <c r="M58" i="52"/>
  <c r="E58" i="52"/>
  <c r="C59" i="52" l="1"/>
  <c r="D59" i="52"/>
  <c r="N58" i="52"/>
  <c r="O58" i="52"/>
  <c r="S58" i="52"/>
  <c r="Q58" i="52"/>
  <c r="P58" i="52"/>
  <c r="U57" i="52"/>
  <c r="T57" i="52"/>
  <c r="K58" i="52"/>
  <c r="L58" i="52"/>
  <c r="B60" i="52"/>
  <c r="M59" i="52"/>
  <c r="E59" i="52"/>
  <c r="C60" i="52" l="1"/>
  <c r="D60" i="52"/>
  <c r="O59" i="52"/>
  <c r="N59" i="52"/>
  <c r="S59" i="52"/>
  <c r="Q59" i="52"/>
  <c r="P59" i="52"/>
  <c r="U58" i="52"/>
  <c r="T58" i="52"/>
  <c r="K59" i="52"/>
  <c r="L59" i="52"/>
  <c r="B61" i="52"/>
  <c r="M60" i="52"/>
  <c r="E60" i="52"/>
  <c r="C61" i="52" l="1"/>
  <c r="D61" i="52"/>
  <c r="S60" i="52"/>
  <c r="N60" i="52"/>
  <c r="O60" i="52"/>
  <c r="Q60" i="52"/>
  <c r="P60" i="52"/>
  <c r="T59" i="52"/>
  <c r="U59" i="52"/>
  <c r="K60" i="52"/>
  <c r="L60" i="52"/>
  <c r="B62" i="52"/>
  <c r="M61" i="52"/>
  <c r="E61" i="52"/>
  <c r="C62" i="52" l="1"/>
  <c r="D62" i="52"/>
  <c r="S61" i="52"/>
  <c r="N61" i="52"/>
  <c r="O61" i="52"/>
  <c r="Q61" i="52"/>
  <c r="P61" i="52"/>
  <c r="U60" i="52"/>
  <c r="T60" i="52"/>
  <c r="L61" i="52"/>
  <c r="K61" i="52"/>
  <c r="B63" i="52"/>
  <c r="M62" i="52"/>
  <c r="E62" i="52"/>
  <c r="C63" i="52" l="1"/>
  <c r="D63" i="52"/>
  <c r="N62" i="52"/>
  <c r="S62" i="52"/>
  <c r="O62" i="52"/>
  <c r="P62" i="52"/>
  <c r="Q62" i="52"/>
  <c r="U61" i="52"/>
  <c r="T61" i="52"/>
  <c r="K62" i="52"/>
  <c r="L62" i="52"/>
  <c r="B64" i="52"/>
  <c r="M63" i="52"/>
  <c r="E63" i="52"/>
  <c r="C64" i="52" l="1"/>
  <c r="D64" i="52"/>
  <c r="O63" i="52"/>
  <c r="S63" i="52"/>
  <c r="N63" i="52"/>
  <c r="P63" i="52"/>
  <c r="Q63" i="52"/>
  <c r="U62" i="52"/>
  <c r="T62" i="52"/>
  <c r="K63" i="52"/>
  <c r="L63" i="52"/>
  <c r="B65" i="52"/>
  <c r="M64" i="52"/>
  <c r="E64" i="52"/>
  <c r="C65" i="52" l="1"/>
  <c r="D65" i="52"/>
  <c r="S64" i="52"/>
  <c r="O64" i="52"/>
  <c r="N64" i="52"/>
  <c r="P64" i="52"/>
  <c r="Q64" i="52"/>
  <c r="U63" i="52"/>
  <c r="T63" i="52"/>
  <c r="K64" i="52"/>
  <c r="L64" i="52"/>
  <c r="B66" i="52"/>
  <c r="M65" i="52"/>
  <c r="E65" i="52"/>
  <c r="C66" i="52" l="1"/>
  <c r="D66" i="52"/>
  <c r="O65" i="52"/>
  <c r="S65" i="52"/>
  <c r="N65" i="52"/>
  <c r="Q65" i="52"/>
  <c r="P65" i="52"/>
  <c r="U64" i="52"/>
  <c r="T64" i="52"/>
  <c r="L65" i="52"/>
  <c r="K65" i="52"/>
  <c r="B67" i="52"/>
  <c r="M66" i="52"/>
  <c r="E66" i="52"/>
  <c r="C67" i="52" l="1"/>
  <c r="D67" i="52"/>
  <c r="N66" i="52"/>
  <c r="O66" i="52"/>
  <c r="S66" i="52"/>
  <c r="P66" i="52"/>
  <c r="Q66" i="52"/>
  <c r="U65" i="52"/>
  <c r="T65" i="52"/>
  <c r="K66" i="52"/>
  <c r="L66" i="52"/>
  <c r="B68" i="52"/>
  <c r="M67" i="52"/>
  <c r="E67" i="52"/>
  <c r="C68" i="52" l="1"/>
  <c r="D68" i="52"/>
  <c r="O67" i="52"/>
  <c r="N67" i="52"/>
  <c r="S67" i="52"/>
  <c r="P67" i="52"/>
  <c r="Q67" i="52"/>
  <c r="U66" i="52"/>
  <c r="T66" i="52"/>
  <c r="K67" i="52"/>
  <c r="L67" i="52"/>
  <c r="B69" i="52"/>
  <c r="M68" i="52"/>
  <c r="E68" i="52"/>
  <c r="C69" i="52" l="1"/>
  <c r="D69" i="52"/>
  <c r="S68" i="52"/>
  <c r="N68" i="52"/>
  <c r="O68" i="52"/>
  <c r="P68" i="52"/>
  <c r="Q68" i="52"/>
  <c r="U67" i="52"/>
  <c r="T67" i="52"/>
  <c r="K68" i="52"/>
  <c r="L68" i="52"/>
  <c r="B70" i="52"/>
  <c r="M69" i="52"/>
  <c r="E69" i="52"/>
  <c r="C70" i="52" l="1"/>
  <c r="D70" i="52"/>
  <c r="N69" i="52"/>
  <c r="S69" i="52"/>
  <c r="O69" i="52"/>
  <c r="Q69" i="52"/>
  <c r="P69" i="52"/>
  <c r="U68" i="52"/>
  <c r="T68" i="52"/>
  <c r="L69" i="52"/>
  <c r="K69" i="52"/>
  <c r="B71" i="52"/>
  <c r="M70" i="52"/>
  <c r="E70" i="52"/>
  <c r="C71" i="52" l="1"/>
  <c r="D71" i="52"/>
  <c r="N70" i="52"/>
  <c r="S70" i="52"/>
  <c r="O70" i="52"/>
  <c r="Q70" i="52"/>
  <c r="P70" i="52"/>
  <c r="U69" i="52"/>
  <c r="K70" i="52"/>
  <c r="L70" i="52"/>
  <c r="T69" i="52"/>
  <c r="B72" i="52"/>
  <c r="M71" i="52"/>
  <c r="E71" i="52"/>
  <c r="C72" i="52" l="1"/>
  <c r="D72" i="52"/>
  <c r="O71" i="52"/>
  <c r="S71" i="52"/>
  <c r="N71" i="52"/>
  <c r="Q71" i="52"/>
  <c r="P71" i="52"/>
  <c r="U70" i="52"/>
  <c r="T70" i="52"/>
  <c r="L71" i="52"/>
  <c r="K71" i="52"/>
  <c r="B73" i="52"/>
  <c r="M72" i="52"/>
  <c r="E72" i="52"/>
  <c r="C73" i="52" l="1"/>
  <c r="D73" i="52"/>
  <c r="N72" i="52"/>
  <c r="S72" i="52"/>
  <c r="O72" i="52"/>
  <c r="P72" i="52"/>
  <c r="Q72" i="52"/>
  <c r="U71" i="52"/>
  <c r="T71" i="52"/>
  <c r="K72" i="52"/>
  <c r="L72" i="52"/>
  <c r="B74" i="52"/>
  <c r="M73" i="52"/>
  <c r="E73" i="52"/>
  <c r="C74" i="52" l="1"/>
  <c r="D74" i="52"/>
  <c r="U72" i="52"/>
  <c r="O73" i="52"/>
  <c r="N73" i="52"/>
  <c r="S73" i="52"/>
  <c r="P73" i="52"/>
  <c r="Q73" i="52"/>
  <c r="T72" i="52"/>
  <c r="K73" i="52"/>
  <c r="L73" i="52"/>
  <c r="B75" i="52"/>
  <c r="M74" i="52"/>
  <c r="E74" i="52"/>
  <c r="C75" i="52" l="1"/>
  <c r="D75" i="52"/>
  <c r="S74" i="52"/>
  <c r="N74" i="52"/>
  <c r="O74" i="52"/>
  <c r="Q74" i="52"/>
  <c r="P74" i="52"/>
  <c r="U73" i="52"/>
  <c r="T73" i="52"/>
  <c r="K74" i="52"/>
  <c r="L74" i="52"/>
  <c r="B76" i="52"/>
  <c r="M75" i="52"/>
  <c r="E75" i="52"/>
  <c r="C76" i="52" l="1"/>
  <c r="D76" i="52"/>
  <c r="N75" i="52"/>
  <c r="O75" i="52"/>
  <c r="S75" i="52"/>
  <c r="Q75" i="52"/>
  <c r="P75" i="52"/>
  <c r="U74" i="52"/>
  <c r="T74" i="52"/>
  <c r="L75" i="52"/>
  <c r="K75" i="52"/>
  <c r="B77" i="52"/>
  <c r="M76" i="52"/>
  <c r="E76" i="52"/>
  <c r="C77" i="52" l="1"/>
  <c r="D77" i="52"/>
  <c r="N76" i="52"/>
  <c r="S76" i="52"/>
  <c r="O76" i="52"/>
  <c r="Q76" i="52"/>
  <c r="P76" i="52"/>
  <c r="U75" i="52"/>
  <c r="T75" i="52"/>
  <c r="K76" i="52"/>
  <c r="L76" i="52"/>
  <c r="B78" i="52"/>
  <c r="M77" i="52"/>
  <c r="E77" i="52"/>
  <c r="C78" i="52" l="1"/>
  <c r="D78" i="52"/>
  <c r="O77" i="52"/>
  <c r="S77" i="52"/>
  <c r="N77" i="52"/>
  <c r="P77" i="52"/>
  <c r="Q77" i="52"/>
  <c r="U76" i="52"/>
  <c r="T76" i="52"/>
  <c r="L77" i="52"/>
  <c r="K77" i="52"/>
  <c r="B79" i="52"/>
  <c r="M78" i="52"/>
  <c r="E78" i="52"/>
  <c r="C79" i="52" l="1"/>
  <c r="D79" i="52"/>
  <c r="S78" i="52"/>
  <c r="O78" i="52"/>
  <c r="N78" i="52"/>
  <c r="P78" i="52"/>
  <c r="Q78" i="52"/>
  <c r="U77" i="52"/>
  <c r="T77" i="52"/>
  <c r="K78" i="52"/>
  <c r="L78" i="52"/>
  <c r="B80" i="52"/>
  <c r="M79" i="52"/>
  <c r="E79" i="52"/>
  <c r="C80" i="52" l="1"/>
  <c r="D80" i="52"/>
  <c r="S79" i="52"/>
  <c r="N79" i="52"/>
  <c r="O79" i="52"/>
  <c r="P79" i="52"/>
  <c r="Q79" i="52"/>
  <c r="U78" i="52"/>
  <c r="T78" i="52"/>
  <c r="K79" i="52"/>
  <c r="L79" i="52"/>
  <c r="B81" i="52"/>
  <c r="M80" i="52"/>
  <c r="E80" i="52"/>
  <c r="C81" i="52" l="1"/>
  <c r="D81" i="52"/>
  <c r="N80" i="52"/>
  <c r="O80" i="52"/>
  <c r="S80" i="52"/>
  <c r="P80" i="52"/>
  <c r="Q80" i="52"/>
  <c r="U79" i="52"/>
  <c r="T79" i="52"/>
  <c r="K80" i="52"/>
  <c r="L80" i="52"/>
  <c r="B82" i="52"/>
  <c r="M81" i="52"/>
  <c r="E81" i="52"/>
  <c r="C82" i="52" l="1"/>
  <c r="D82" i="52"/>
  <c r="O81" i="52"/>
  <c r="N81" i="52"/>
  <c r="S81" i="52"/>
  <c r="Q81" i="52"/>
  <c r="P81" i="52"/>
  <c r="T80" i="52"/>
  <c r="U80" i="52"/>
  <c r="K81" i="52"/>
  <c r="L81" i="52"/>
  <c r="B83" i="52"/>
  <c r="M82" i="52"/>
  <c r="E82" i="52"/>
  <c r="C83" i="52" l="1"/>
  <c r="D83" i="52"/>
  <c r="S82" i="52"/>
  <c r="N82" i="52"/>
  <c r="O82" i="52"/>
  <c r="P82" i="52"/>
  <c r="Q82" i="52"/>
  <c r="U81" i="52"/>
  <c r="T81" i="52"/>
  <c r="K82" i="52"/>
  <c r="L82" i="52"/>
  <c r="B84" i="52"/>
  <c r="M83" i="52"/>
  <c r="E83" i="52"/>
  <c r="C84" i="52" l="1"/>
  <c r="D84" i="52"/>
  <c r="S83" i="52"/>
  <c r="O83" i="52"/>
  <c r="N83" i="52"/>
  <c r="P83" i="52"/>
  <c r="Q83" i="52"/>
  <c r="T82" i="52"/>
  <c r="U82" i="52"/>
  <c r="L83" i="52"/>
  <c r="K83" i="52"/>
  <c r="B85" i="52"/>
  <c r="M84" i="52"/>
  <c r="E84" i="52"/>
  <c r="C85" i="52" l="1"/>
  <c r="D85" i="52"/>
  <c r="N84" i="52"/>
  <c r="S84" i="52"/>
  <c r="O84" i="52"/>
  <c r="P84" i="52"/>
  <c r="Q84" i="52"/>
  <c r="T83" i="52"/>
  <c r="U83" i="52"/>
  <c r="K84" i="52"/>
  <c r="L84" i="52"/>
  <c r="B86" i="52"/>
  <c r="M85" i="52"/>
  <c r="E85" i="52"/>
  <c r="C86" i="52" l="1"/>
  <c r="D86" i="52"/>
  <c r="O85" i="52"/>
  <c r="S85" i="52"/>
  <c r="N85" i="52"/>
  <c r="P85" i="52"/>
  <c r="Q85" i="52"/>
  <c r="U84" i="52"/>
  <c r="T84" i="52"/>
  <c r="L85" i="52"/>
  <c r="K85" i="52"/>
  <c r="B87" i="52"/>
  <c r="M86" i="52"/>
  <c r="E86" i="52"/>
  <c r="C87" i="52" l="1"/>
  <c r="D87" i="52"/>
  <c r="S86" i="52"/>
  <c r="N86" i="52"/>
  <c r="O86" i="52"/>
  <c r="Q86" i="52"/>
  <c r="P86" i="52"/>
  <c r="U85" i="52"/>
  <c r="T85" i="52"/>
  <c r="K86" i="52"/>
  <c r="L86" i="52"/>
  <c r="B88" i="52"/>
  <c r="M87" i="52"/>
  <c r="E87" i="52"/>
  <c r="C88" i="52" l="1"/>
  <c r="D88" i="52"/>
  <c r="O87" i="52"/>
  <c r="N87" i="52"/>
  <c r="S87" i="52"/>
  <c r="Q87" i="52"/>
  <c r="P87" i="52"/>
  <c r="T86" i="52"/>
  <c r="U86" i="52"/>
  <c r="K87" i="52"/>
  <c r="L87" i="52"/>
  <c r="B89" i="52"/>
  <c r="M88" i="52"/>
  <c r="E88" i="52"/>
  <c r="C89" i="52" l="1"/>
  <c r="D89" i="52"/>
  <c r="N88" i="52"/>
  <c r="O88" i="52"/>
  <c r="S88" i="52"/>
  <c r="P88" i="52"/>
  <c r="Q88" i="52"/>
  <c r="U87" i="52"/>
  <c r="T87" i="52"/>
  <c r="K88" i="52"/>
  <c r="L88" i="52"/>
  <c r="B90" i="52"/>
  <c r="M89" i="52"/>
  <c r="E89" i="52"/>
  <c r="C90" i="52" l="1"/>
  <c r="D90" i="52"/>
  <c r="O89" i="52"/>
  <c r="N89" i="52"/>
  <c r="S89" i="52"/>
  <c r="P89" i="52"/>
  <c r="Q89" i="52"/>
  <c r="U88" i="52"/>
  <c r="T88" i="52"/>
  <c r="L89" i="52"/>
  <c r="K89" i="52"/>
  <c r="B91" i="52"/>
  <c r="M90" i="52"/>
  <c r="E90" i="52"/>
  <c r="C91" i="52" l="1"/>
  <c r="D91" i="52"/>
  <c r="U89" i="52"/>
  <c r="S90" i="52"/>
  <c r="O90" i="52"/>
  <c r="N90" i="52"/>
  <c r="Q90" i="52"/>
  <c r="P90" i="52"/>
  <c r="T89" i="52"/>
  <c r="K90" i="52"/>
  <c r="L90" i="52"/>
  <c r="B92" i="52"/>
  <c r="M91" i="52"/>
  <c r="E91" i="52"/>
  <c r="C92" i="52" l="1"/>
  <c r="D92" i="52"/>
  <c r="N91" i="52"/>
  <c r="S91" i="52"/>
  <c r="O91" i="52"/>
  <c r="Q91" i="52"/>
  <c r="P91" i="52"/>
  <c r="U90" i="52"/>
  <c r="T90" i="52"/>
  <c r="L91" i="52"/>
  <c r="K91" i="52"/>
  <c r="B93" i="52"/>
  <c r="M92" i="52"/>
  <c r="E92" i="52"/>
  <c r="C93" i="52" l="1"/>
  <c r="D93" i="52"/>
  <c r="N92" i="52"/>
  <c r="S92" i="52"/>
  <c r="O92" i="52"/>
  <c r="Q92" i="52"/>
  <c r="P92" i="52"/>
  <c r="U91" i="52"/>
  <c r="K92" i="52"/>
  <c r="L92" i="52"/>
  <c r="T91" i="52"/>
  <c r="B94" i="52"/>
  <c r="M93" i="52"/>
  <c r="E93" i="52"/>
  <c r="C94" i="52" l="1"/>
  <c r="D94" i="52"/>
  <c r="O93" i="52"/>
  <c r="N93" i="52"/>
  <c r="S93" i="52"/>
  <c r="P93" i="52"/>
  <c r="Q93" i="52"/>
  <c r="U92" i="52"/>
  <c r="T92" i="52"/>
  <c r="K93" i="52"/>
  <c r="L93" i="52"/>
  <c r="B95" i="52"/>
  <c r="M94" i="52"/>
  <c r="E94" i="52"/>
  <c r="C95" i="52" l="1"/>
  <c r="D95" i="52"/>
  <c r="S94" i="52"/>
  <c r="O94" i="52"/>
  <c r="N94" i="52"/>
  <c r="P94" i="52"/>
  <c r="Q94" i="52"/>
  <c r="T93" i="52"/>
  <c r="U93" i="52"/>
  <c r="K94" i="52"/>
  <c r="L94" i="52"/>
  <c r="B96" i="52"/>
  <c r="M95" i="52"/>
  <c r="E95" i="52"/>
  <c r="C96" i="52" l="1"/>
  <c r="D96" i="52"/>
  <c r="O95" i="52"/>
  <c r="N95" i="52"/>
  <c r="S95" i="52"/>
  <c r="P95" i="52"/>
  <c r="Q95" i="52"/>
  <c r="U94" i="52"/>
  <c r="T94" i="52"/>
  <c r="K95" i="52"/>
  <c r="L95" i="52"/>
  <c r="B97" i="52"/>
  <c r="M96" i="52"/>
  <c r="E96" i="52"/>
  <c r="C97" i="52" l="1"/>
  <c r="D97" i="52"/>
  <c r="N96" i="52"/>
  <c r="O96" i="52"/>
  <c r="S96" i="52"/>
  <c r="Q96" i="52"/>
  <c r="P96" i="52"/>
  <c r="T95" i="52"/>
  <c r="U95" i="52"/>
  <c r="K96" i="52"/>
  <c r="L96" i="52"/>
  <c r="B98" i="52"/>
  <c r="M97" i="52"/>
  <c r="E97" i="52"/>
  <c r="C98" i="52" l="1"/>
  <c r="D98" i="52"/>
  <c r="O97" i="52"/>
  <c r="S97" i="52"/>
  <c r="N97" i="52"/>
  <c r="Q97" i="52"/>
  <c r="P97" i="52"/>
  <c r="U96" i="52"/>
  <c r="T96" i="52"/>
  <c r="K97" i="52"/>
  <c r="L97" i="52"/>
  <c r="B99" i="52"/>
  <c r="M98" i="52"/>
  <c r="E98" i="52"/>
  <c r="C99" i="52" l="1"/>
  <c r="D99" i="52"/>
  <c r="S98" i="52"/>
  <c r="N98" i="52"/>
  <c r="O98" i="52"/>
  <c r="P98" i="52"/>
  <c r="Q98" i="52"/>
  <c r="U97" i="52"/>
  <c r="T97" i="52"/>
  <c r="K98" i="52"/>
  <c r="L98" i="52"/>
  <c r="B100" i="52"/>
  <c r="M99" i="52"/>
  <c r="E99" i="52"/>
  <c r="C100" i="52" l="1"/>
  <c r="D100" i="52"/>
  <c r="S99" i="52"/>
  <c r="N99" i="52"/>
  <c r="O99" i="52"/>
  <c r="P99" i="52"/>
  <c r="Q99" i="52"/>
  <c r="T98" i="52"/>
  <c r="U98" i="52"/>
  <c r="K99" i="52"/>
  <c r="L99" i="52"/>
  <c r="B101" i="52"/>
  <c r="M100" i="52"/>
  <c r="E100" i="52"/>
  <c r="C101" i="52" l="1"/>
  <c r="D101" i="52"/>
  <c r="N100" i="52"/>
  <c r="O100" i="52"/>
  <c r="S100" i="52"/>
  <c r="P100" i="52"/>
  <c r="Q100" i="52"/>
  <c r="U99" i="52"/>
  <c r="T99" i="52"/>
  <c r="K100" i="52"/>
  <c r="L100" i="52"/>
  <c r="B102" i="52"/>
  <c r="M101" i="52"/>
  <c r="E101" i="52"/>
  <c r="C102" i="52" l="1"/>
  <c r="D102" i="52"/>
  <c r="O101" i="52"/>
  <c r="S101" i="52"/>
  <c r="N101" i="52"/>
  <c r="P101" i="52"/>
  <c r="Q101" i="52"/>
  <c r="T100" i="52"/>
  <c r="U100" i="52"/>
  <c r="K101" i="52"/>
  <c r="L101" i="52"/>
  <c r="B103" i="52"/>
  <c r="M102" i="52"/>
  <c r="E102" i="52"/>
  <c r="C103" i="52" l="1"/>
  <c r="D103" i="52"/>
  <c r="S102" i="52"/>
  <c r="O102" i="52"/>
  <c r="N102" i="52"/>
  <c r="Q102" i="52"/>
  <c r="P102" i="52"/>
  <c r="U101" i="52"/>
  <c r="T101" i="52"/>
  <c r="K102" i="52"/>
  <c r="L102" i="52"/>
  <c r="B104" i="52"/>
  <c r="M103" i="52"/>
  <c r="E103" i="52"/>
  <c r="C104" i="52" l="1"/>
  <c r="D104" i="52"/>
  <c r="O103" i="52"/>
  <c r="S103" i="52"/>
  <c r="N103" i="52"/>
  <c r="Q103" i="52"/>
  <c r="P103" i="52"/>
  <c r="U102" i="52"/>
  <c r="T102" i="52"/>
  <c r="K103" i="52"/>
  <c r="L103" i="52"/>
  <c r="B105" i="52"/>
  <c r="M104" i="52"/>
  <c r="E104" i="52"/>
  <c r="C105" i="52" l="1"/>
  <c r="D105" i="52"/>
  <c r="N104" i="52"/>
  <c r="S104" i="52"/>
  <c r="O104" i="52"/>
  <c r="P104" i="52"/>
  <c r="Q104" i="52"/>
  <c r="U103" i="52"/>
  <c r="T103" i="52"/>
  <c r="K104" i="52"/>
  <c r="L104" i="52"/>
  <c r="B106" i="52"/>
  <c r="M105" i="52"/>
  <c r="E105" i="52"/>
  <c r="C106" i="52" l="1"/>
  <c r="D106" i="52"/>
  <c r="U104" i="52"/>
  <c r="T104" i="52"/>
  <c r="O105" i="52"/>
  <c r="N105" i="52"/>
  <c r="S105" i="52"/>
  <c r="Q105" i="52"/>
  <c r="P105" i="52"/>
  <c r="K105" i="52"/>
  <c r="L105" i="52"/>
  <c r="B107" i="52"/>
  <c r="M106" i="52"/>
  <c r="E106" i="52"/>
  <c r="C107" i="52" l="1"/>
  <c r="D107" i="52"/>
  <c r="S106" i="52"/>
  <c r="N106" i="52"/>
  <c r="O106" i="52"/>
  <c r="Q106" i="52"/>
  <c r="P106" i="52"/>
  <c r="T105" i="52"/>
  <c r="U105" i="52"/>
  <c r="K106" i="52"/>
  <c r="L106" i="52"/>
  <c r="B108" i="52"/>
  <c r="M107" i="52"/>
  <c r="E107" i="52"/>
  <c r="C108" i="52" l="1"/>
  <c r="D108" i="52"/>
  <c r="N107" i="52"/>
  <c r="O107" i="52"/>
  <c r="S107" i="52"/>
  <c r="Q107" i="52"/>
  <c r="P107" i="52"/>
  <c r="U106" i="52"/>
  <c r="T106" i="52"/>
  <c r="K107" i="52"/>
  <c r="L107" i="52"/>
  <c r="B109" i="52"/>
  <c r="M108" i="52"/>
  <c r="E108" i="52"/>
  <c r="C109" i="52" l="1"/>
  <c r="D109" i="52"/>
  <c r="N108" i="52"/>
  <c r="S108" i="52"/>
  <c r="O108" i="52"/>
  <c r="P108" i="52"/>
  <c r="Q108" i="52"/>
  <c r="U107" i="52"/>
  <c r="T107" i="52"/>
  <c r="K108" i="52"/>
  <c r="L108" i="52"/>
  <c r="B110" i="52"/>
  <c r="M109" i="52"/>
  <c r="E109" i="52"/>
  <c r="C110" i="52" l="1"/>
  <c r="D110" i="52"/>
  <c r="O109" i="52"/>
  <c r="S109" i="52"/>
  <c r="N109" i="52"/>
  <c r="Q109" i="52"/>
  <c r="P109" i="52"/>
  <c r="T108" i="52"/>
  <c r="U108" i="52"/>
  <c r="K109" i="52"/>
  <c r="L109" i="52"/>
  <c r="B111" i="52"/>
  <c r="M110" i="52"/>
  <c r="E110" i="52"/>
  <c r="C111" i="52" l="1"/>
  <c r="D111" i="52"/>
  <c r="S110" i="52"/>
  <c r="O110" i="52"/>
  <c r="N110" i="52"/>
  <c r="P110" i="52"/>
  <c r="Q110" i="52"/>
  <c r="T109" i="52"/>
  <c r="U109" i="52"/>
  <c r="K110" i="52"/>
  <c r="L110" i="52"/>
  <c r="B112" i="52"/>
  <c r="M111" i="52"/>
  <c r="E111" i="52"/>
  <c r="C112" i="52" l="1"/>
  <c r="D112" i="52"/>
  <c r="N111" i="52"/>
  <c r="S111" i="52"/>
  <c r="O111" i="52"/>
  <c r="P111" i="52"/>
  <c r="Q111" i="52"/>
  <c r="T110" i="52"/>
  <c r="U110" i="52"/>
  <c r="K111" i="52"/>
  <c r="L111" i="52"/>
  <c r="B113" i="52"/>
  <c r="M112" i="52"/>
  <c r="E112" i="52"/>
  <c r="C113" i="52" l="1"/>
  <c r="D113" i="52"/>
  <c r="N112" i="52"/>
  <c r="O112" i="52"/>
  <c r="S112" i="52"/>
  <c r="P112" i="52"/>
  <c r="Q112" i="52"/>
  <c r="U111" i="52"/>
  <c r="T111" i="52"/>
  <c r="K112" i="52"/>
  <c r="L112" i="52"/>
  <c r="B114" i="52"/>
  <c r="M113" i="52"/>
  <c r="E113" i="52"/>
  <c r="C114" i="52" l="1"/>
  <c r="D114" i="52"/>
  <c r="O113" i="52"/>
  <c r="N113" i="52"/>
  <c r="S113" i="52"/>
  <c r="Q113" i="52"/>
  <c r="P113" i="52"/>
  <c r="U112" i="52"/>
  <c r="T112" i="52"/>
  <c r="K113" i="52"/>
  <c r="L113" i="52"/>
  <c r="B115" i="52"/>
  <c r="M114" i="52"/>
  <c r="E114" i="52"/>
  <c r="C115" i="52" l="1"/>
  <c r="D115" i="52"/>
  <c r="S114" i="52"/>
  <c r="N114" i="52"/>
  <c r="O114" i="52"/>
  <c r="P114" i="52"/>
  <c r="Q114" i="52"/>
  <c r="U113" i="52"/>
  <c r="T113" i="52"/>
  <c r="K114" i="52"/>
  <c r="L114" i="52"/>
  <c r="B116" i="52"/>
  <c r="M115" i="52"/>
  <c r="E115" i="52"/>
  <c r="C116" i="52" l="1"/>
  <c r="D116" i="52"/>
  <c r="S115" i="52"/>
  <c r="O115" i="52"/>
  <c r="N115" i="52"/>
  <c r="P115" i="52"/>
  <c r="Q115" i="52"/>
  <c r="U114" i="52"/>
  <c r="T114" i="52"/>
  <c r="K115" i="52"/>
  <c r="L115" i="52"/>
  <c r="B117" i="52"/>
  <c r="M116" i="52"/>
  <c r="E116" i="52"/>
  <c r="C117" i="52" l="1"/>
  <c r="D117" i="52"/>
  <c r="N116" i="52"/>
  <c r="S116" i="52"/>
  <c r="O116" i="52"/>
  <c r="P116" i="52"/>
  <c r="Q116" i="52"/>
  <c r="U115" i="52"/>
  <c r="T115" i="52"/>
  <c r="K116" i="52"/>
  <c r="L116" i="52"/>
  <c r="B118" i="52"/>
  <c r="M117" i="52"/>
  <c r="E117" i="52"/>
  <c r="C118" i="52" l="1"/>
  <c r="D118" i="52"/>
  <c r="O117" i="52"/>
  <c r="S117" i="52"/>
  <c r="N117" i="52"/>
  <c r="P117" i="52"/>
  <c r="Q117" i="52"/>
  <c r="T116" i="52"/>
  <c r="U116" i="52"/>
  <c r="K117" i="52"/>
  <c r="L117" i="52"/>
  <c r="B119" i="52"/>
  <c r="M118" i="52"/>
  <c r="E118" i="52"/>
  <c r="C119" i="52" l="1"/>
  <c r="D119" i="52"/>
  <c r="S118" i="52"/>
  <c r="N118" i="52"/>
  <c r="O118" i="52"/>
  <c r="Q118" i="52"/>
  <c r="P118" i="52"/>
  <c r="U117" i="52"/>
  <c r="T117" i="52"/>
  <c r="K118" i="52"/>
  <c r="L118" i="52"/>
  <c r="B120" i="52"/>
  <c r="M119" i="52"/>
  <c r="E119" i="52"/>
  <c r="C120" i="52" l="1"/>
  <c r="D120" i="52"/>
  <c r="O119" i="52"/>
  <c r="N119" i="52"/>
  <c r="S119" i="52"/>
  <c r="Q119" i="52"/>
  <c r="P119" i="52"/>
  <c r="U118" i="52"/>
  <c r="T118" i="52"/>
  <c r="K119" i="52"/>
  <c r="L119" i="52"/>
  <c r="B121" i="52"/>
  <c r="M120" i="52"/>
  <c r="E120" i="52"/>
  <c r="C121" i="52" l="1"/>
  <c r="D121" i="52"/>
  <c r="N120" i="52"/>
  <c r="O120" i="52"/>
  <c r="S120" i="52"/>
  <c r="P120" i="52"/>
  <c r="Q120" i="52"/>
  <c r="U119" i="52"/>
  <c r="T119" i="52"/>
  <c r="K120" i="52"/>
  <c r="L120" i="52"/>
  <c r="B122" i="52"/>
  <c r="M121" i="52"/>
  <c r="E121" i="52"/>
  <c r="C122" i="52" l="1"/>
  <c r="D122" i="52"/>
  <c r="O121" i="52"/>
  <c r="N121" i="52"/>
  <c r="S121" i="52"/>
  <c r="Q121" i="52"/>
  <c r="P121" i="52"/>
  <c r="U120" i="52"/>
  <c r="T120" i="52"/>
  <c r="K121" i="52"/>
  <c r="L121" i="52"/>
  <c r="B123" i="52"/>
  <c r="M122" i="52"/>
  <c r="E122" i="52"/>
  <c r="C123" i="52" l="1"/>
  <c r="D123" i="52"/>
  <c r="S122" i="52"/>
  <c r="O122" i="52"/>
  <c r="N122" i="52"/>
  <c r="Q122" i="52"/>
  <c r="P122" i="52"/>
  <c r="U121" i="52"/>
  <c r="T121" i="52"/>
  <c r="K122" i="52"/>
  <c r="L122" i="52"/>
  <c r="B124" i="52"/>
  <c r="M123" i="52"/>
  <c r="E123" i="52"/>
  <c r="C124" i="52" l="1"/>
  <c r="D124" i="52"/>
  <c r="N123" i="52"/>
  <c r="S123" i="52"/>
  <c r="O123" i="52"/>
  <c r="Q123" i="52"/>
  <c r="P123" i="52"/>
  <c r="U122" i="52"/>
  <c r="T122" i="52"/>
  <c r="K123" i="52"/>
  <c r="L123" i="52"/>
  <c r="B125" i="52"/>
  <c r="M124" i="52"/>
  <c r="E124" i="52"/>
  <c r="C125" i="52" l="1"/>
  <c r="D125" i="52"/>
  <c r="N124" i="52"/>
  <c r="S124" i="52"/>
  <c r="O124" i="52"/>
  <c r="Q124" i="52"/>
  <c r="P124" i="52"/>
  <c r="U123" i="52"/>
  <c r="T123" i="52"/>
  <c r="K124" i="52"/>
  <c r="L124" i="52"/>
  <c r="B126" i="52"/>
  <c r="M125" i="52"/>
  <c r="E125" i="52"/>
  <c r="C126" i="52" l="1"/>
  <c r="D126" i="52"/>
  <c r="O125" i="52"/>
  <c r="N125" i="52"/>
  <c r="S125" i="52"/>
  <c r="Q125" i="52"/>
  <c r="P125" i="52"/>
  <c r="T124" i="52"/>
  <c r="K125" i="52"/>
  <c r="L125" i="52"/>
  <c r="U124" i="52"/>
  <c r="B127" i="52"/>
  <c r="M126" i="52"/>
  <c r="E126" i="52"/>
  <c r="C127" i="52" l="1"/>
  <c r="D127" i="52"/>
  <c r="S126" i="52"/>
  <c r="O126" i="52"/>
  <c r="N126" i="52"/>
  <c r="P126" i="52"/>
  <c r="Q126" i="52"/>
  <c r="U125" i="52"/>
  <c r="T125" i="52"/>
  <c r="K126" i="52"/>
  <c r="L126" i="52"/>
  <c r="B128" i="52"/>
  <c r="M127" i="52"/>
  <c r="E127" i="52"/>
  <c r="C128" i="52" l="1"/>
  <c r="D128" i="52"/>
  <c r="O127" i="52"/>
  <c r="S127" i="52"/>
  <c r="N127" i="52"/>
  <c r="P127" i="52"/>
  <c r="Q127" i="52"/>
  <c r="U126" i="52"/>
  <c r="T126" i="52"/>
  <c r="K127" i="52"/>
  <c r="L127" i="52"/>
  <c r="B129" i="52"/>
  <c r="M128" i="52"/>
  <c r="E128" i="52"/>
  <c r="C129" i="52" l="1"/>
  <c r="D129" i="52"/>
  <c r="N128" i="52"/>
  <c r="O128" i="52"/>
  <c r="S128" i="52"/>
  <c r="P128" i="52"/>
  <c r="Q128" i="52"/>
  <c r="U127" i="52"/>
  <c r="T127" i="52"/>
  <c r="K128" i="52"/>
  <c r="L128" i="52"/>
  <c r="B130" i="52"/>
  <c r="M129" i="52"/>
  <c r="E129" i="52"/>
  <c r="C130" i="52" l="1"/>
  <c r="D130" i="52"/>
  <c r="O129" i="52"/>
  <c r="S129" i="52"/>
  <c r="N129" i="52"/>
  <c r="Q129" i="52"/>
  <c r="P129" i="52"/>
  <c r="T128" i="52"/>
  <c r="U128" i="52"/>
  <c r="K129" i="52"/>
  <c r="L129" i="52"/>
  <c r="B131" i="52"/>
  <c r="M130" i="52"/>
  <c r="E130" i="52"/>
  <c r="C131" i="52" l="1"/>
  <c r="D131" i="52"/>
  <c r="S130" i="52"/>
  <c r="N130" i="52"/>
  <c r="O130" i="52"/>
  <c r="P130" i="52"/>
  <c r="Q130" i="52"/>
  <c r="U129" i="52"/>
  <c r="T129" i="52"/>
  <c r="K130" i="52"/>
  <c r="L130" i="52"/>
  <c r="B132" i="52"/>
  <c r="M131" i="52"/>
  <c r="E131" i="52"/>
  <c r="C132" i="52" l="1"/>
  <c r="D132" i="52"/>
  <c r="S131" i="52"/>
  <c r="N131" i="52"/>
  <c r="O131" i="52"/>
  <c r="P131" i="52"/>
  <c r="Q131" i="52"/>
  <c r="T130" i="52"/>
  <c r="U130" i="52"/>
  <c r="K131" i="52"/>
  <c r="L131" i="52"/>
  <c r="B133" i="52"/>
  <c r="E132" i="52"/>
  <c r="M132" i="52"/>
  <c r="C133" i="52" l="1"/>
  <c r="D133" i="52"/>
  <c r="N132" i="52"/>
  <c r="O132" i="52"/>
  <c r="S132" i="52"/>
  <c r="P132" i="52"/>
  <c r="Q132" i="52"/>
  <c r="U131" i="52"/>
  <c r="T131" i="52"/>
  <c r="K132" i="52"/>
  <c r="L132" i="52"/>
  <c r="B134" i="52"/>
  <c r="M133" i="52"/>
  <c r="E133" i="52"/>
  <c r="C134" i="52" l="1"/>
  <c r="D134" i="52"/>
  <c r="O133" i="52"/>
  <c r="S133" i="52"/>
  <c r="N133" i="52"/>
  <c r="P133" i="52"/>
  <c r="Q133" i="52"/>
  <c r="T132" i="52"/>
  <c r="U132" i="52"/>
  <c r="K133" i="52"/>
  <c r="L133" i="52"/>
  <c r="B135" i="52"/>
  <c r="E134" i="52"/>
  <c r="M134" i="52"/>
  <c r="C135" i="52" l="1"/>
  <c r="D135" i="52"/>
  <c r="S134" i="52"/>
  <c r="O134" i="52"/>
  <c r="N134" i="52"/>
  <c r="Q134" i="52"/>
  <c r="P134" i="52"/>
  <c r="U133" i="52"/>
  <c r="T133" i="52"/>
  <c r="K134" i="52"/>
  <c r="L134" i="52"/>
  <c r="B136" i="52"/>
  <c r="M135" i="52"/>
  <c r="E135" i="52"/>
  <c r="C136" i="52" l="1"/>
  <c r="D136" i="52"/>
  <c r="O135" i="52"/>
  <c r="N135" i="52"/>
  <c r="S135" i="52"/>
  <c r="Q135" i="52"/>
  <c r="P135" i="52"/>
  <c r="U134" i="52"/>
  <c r="T134" i="52"/>
  <c r="K135" i="52"/>
  <c r="L135" i="52"/>
  <c r="B137" i="52"/>
  <c r="E136" i="52"/>
  <c r="M136" i="52"/>
  <c r="C137" i="52" l="1"/>
  <c r="D137" i="52"/>
  <c r="N136" i="52"/>
  <c r="O136" i="52"/>
  <c r="S136" i="52"/>
  <c r="Q136" i="52"/>
  <c r="P136" i="52"/>
  <c r="U135" i="52"/>
  <c r="T135" i="52"/>
  <c r="K136" i="52"/>
  <c r="L136" i="52"/>
  <c r="B138" i="52"/>
  <c r="M137" i="52"/>
  <c r="E137" i="52"/>
  <c r="C138" i="52" l="1"/>
  <c r="D138" i="52"/>
  <c r="U136" i="52"/>
  <c r="O137" i="52"/>
  <c r="N137" i="52"/>
  <c r="S137" i="52"/>
  <c r="Q137" i="52"/>
  <c r="P137" i="52"/>
  <c r="T136" i="52"/>
  <c r="K137" i="52"/>
  <c r="L137" i="52"/>
  <c r="B139" i="52"/>
  <c r="E138" i="52"/>
  <c r="M138" i="52"/>
  <c r="C139" i="52" l="1"/>
  <c r="D139" i="52"/>
  <c r="S138" i="52"/>
  <c r="N138" i="52"/>
  <c r="O138" i="52"/>
  <c r="P138" i="52"/>
  <c r="Q138" i="52"/>
  <c r="U137" i="52"/>
  <c r="T137" i="52"/>
  <c r="K138" i="52"/>
  <c r="L138" i="52"/>
  <c r="B140" i="52"/>
  <c r="M139" i="52"/>
  <c r="E139" i="52"/>
  <c r="C140" i="52" l="1"/>
  <c r="D140" i="52"/>
  <c r="S139" i="52"/>
  <c r="N139" i="52"/>
  <c r="O139" i="52"/>
  <c r="Q139" i="52"/>
  <c r="P139" i="52"/>
  <c r="U138" i="52"/>
  <c r="T138" i="52"/>
  <c r="K139" i="52"/>
  <c r="L139" i="52"/>
  <c r="B141" i="52"/>
  <c r="E140" i="52"/>
  <c r="M140" i="52"/>
  <c r="C141" i="52" l="1"/>
  <c r="D141" i="52"/>
  <c r="N140" i="52"/>
  <c r="S140" i="52"/>
  <c r="O140" i="52"/>
  <c r="Q140" i="52"/>
  <c r="P140" i="52"/>
  <c r="U139" i="52"/>
  <c r="T139" i="52"/>
  <c r="K140" i="52"/>
  <c r="L140" i="52"/>
  <c r="B142" i="52"/>
  <c r="M141" i="52"/>
  <c r="E141" i="52"/>
  <c r="C142" i="52" l="1"/>
  <c r="D142" i="52"/>
  <c r="O141" i="52"/>
  <c r="S141" i="52"/>
  <c r="N141" i="52"/>
  <c r="P141" i="52"/>
  <c r="Q141" i="52"/>
  <c r="U140" i="52"/>
  <c r="T140" i="52"/>
  <c r="K141" i="52"/>
  <c r="L141" i="52"/>
  <c r="B143" i="52"/>
  <c r="E142" i="52"/>
  <c r="M142" i="52"/>
  <c r="C143" i="52" l="1"/>
  <c r="D143" i="52"/>
  <c r="S142" i="52"/>
  <c r="O142" i="52"/>
  <c r="N142" i="52"/>
  <c r="Q142" i="52"/>
  <c r="P142" i="52"/>
  <c r="T141" i="52"/>
  <c r="U141" i="52"/>
  <c r="K142" i="52"/>
  <c r="L142" i="52"/>
  <c r="B144" i="52"/>
  <c r="M143" i="52"/>
  <c r="E143" i="52"/>
  <c r="C144" i="52" l="1"/>
  <c r="D144" i="52"/>
  <c r="O143" i="52"/>
  <c r="S143" i="52"/>
  <c r="N143" i="52"/>
  <c r="P143" i="52"/>
  <c r="Q143" i="52"/>
  <c r="U142" i="52"/>
  <c r="T142" i="52"/>
  <c r="K143" i="52"/>
  <c r="L143" i="52"/>
  <c r="B145" i="52"/>
  <c r="E144" i="52"/>
  <c r="M144" i="52"/>
  <c r="C145" i="52" l="1"/>
  <c r="D145" i="52"/>
  <c r="N144" i="52"/>
  <c r="O144" i="52"/>
  <c r="S144" i="52"/>
  <c r="P144" i="52"/>
  <c r="Q144" i="52"/>
  <c r="U143" i="52"/>
  <c r="T143" i="52"/>
  <c r="K144" i="52"/>
  <c r="L144" i="52"/>
  <c r="B146" i="52"/>
  <c r="M145" i="52"/>
  <c r="E145" i="52"/>
  <c r="C146" i="52" l="1"/>
  <c r="D146" i="52"/>
  <c r="O145" i="52"/>
  <c r="N145" i="52"/>
  <c r="S145" i="52"/>
  <c r="Q145" i="52"/>
  <c r="P145" i="52"/>
  <c r="U144" i="52"/>
  <c r="T144" i="52"/>
  <c r="K145" i="52"/>
  <c r="L145" i="52"/>
  <c r="B147" i="52"/>
  <c r="E146" i="52"/>
  <c r="M146" i="52"/>
  <c r="C147" i="52" l="1"/>
  <c r="D147" i="52"/>
  <c r="S146" i="52"/>
  <c r="N146" i="52"/>
  <c r="O146" i="52"/>
  <c r="P146" i="52"/>
  <c r="Q146" i="52"/>
  <c r="T145" i="52"/>
  <c r="U145" i="52"/>
  <c r="K146" i="52"/>
  <c r="L146" i="52"/>
  <c r="B148" i="52"/>
  <c r="M147" i="52"/>
  <c r="E147" i="52"/>
  <c r="C148" i="52" l="1"/>
  <c r="D148" i="52"/>
  <c r="N147" i="52"/>
  <c r="S147" i="52"/>
  <c r="O147" i="52"/>
  <c r="Q147" i="52"/>
  <c r="P147" i="52"/>
  <c r="U146" i="52"/>
  <c r="T146" i="52"/>
  <c r="K147" i="52"/>
  <c r="L147" i="52"/>
  <c r="B149" i="52"/>
  <c r="E148" i="52"/>
  <c r="M148" i="52"/>
  <c r="C149" i="52" l="1"/>
  <c r="D149" i="52"/>
  <c r="N148" i="52"/>
  <c r="S148" i="52"/>
  <c r="O148" i="52"/>
  <c r="P148" i="52"/>
  <c r="Q148" i="52"/>
  <c r="U147" i="52"/>
  <c r="T147" i="52"/>
  <c r="K148" i="52"/>
  <c r="L148" i="52"/>
  <c r="B150" i="52"/>
  <c r="M149" i="52"/>
  <c r="E149" i="52"/>
  <c r="C150" i="52" l="1"/>
  <c r="D150" i="52"/>
  <c r="O149" i="52"/>
  <c r="S149" i="52"/>
  <c r="N149" i="52"/>
  <c r="Q149" i="52"/>
  <c r="P149" i="52"/>
  <c r="T148" i="52"/>
  <c r="U148" i="52"/>
  <c r="K149" i="52"/>
  <c r="L149" i="52"/>
  <c r="B151" i="52"/>
  <c r="E150" i="52"/>
  <c r="M150" i="52"/>
  <c r="C151" i="52" l="1"/>
  <c r="D151" i="52"/>
  <c r="S150" i="52"/>
  <c r="O150" i="52"/>
  <c r="N150" i="52"/>
  <c r="Q150" i="52"/>
  <c r="P150" i="52"/>
  <c r="T149" i="52"/>
  <c r="U149" i="52"/>
  <c r="K150" i="52"/>
  <c r="L150" i="52"/>
  <c r="B152" i="52"/>
  <c r="M151" i="52"/>
  <c r="E151" i="52"/>
  <c r="C152" i="52" l="1"/>
  <c r="D152" i="52"/>
  <c r="N151" i="52"/>
  <c r="S151" i="52"/>
  <c r="O151" i="52"/>
  <c r="Q151" i="52"/>
  <c r="P151" i="52"/>
  <c r="U150" i="52"/>
  <c r="T150" i="52"/>
  <c r="K151" i="52"/>
  <c r="L151" i="52"/>
  <c r="B153" i="52"/>
  <c r="E152" i="52"/>
  <c r="M152" i="52"/>
  <c r="C153" i="52" l="1"/>
  <c r="D153" i="52"/>
  <c r="O152" i="52"/>
  <c r="N152" i="52"/>
  <c r="S152" i="52"/>
  <c r="Q152" i="52"/>
  <c r="P152" i="52"/>
  <c r="T151" i="52"/>
  <c r="U151" i="52"/>
  <c r="K152" i="52"/>
  <c r="L152" i="52"/>
  <c r="B154" i="52"/>
  <c r="M153" i="52"/>
  <c r="E153" i="52"/>
  <c r="C154" i="52" l="1"/>
  <c r="D154" i="52"/>
  <c r="S153" i="52"/>
  <c r="O153" i="52"/>
  <c r="N153" i="52"/>
  <c r="Q153" i="52"/>
  <c r="P153" i="52"/>
  <c r="U152" i="52"/>
  <c r="T152" i="52"/>
  <c r="K153" i="52"/>
  <c r="L153" i="52"/>
  <c r="B155" i="52"/>
  <c r="E154" i="52"/>
  <c r="M154" i="52"/>
  <c r="C155" i="52" l="1"/>
  <c r="D155" i="52"/>
  <c r="S154" i="52"/>
  <c r="O154" i="52"/>
  <c r="N154" i="52"/>
  <c r="Q154" i="52"/>
  <c r="P154" i="52"/>
  <c r="U153" i="52"/>
  <c r="T153" i="52"/>
  <c r="K154" i="52"/>
  <c r="L154" i="52"/>
  <c r="B156" i="52"/>
  <c r="M155" i="52"/>
  <c r="E155" i="52"/>
  <c r="C156" i="52" l="1"/>
  <c r="D156" i="52"/>
  <c r="N155" i="52"/>
  <c r="S155" i="52"/>
  <c r="O155" i="52"/>
  <c r="P155" i="52"/>
  <c r="Q155" i="52"/>
  <c r="U154" i="52"/>
  <c r="T154" i="52"/>
  <c r="K155" i="52"/>
  <c r="L155" i="52"/>
  <c r="B157" i="52"/>
  <c r="E156" i="52"/>
  <c r="M156" i="52"/>
  <c r="C157" i="52" l="1"/>
  <c r="D157" i="52"/>
  <c r="O156" i="52"/>
  <c r="N156" i="52"/>
  <c r="S156" i="52"/>
  <c r="Q156" i="52"/>
  <c r="P156" i="52"/>
  <c r="T155" i="52"/>
  <c r="U155" i="52"/>
  <c r="K156" i="52"/>
  <c r="L156" i="52"/>
  <c r="B158" i="52"/>
  <c r="M157" i="52"/>
  <c r="E157" i="52"/>
  <c r="C158" i="52" l="1"/>
  <c r="D158" i="52"/>
  <c r="S157" i="52"/>
  <c r="O157" i="52"/>
  <c r="N157" i="52"/>
  <c r="P157" i="52"/>
  <c r="Q157" i="52"/>
  <c r="U156" i="52"/>
  <c r="T156" i="52"/>
  <c r="K157" i="52"/>
  <c r="L157" i="52"/>
  <c r="B159" i="52"/>
  <c r="E158" i="52"/>
  <c r="M158" i="52"/>
  <c r="C159" i="52" l="1"/>
  <c r="D159" i="52"/>
  <c r="S158" i="52"/>
  <c r="O158" i="52"/>
  <c r="N158" i="52"/>
  <c r="P158" i="52"/>
  <c r="Q158" i="52"/>
  <c r="U157" i="52"/>
  <c r="T157" i="52"/>
  <c r="K158" i="52"/>
  <c r="L158" i="52"/>
  <c r="B160" i="52"/>
  <c r="M159" i="52"/>
  <c r="E159" i="52"/>
  <c r="C160" i="52" l="1"/>
  <c r="D160" i="52"/>
  <c r="N159" i="52"/>
  <c r="S159" i="52"/>
  <c r="O159" i="52"/>
  <c r="P159" i="52"/>
  <c r="Q159" i="52"/>
  <c r="T158" i="52"/>
  <c r="U158" i="52"/>
  <c r="K159" i="52"/>
  <c r="L159" i="52"/>
  <c r="B161" i="52"/>
  <c r="E160" i="52"/>
  <c r="M160" i="52"/>
  <c r="C161" i="52" l="1"/>
  <c r="D161" i="52"/>
  <c r="O160" i="52"/>
  <c r="N160" i="52"/>
  <c r="S160" i="52"/>
  <c r="P160" i="52"/>
  <c r="Q160" i="52"/>
  <c r="U159" i="52"/>
  <c r="T159" i="52"/>
  <c r="K160" i="52"/>
  <c r="L160" i="52"/>
  <c r="B162" i="52"/>
  <c r="M161" i="52"/>
  <c r="E161" i="52"/>
  <c r="C162" i="52" l="1"/>
  <c r="D162" i="52"/>
  <c r="S161" i="52"/>
  <c r="O161" i="52"/>
  <c r="N161" i="52"/>
  <c r="Q161" i="52"/>
  <c r="P161" i="52"/>
  <c r="U160" i="52"/>
  <c r="T160" i="52"/>
  <c r="K161" i="52"/>
  <c r="L161" i="52"/>
  <c r="B163" i="52"/>
  <c r="E162" i="52"/>
  <c r="M162" i="52"/>
  <c r="C163" i="52" l="1"/>
  <c r="D163" i="52"/>
  <c r="S162" i="52"/>
  <c r="O162" i="52"/>
  <c r="N162" i="52"/>
  <c r="P162" i="52"/>
  <c r="Q162" i="52"/>
  <c r="U161" i="52"/>
  <c r="T161" i="52"/>
  <c r="K162" i="52"/>
  <c r="L162" i="52"/>
  <c r="B164" i="52"/>
  <c r="M163" i="52"/>
  <c r="E163" i="52"/>
  <c r="C164" i="52" l="1"/>
  <c r="D164" i="52"/>
  <c r="N163" i="52"/>
  <c r="S163" i="52"/>
  <c r="O163" i="52"/>
  <c r="Q163" i="52"/>
  <c r="P163" i="52"/>
  <c r="U162" i="52"/>
  <c r="T162" i="52"/>
  <c r="K163" i="52"/>
  <c r="L163" i="52"/>
  <c r="B165" i="52"/>
  <c r="E164" i="52"/>
  <c r="M164" i="52"/>
  <c r="C165" i="52" l="1"/>
  <c r="D165" i="52"/>
  <c r="O164" i="52"/>
  <c r="N164" i="52"/>
  <c r="S164" i="52"/>
  <c r="P164" i="52"/>
  <c r="Q164" i="52"/>
  <c r="U163" i="52"/>
  <c r="T163" i="52"/>
  <c r="K164" i="52"/>
  <c r="L164" i="52"/>
  <c r="B166" i="52"/>
  <c r="E165" i="52"/>
  <c r="M165" i="52"/>
  <c r="C166" i="52" l="1"/>
  <c r="D166" i="52"/>
  <c r="S165" i="52"/>
  <c r="O165" i="52"/>
  <c r="N165" i="52"/>
  <c r="Q165" i="52"/>
  <c r="P165" i="52"/>
  <c r="U164" i="52"/>
  <c r="T164" i="52"/>
  <c r="K165" i="52"/>
  <c r="L165" i="52"/>
  <c r="B167" i="52"/>
  <c r="M166" i="52"/>
  <c r="E166" i="52"/>
  <c r="C167" i="52" l="1"/>
  <c r="D167" i="52"/>
  <c r="S166" i="52"/>
  <c r="O166" i="52"/>
  <c r="N166" i="52"/>
  <c r="Q166" i="52"/>
  <c r="P166" i="52"/>
  <c r="T165" i="52"/>
  <c r="U165" i="52"/>
  <c r="K166" i="52"/>
  <c r="L166" i="52"/>
  <c r="B168" i="52"/>
  <c r="E167" i="52"/>
  <c r="M167" i="52"/>
  <c r="C168" i="52" l="1"/>
  <c r="D168" i="52"/>
  <c r="N167" i="52"/>
  <c r="S167" i="52"/>
  <c r="O167" i="52"/>
  <c r="Q167" i="52"/>
  <c r="P167" i="52"/>
  <c r="U166" i="52"/>
  <c r="T166" i="52"/>
  <c r="K167" i="52"/>
  <c r="L167" i="52"/>
  <c r="B169" i="52"/>
  <c r="M168" i="52"/>
  <c r="E168" i="52"/>
  <c r="C169" i="52" l="1"/>
  <c r="D169" i="52"/>
  <c r="O168" i="52"/>
  <c r="N168" i="52"/>
  <c r="S168" i="52"/>
  <c r="Q168" i="52"/>
  <c r="P168" i="52"/>
  <c r="U167" i="52"/>
  <c r="T167" i="52"/>
  <c r="K168" i="52"/>
  <c r="L168" i="52"/>
  <c r="B170" i="52"/>
  <c r="E169" i="52"/>
  <c r="M169" i="52"/>
  <c r="U168" i="52" l="1"/>
  <c r="C170" i="52"/>
  <c r="D170" i="52"/>
  <c r="S169" i="52"/>
  <c r="O169" i="52"/>
  <c r="N169" i="52"/>
  <c r="Q169" i="52"/>
  <c r="P169" i="52"/>
  <c r="T168" i="52"/>
  <c r="K169" i="52"/>
  <c r="L169" i="52"/>
  <c r="B171" i="52"/>
  <c r="M170" i="52"/>
  <c r="E170" i="52"/>
  <c r="C171" i="52" l="1"/>
  <c r="D171" i="52"/>
  <c r="S170" i="52"/>
  <c r="O170" i="52"/>
  <c r="N170" i="52"/>
  <c r="Q170" i="52"/>
  <c r="P170" i="52"/>
  <c r="U169" i="52"/>
  <c r="T169" i="52"/>
  <c r="K170" i="52"/>
  <c r="L170" i="52"/>
  <c r="B172" i="52"/>
  <c r="E171" i="52"/>
  <c r="M171" i="52"/>
  <c r="C172" i="52" l="1"/>
  <c r="D172" i="52"/>
  <c r="N171" i="52"/>
  <c r="S171" i="52"/>
  <c r="O171" i="52"/>
  <c r="P171" i="52"/>
  <c r="Q171" i="52"/>
  <c r="U170" i="52"/>
  <c r="T170" i="52"/>
  <c r="K171" i="52"/>
  <c r="L171" i="52"/>
  <c r="B173" i="52"/>
  <c r="E172" i="52"/>
  <c r="M172" i="52"/>
  <c r="C173" i="52" l="1"/>
  <c r="D173" i="52"/>
  <c r="O172" i="52"/>
  <c r="N172" i="52"/>
  <c r="S172" i="52"/>
  <c r="Q172" i="52"/>
  <c r="P172" i="52"/>
  <c r="U171" i="52"/>
  <c r="T171" i="52"/>
  <c r="K172" i="52"/>
  <c r="L172" i="52"/>
  <c r="B174" i="52"/>
  <c r="E173" i="52"/>
  <c r="M173" i="52"/>
  <c r="C174" i="52" l="1"/>
  <c r="D174" i="52"/>
  <c r="S173" i="52"/>
  <c r="O173" i="52"/>
  <c r="N173" i="52"/>
  <c r="P173" i="52"/>
  <c r="Q173" i="52"/>
  <c r="T172" i="52"/>
  <c r="U172" i="52"/>
  <c r="K173" i="52"/>
  <c r="L173" i="52"/>
  <c r="B175" i="52"/>
  <c r="M174" i="52"/>
  <c r="E174" i="52"/>
  <c r="C175" i="52" l="1"/>
  <c r="D175" i="52"/>
  <c r="S174" i="52"/>
  <c r="O174" i="52"/>
  <c r="N174" i="52"/>
  <c r="Q174" i="52"/>
  <c r="P174" i="52"/>
  <c r="U173" i="52"/>
  <c r="T173" i="52"/>
  <c r="K174" i="52"/>
  <c r="L174" i="52"/>
  <c r="B176" i="52"/>
  <c r="E175" i="52"/>
  <c r="M175" i="52"/>
  <c r="C176" i="52" l="1"/>
  <c r="D176" i="52"/>
  <c r="N175" i="52"/>
  <c r="S175" i="52"/>
  <c r="O175" i="52"/>
  <c r="P175" i="52"/>
  <c r="Q175" i="52"/>
  <c r="T174" i="52"/>
  <c r="U174" i="52"/>
  <c r="K175" i="52"/>
  <c r="L175" i="52"/>
  <c r="B177" i="52"/>
  <c r="M176" i="52"/>
  <c r="E176" i="52"/>
  <c r="C177" i="52" l="1"/>
  <c r="D177" i="52"/>
  <c r="O176" i="52"/>
  <c r="N176" i="52"/>
  <c r="S176" i="52"/>
  <c r="P176" i="52"/>
  <c r="Q176" i="52"/>
  <c r="U175" i="52"/>
  <c r="T175" i="52"/>
  <c r="K176" i="52"/>
  <c r="L176" i="52"/>
  <c r="B178" i="52"/>
  <c r="E177" i="52"/>
  <c r="M177" i="52"/>
  <c r="C178" i="52" l="1"/>
  <c r="D178" i="52"/>
  <c r="S177" i="52"/>
  <c r="O177" i="52"/>
  <c r="N177" i="52"/>
  <c r="Q177" i="52"/>
  <c r="P177" i="52"/>
  <c r="T176" i="52"/>
  <c r="U176" i="52"/>
  <c r="K177" i="52"/>
  <c r="L177" i="52"/>
  <c r="B179" i="52"/>
  <c r="M178" i="52"/>
  <c r="E178" i="52"/>
  <c r="C179" i="52" l="1"/>
  <c r="D179" i="52"/>
  <c r="S178" i="52"/>
  <c r="O178" i="52"/>
  <c r="N178" i="52"/>
  <c r="P178" i="52"/>
  <c r="Q178" i="52"/>
  <c r="U177" i="52"/>
  <c r="T177" i="52"/>
  <c r="K178" i="52"/>
  <c r="L178" i="52"/>
  <c r="B180" i="52"/>
  <c r="E179" i="52"/>
  <c r="M179" i="52"/>
  <c r="C180" i="52" l="1"/>
  <c r="D180" i="52"/>
  <c r="N179" i="52"/>
  <c r="O179" i="52"/>
  <c r="S179" i="52"/>
  <c r="P179" i="52"/>
  <c r="Q179" i="52"/>
  <c r="U178" i="52"/>
  <c r="T178" i="52"/>
  <c r="K179" i="52"/>
  <c r="L179" i="52"/>
  <c r="B181" i="52"/>
  <c r="E180" i="52"/>
  <c r="M180" i="52"/>
  <c r="C181" i="52" l="1"/>
  <c r="D181" i="52"/>
  <c r="O180" i="52"/>
  <c r="S180" i="52"/>
  <c r="N180" i="52"/>
  <c r="P180" i="52"/>
  <c r="Q180" i="52"/>
  <c r="U179" i="52"/>
  <c r="T179" i="52"/>
  <c r="K180" i="52"/>
  <c r="L180" i="52"/>
  <c r="B182" i="52"/>
  <c r="E181" i="52"/>
  <c r="M181" i="52"/>
  <c r="C182" i="52" l="1"/>
  <c r="D182" i="52"/>
  <c r="S181" i="52"/>
  <c r="N181" i="52"/>
  <c r="O181" i="52"/>
  <c r="Q181" i="52"/>
  <c r="P181" i="52"/>
  <c r="U180" i="52"/>
  <c r="T180" i="52"/>
  <c r="K181" i="52"/>
  <c r="L181" i="52"/>
  <c r="B183" i="52"/>
  <c r="M182" i="52"/>
  <c r="E182" i="52"/>
  <c r="C183" i="52" l="1"/>
  <c r="D183" i="52"/>
  <c r="S182" i="52"/>
  <c r="O182" i="52"/>
  <c r="N182" i="52"/>
  <c r="Q182" i="52"/>
  <c r="P182" i="52"/>
  <c r="U181" i="52"/>
  <c r="T181" i="52"/>
  <c r="K182" i="52"/>
  <c r="L182" i="52"/>
  <c r="B184" i="52"/>
  <c r="E183" i="52"/>
  <c r="M183" i="52"/>
  <c r="C184" i="52" l="1"/>
  <c r="D184" i="52"/>
  <c r="U182" i="52"/>
  <c r="N183" i="52"/>
  <c r="S183" i="52"/>
  <c r="O183" i="52"/>
  <c r="Q183" i="52"/>
  <c r="P183" i="52"/>
  <c r="T182" i="52"/>
  <c r="K183" i="52"/>
  <c r="L183" i="52"/>
  <c r="B185" i="52"/>
  <c r="M184" i="52"/>
  <c r="E184" i="52"/>
  <c r="C185" i="52" l="1"/>
  <c r="D185" i="52"/>
  <c r="O184" i="52"/>
  <c r="S184" i="52"/>
  <c r="N184" i="52"/>
  <c r="Q184" i="52"/>
  <c r="P184" i="52"/>
  <c r="T183" i="52"/>
  <c r="U183" i="52"/>
  <c r="K184" i="52"/>
  <c r="L184" i="52"/>
  <c r="B186" i="52"/>
  <c r="M185" i="52"/>
  <c r="E185" i="52"/>
  <c r="C186" i="52" l="1"/>
  <c r="D186" i="52"/>
  <c r="S185" i="52"/>
  <c r="O185" i="52"/>
  <c r="N185" i="52"/>
  <c r="Q185" i="52"/>
  <c r="P185" i="52"/>
  <c r="T184" i="52"/>
  <c r="U184" i="52"/>
  <c r="K185" i="52"/>
  <c r="L185" i="52"/>
  <c r="B187" i="52"/>
  <c r="M186" i="52"/>
  <c r="E186" i="52"/>
  <c r="C187" i="52" l="1"/>
  <c r="D187" i="52"/>
  <c r="O186" i="52"/>
  <c r="N186" i="52"/>
  <c r="S186" i="52"/>
  <c r="Q186" i="52"/>
  <c r="P186" i="52"/>
  <c r="U185" i="52"/>
  <c r="T185" i="52"/>
  <c r="K186" i="52"/>
  <c r="L186" i="52"/>
  <c r="B188" i="52"/>
  <c r="M187" i="52"/>
  <c r="E187" i="52"/>
  <c r="C188" i="52" l="1"/>
  <c r="D188" i="52"/>
  <c r="N187" i="52"/>
  <c r="S187" i="52"/>
  <c r="O187" i="52"/>
  <c r="Q187" i="52"/>
  <c r="P187" i="52"/>
  <c r="U186" i="52"/>
  <c r="T186" i="52"/>
  <c r="K187" i="52"/>
  <c r="L187" i="52"/>
  <c r="B189" i="52"/>
  <c r="M188" i="52"/>
  <c r="E188" i="52"/>
  <c r="C189" i="52" l="1"/>
  <c r="D189" i="52"/>
  <c r="O188" i="52"/>
  <c r="N188" i="52"/>
  <c r="S188" i="52"/>
  <c r="Q188" i="52"/>
  <c r="P188" i="52"/>
  <c r="T187" i="52"/>
  <c r="U187" i="52"/>
  <c r="K188" i="52"/>
  <c r="L188" i="52"/>
  <c r="B190" i="52"/>
  <c r="M189" i="52"/>
  <c r="E189" i="52"/>
  <c r="C190" i="52" l="1"/>
  <c r="D190" i="52"/>
  <c r="S189" i="52"/>
  <c r="O189" i="52"/>
  <c r="N189" i="52"/>
  <c r="P189" i="52"/>
  <c r="Q189" i="52"/>
  <c r="U188" i="52"/>
  <c r="T188" i="52"/>
  <c r="K189" i="52"/>
  <c r="L189" i="52"/>
  <c r="B191" i="52"/>
  <c r="M190" i="52"/>
  <c r="E190" i="52"/>
  <c r="C191" i="52" l="1"/>
  <c r="D191" i="52"/>
  <c r="N190" i="52"/>
  <c r="S190" i="52"/>
  <c r="O190" i="52"/>
  <c r="P190" i="52"/>
  <c r="Q190" i="52"/>
  <c r="U189" i="52"/>
  <c r="T189" i="52"/>
  <c r="K190" i="52"/>
  <c r="L190" i="52"/>
  <c r="B192" i="52"/>
  <c r="M191" i="52"/>
  <c r="E191" i="52"/>
  <c r="C192" i="52" l="1"/>
  <c r="D192" i="52"/>
  <c r="N191" i="52"/>
  <c r="S191" i="52"/>
  <c r="O191" i="52"/>
  <c r="P191" i="52"/>
  <c r="Q191" i="52"/>
  <c r="U190" i="52"/>
  <c r="T190" i="52"/>
  <c r="K191" i="52"/>
  <c r="L191" i="52"/>
  <c r="B193" i="52"/>
  <c r="M192" i="52"/>
  <c r="E192" i="52"/>
  <c r="C193" i="52" l="1"/>
  <c r="D193" i="52"/>
  <c r="O192" i="52"/>
  <c r="S192" i="52"/>
  <c r="N192" i="52"/>
  <c r="P192" i="52"/>
  <c r="Q192" i="52"/>
  <c r="U191" i="52"/>
  <c r="T191" i="52"/>
  <c r="K192" i="52"/>
  <c r="L192" i="52"/>
  <c r="B194" i="52"/>
  <c r="M193" i="52"/>
  <c r="E193" i="52"/>
  <c r="C194" i="52" l="1"/>
  <c r="D194" i="52"/>
  <c r="S193" i="52"/>
  <c r="O193" i="52"/>
  <c r="N193" i="52"/>
  <c r="Q193" i="52"/>
  <c r="P193" i="52"/>
  <c r="T192" i="52"/>
  <c r="U192" i="52"/>
  <c r="K193" i="52"/>
  <c r="L193" i="52"/>
  <c r="B195" i="52"/>
  <c r="M194" i="52"/>
  <c r="E194" i="52"/>
  <c r="C195" i="52" l="1"/>
  <c r="D195" i="52"/>
  <c r="S194" i="52"/>
  <c r="O194" i="52"/>
  <c r="N194" i="52"/>
  <c r="P194" i="52"/>
  <c r="Q194" i="52"/>
  <c r="U193" i="52"/>
  <c r="T193" i="52"/>
  <c r="K194" i="52"/>
  <c r="L194" i="52"/>
  <c r="B196" i="52"/>
  <c r="M195" i="52"/>
  <c r="E195" i="52"/>
  <c r="C196" i="52" l="1"/>
  <c r="D196" i="52"/>
  <c r="N195" i="52"/>
  <c r="O195" i="52"/>
  <c r="S195" i="52"/>
  <c r="P195" i="52"/>
  <c r="Q195" i="52"/>
  <c r="U194" i="52"/>
  <c r="T194" i="52"/>
  <c r="K195" i="52"/>
  <c r="L195" i="52"/>
  <c r="B197" i="52"/>
  <c r="M196" i="52"/>
  <c r="E196" i="52"/>
  <c r="C197" i="52" l="1"/>
  <c r="D197" i="52"/>
  <c r="O196" i="52"/>
  <c r="S196" i="52"/>
  <c r="N196" i="52"/>
  <c r="P196" i="52"/>
  <c r="Q196" i="52"/>
  <c r="U195" i="52"/>
  <c r="T195" i="52"/>
  <c r="K196" i="52"/>
  <c r="L196" i="52"/>
  <c r="B198" i="52"/>
  <c r="M197" i="52"/>
  <c r="E197" i="52"/>
  <c r="C198" i="52" l="1"/>
  <c r="D198" i="52"/>
  <c r="U196" i="52"/>
  <c r="S197" i="52"/>
  <c r="N197" i="52"/>
  <c r="O197" i="52"/>
  <c r="Q197" i="52"/>
  <c r="P197" i="52"/>
  <c r="T196" i="52"/>
  <c r="K197" i="52"/>
  <c r="L197" i="52"/>
  <c r="B199" i="52"/>
  <c r="M198" i="52"/>
  <c r="E198" i="52"/>
  <c r="C199" i="52" l="1"/>
  <c r="D199" i="52"/>
  <c r="S198" i="52"/>
  <c r="O198" i="52"/>
  <c r="N198" i="52"/>
  <c r="Q198" i="52"/>
  <c r="P198" i="52"/>
  <c r="U197" i="52"/>
  <c r="T197" i="52"/>
  <c r="K198" i="52"/>
  <c r="L198" i="52"/>
  <c r="B200" i="52"/>
  <c r="M199" i="52"/>
  <c r="E199" i="52"/>
  <c r="C200" i="52" l="1"/>
  <c r="D200" i="52"/>
  <c r="N199" i="52"/>
  <c r="S199" i="52"/>
  <c r="O199" i="52"/>
  <c r="Q199" i="52"/>
  <c r="P199" i="52"/>
  <c r="T198" i="52"/>
  <c r="U198" i="52"/>
  <c r="K199" i="52"/>
  <c r="L199" i="52"/>
  <c r="B201" i="52"/>
  <c r="M200" i="52"/>
  <c r="E200" i="52"/>
  <c r="C201" i="52" l="1"/>
  <c r="D201" i="52"/>
  <c r="O200" i="52"/>
  <c r="S200" i="52"/>
  <c r="N200" i="52"/>
  <c r="Q200" i="52"/>
  <c r="P200" i="52"/>
  <c r="U199" i="52"/>
  <c r="T199" i="52"/>
  <c r="K200" i="52"/>
  <c r="L200" i="52"/>
  <c r="B202" i="52"/>
  <c r="M201" i="52"/>
  <c r="E201" i="52"/>
  <c r="C202" i="52" l="1"/>
  <c r="D202" i="52"/>
  <c r="S201" i="52"/>
  <c r="O201" i="52"/>
  <c r="N201" i="52"/>
  <c r="Q201" i="52"/>
  <c r="P201" i="52"/>
  <c r="T200" i="52"/>
  <c r="U200" i="52"/>
  <c r="K201" i="52"/>
  <c r="L201" i="52"/>
  <c r="B203" i="52"/>
  <c r="M202" i="52"/>
  <c r="E202" i="52"/>
  <c r="C203" i="52" l="1"/>
  <c r="D203" i="52"/>
  <c r="O202" i="52"/>
  <c r="N202" i="52"/>
  <c r="S202" i="52"/>
  <c r="P202" i="52"/>
  <c r="Q202" i="52"/>
  <c r="U201" i="52"/>
  <c r="T201" i="52"/>
  <c r="K202" i="52"/>
  <c r="L202" i="52"/>
  <c r="B204" i="52"/>
  <c r="M203" i="52"/>
  <c r="E203" i="52"/>
  <c r="C204" i="52" l="1"/>
  <c r="D204" i="52"/>
  <c r="N203" i="52"/>
  <c r="S203" i="52"/>
  <c r="O203" i="52"/>
  <c r="P203" i="52"/>
  <c r="Q203" i="52"/>
  <c r="T202" i="52"/>
  <c r="U202" i="52"/>
  <c r="K203" i="52"/>
  <c r="L203" i="52"/>
  <c r="B205" i="52"/>
  <c r="E204" i="52"/>
  <c r="M204" i="52"/>
  <c r="C205" i="52" l="1"/>
  <c r="D205" i="52"/>
  <c r="O204" i="52"/>
  <c r="N204" i="52"/>
  <c r="S204" i="52"/>
  <c r="Q204" i="52"/>
  <c r="P204" i="52"/>
  <c r="U203" i="52"/>
  <c r="T203" i="52"/>
  <c r="K204" i="52"/>
  <c r="L204" i="52"/>
  <c r="B206" i="52"/>
  <c r="E205" i="52"/>
  <c r="M205" i="52"/>
  <c r="C206" i="52" l="1"/>
  <c r="D206" i="52"/>
  <c r="S205" i="52"/>
  <c r="O205" i="52"/>
  <c r="N205" i="52"/>
  <c r="P205" i="52"/>
  <c r="Q205" i="52"/>
  <c r="U204" i="52"/>
  <c r="T204" i="52"/>
  <c r="K205" i="52"/>
  <c r="L205" i="52"/>
  <c r="B207" i="52"/>
  <c r="E206" i="52"/>
  <c r="M206" i="52"/>
  <c r="C207" i="52" l="1"/>
  <c r="D207" i="52"/>
  <c r="N206" i="52"/>
  <c r="S206" i="52"/>
  <c r="O206" i="52"/>
  <c r="Q206" i="52"/>
  <c r="P206" i="52"/>
  <c r="U205" i="52"/>
  <c r="T205" i="52"/>
  <c r="K206" i="52"/>
  <c r="L206" i="52"/>
  <c r="B208" i="52"/>
  <c r="M207" i="52"/>
  <c r="E207" i="52"/>
  <c r="C208" i="52" l="1"/>
  <c r="D208" i="52"/>
  <c r="N207" i="52"/>
  <c r="S207" i="52"/>
  <c r="O207" i="52"/>
  <c r="P207" i="52"/>
  <c r="Q207" i="52"/>
  <c r="U206" i="52"/>
  <c r="T206" i="52"/>
  <c r="K207" i="52"/>
  <c r="L207" i="52"/>
  <c r="B209" i="52"/>
  <c r="E208" i="52"/>
  <c r="M208" i="52"/>
  <c r="C209" i="52" l="1"/>
  <c r="D209" i="52"/>
  <c r="O208" i="52"/>
  <c r="S208" i="52"/>
  <c r="N208" i="52"/>
  <c r="P208" i="52"/>
  <c r="Q208" i="52"/>
  <c r="T207" i="52"/>
  <c r="U207" i="52"/>
  <c r="K208" i="52"/>
  <c r="L208" i="52"/>
  <c r="B210" i="52"/>
  <c r="M209" i="52"/>
  <c r="E209" i="52"/>
  <c r="C210" i="52" l="1"/>
  <c r="D210" i="52"/>
  <c r="S209" i="52"/>
  <c r="O209" i="52"/>
  <c r="N209" i="52"/>
  <c r="Q209" i="52"/>
  <c r="P209" i="52"/>
  <c r="U208" i="52"/>
  <c r="T208" i="52"/>
  <c r="K209" i="52"/>
  <c r="L209" i="52"/>
  <c r="B211" i="52"/>
  <c r="E210" i="52"/>
  <c r="M210" i="52"/>
  <c r="C211" i="52" l="1"/>
  <c r="D211" i="52"/>
  <c r="S210" i="52"/>
  <c r="O210" i="52"/>
  <c r="N210" i="52"/>
  <c r="P210" i="52"/>
  <c r="Q210" i="52"/>
  <c r="T209" i="52"/>
  <c r="U209" i="52"/>
  <c r="K210" i="52"/>
  <c r="L210" i="52"/>
  <c r="B212" i="52"/>
  <c r="M211" i="52"/>
  <c r="E211" i="52"/>
  <c r="C212" i="52" l="1"/>
  <c r="D212" i="52"/>
  <c r="O211" i="52"/>
  <c r="S211" i="52"/>
  <c r="N211" i="52"/>
  <c r="Q211" i="52"/>
  <c r="P211" i="52"/>
  <c r="U210" i="52"/>
  <c r="T210" i="52"/>
  <c r="K211" i="52"/>
  <c r="L211" i="52"/>
  <c r="B213" i="52"/>
  <c r="E212" i="52"/>
  <c r="M212" i="52"/>
  <c r="C213" i="52" l="1"/>
  <c r="D213" i="52"/>
  <c r="N212" i="52"/>
  <c r="S212" i="52"/>
  <c r="O212" i="52"/>
  <c r="P212" i="52"/>
  <c r="Q212" i="52"/>
  <c r="T211" i="52"/>
  <c r="U211" i="52"/>
  <c r="K212" i="52"/>
  <c r="L212" i="52"/>
  <c r="B214" i="52"/>
  <c r="E213" i="52"/>
  <c r="M213" i="52"/>
  <c r="C214" i="52" l="1"/>
  <c r="D214" i="52"/>
  <c r="O213" i="52"/>
  <c r="N213" i="52"/>
  <c r="S213" i="52"/>
  <c r="Q213" i="52"/>
  <c r="P213" i="52"/>
  <c r="U212" i="52"/>
  <c r="T212" i="52"/>
  <c r="K213" i="52"/>
  <c r="L213" i="52"/>
  <c r="B215" i="52"/>
  <c r="E214" i="52"/>
  <c r="M214" i="52"/>
  <c r="C215" i="52" l="1"/>
  <c r="D215" i="52"/>
  <c r="S214" i="52"/>
  <c r="N214" i="52"/>
  <c r="O214" i="52"/>
  <c r="Q214" i="52"/>
  <c r="P214" i="52"/>
  <c r="U213" i="52"/>
  <c r="T213" i="52"/>
  <c r="K214" i="52"/>
  <c r="L214" i="52"/>
  <c r="B216" i="52"/>
  <c r="M215" i="52"/>
  <c r="E215" i="52"/>
  <c r="C216" i="52" l="1"/>
  <c r="D216" i="52"/>
  <c r="N215" i="52"/>
  <c r="S215" i="52"/>
  <c r="O215" i="52"/>
  <c r="Q215" i="52"/>
  <c r="P215" i="52"/>
  <c r="U214" i="52"/>
  <c r="T214" i="52"/>
  <c r="K215" i="52"/>
  <c r="L215" i="52"/>
  <c r="B217" i="52"/>
  <c r="E216" i="52"/>
  <c r="M216" i="52"/>
  <c r="C217" i="52" l="1"/>
  <c r="D217" i="52"/>
  <c r="N216" i="52"/>
  <c r="S216" i="52"/>
  <c r="O216" i="52"/>
  <c r="Q216" i="52"/>
  <c r="P216" i="52"/>
  <c r="U215" i="52"/>
  <c r="T215" i="52"/>
  <c r="K216" i="52"/>
  <c r="L216" i="52"/>
  <c r="B218" i="52"/>
  <c r="M217" i="52"/>
  <c r="E217" i="52"/>
  <c r="C218" i="52" l="1"/>
  <c r="D218" i="52"/>
  <c r="O217" i="52"/>
  <c r="S217" i="52"/>
  <c r="N217" i="52"/>
  <c r="Q217" i="52"/>
  <c r="P217" i="52"/>
  <c r="U216" i="52"/>
  <c r="T216" i="52"/>
  <c r="K217" i="52"/>
  <c r="L217" i="52"/>
  <c r="B219" i="52"/>
  <c r="E218" i="52"/>
  <c r="M218" i="52"/>
  <c r="C219" i="52" l="1"/>
  <c r="D219" i="52"/>
  <c r="U217" i="52"/>
  <c r="S218" i="52"/>
  <c r="O218" i="52"/>
  <c r="N218" i="52"/>
  <c r="Q218" i="52"/>
  <c r="P218" i="52"/>
  <c r="T217" i="52"/>
  <c r="K218" i="52"/>
  <c r="L218" i="52"/>
  <c r="B220" i="52"/>
  <c r="M219" i="52"/>
  <c r="E219" i="52"/>
  <c r="C220" i="52" l="1"/>
  <c r="D220" i="52"/>
  <c r="N219" i="52"/>
  <c r="S219" i="52"/>
  <c r="O219" i="52"/>
  <c r="P219" i="52"/>
  <c r="Q219" i="52"/>
  <c r="U218" i="52"/>
  <c r="T218" i="52"/>
  <c r="K219" i="52"/>
  <c r="L219" i="52"/>
  <c r="B221" i="52"/>
  <c r="E220" i="52"/>
  <c r="M220" i="52"/>
  <c r="C221" i="52" l="1"/>
  <c r="D221" i="52"/>
  <c r="N220" i="52"/>
  <c r="O220" i="52"/>
  <c r="S220" i="52"/>
  <c r="Q220" i="52"/>
  <c r="P220" i="52"/>
  <c r="U219" i="52"/>
  <c r="T219" i="52"/>
  <c r="K220" i="52"/>
  <c r="L220" i="52"/>
  <c r="B222" i="52"/>
  <c r="E221" i="52"/>
  <c r="M221" i="52"/>
  <c r="C222" i="52" l="1"/>
  <c r="D222" i="52"/>
  <c r="S221" i="52"/>
  <c r="O221" i="52"/>
  <c r="N221" i="52"/>
  <c r="P221" i="52"/>
  <c r="Q221" i="52"/>
  <c r="U220" i="52"/>
  <c r="T220" i="52"/>
  <c r="K221" i="52"/>
  <c r="L221" i="52"/>
  <c r="B223" i="52"/>
  <c r="M222" i="52"/>
  <c r="E222" i="52"/>
  <c r="C223" i="52" l="1"/>
  <c r="C228" i="52" s="1"/>
  <c r="D223" i="52"/>
  <c r="D228" i="52" s="1"/>
  <c r="O222" i="52"/>
  <c r="S222" i="52"/>
  <c r="N222" i="52"/>
  <c r="P222" i="52"/>
  <c r="Q222" i="52"/>
  <c r="U221" i="52"/>
  <c r="T221" i="52"/>
  <c r="K222" i="52"/>
  <c r="L222" i="52"/>
  <c r="E223" i="52"/>
  <c r="M223" i="52"/>
  <c r="I8" i="52" l="1"/>
  <c r="H8" i="52"/>
  <c r="I11" i="52"/>
  <c r="I9" i="52"/>
  <c r="I13" i="52"/>
  <c r="I10" i="52"/>
  <c r="I12" i="52"/>
  <c r="I15" i="52"/>
  <c r="I14" i="52"/>
  <c r="I16" i="52"/>
  <c r="I17" i="52"/>
  <c r="I18" i="52"/>
  <c r="I19" i="52"/>
  <c r="I20" i="52"/>
  <c r="I21" i="52"/>
  <c r="I22" i="52"/>
  <c r="I24" i="52"/>
  <c r="I23" i="52"/>
  <c r="I25" i="52"/>
  <c r="N223" i="52"/>
  <c r="N228" i="52" s="1"/>
  <c r="S223" i="52"/>
  <c r="O223" i="52"/>
  <c r="O228" i="52" s="1"/>
  <c r="Q223" i="52"/>
  <c r="Q228" i="52" s="1"/>
  <c r="P223" i="52"/>
  <c r="P228" i="52" s="1"/>
  <c r="U222" i="52"/>
  <c r="T222" i="52"/>
  <c r="K223" i="52"/>
  <c r="L223" i="52"/>
  <c r="U223" i="52" l="1"/>
  <c r="T223" i="52"/>
  <c r="K10" i="45" l="1"/>
  <c r="I11" i="45" l="1"/>
  <c r="K11" i="45" s="1"/>
  <c r="I12" i="45" l="1"/>
  <c r="I13" i="45" s="1"/>
  <c r="I14" i="45" s="1"/>
  <c r="K13" i="45" l="1"/>
  <c r="K12" i="45"/>
  <c r="K14" i="45"/>
  <c r="I15" i="45"/>
  <c r="K15" i="45" l="1"/>
  <c r="I16" i="45"/>
  <c r="K16" i="45" l="1"/>
  <c r="I17" i="45"/>
  <c r="K17" i="45" l="1"/>
  <c r="I18" i="45"/>
  <c r="K18" i="45" l="1"/>
  <c r="I19" i="45"/>
  <c r="K19" i="45" l="1"/>
  <c r="I20" i="45"/>
  <c r="K20" i="45" l="1"/>
  <c r="I21" i="45"/>
  <c r="AA11" i="52" l="1"/>
  <c r="I22" i="45"/>
  <c r="K21" i="45"/>
  <c r="I28" i="52" l="1"/>
  <c r="X16" i="52"/>
  <c r="Z23" i="52"/>
  <c r="AA18" i="52"/>
  <c r="X17" i="52"/>
  <c r="X18" i="52"/>
  <c r="X12" i="52"/>
  <c r="Z12" i="52"/>
  <c r="X8" i="52"/>
  <c r="AA10" i="52"/>
  <c r="Y15" i="52"/>
  <c r="AA12" i="52"/>
  <c r="Y18" i="52"/>
  <c r="X19" i="52"/>
  <c r="AA13" i="52"/>
  <c r="Z16" i="52"/>
  <c r="H14" i="52"/>
  <c r="H24" i="52"/>
  <c r="H11" i="52"/>
  <c r="H16" i="52"/>
  <c r="H15" i="52"/>
  <c r="H21" i="52"/>
  <c r="AA17" i="52"/>
  <c r="H23" i="52"/>
  <c r="H9" i="52"/>
  <c r="Z8" i="52"/>
  <c r="Z21" i="52"/>
  <c r="H25" i="52"/>
  <c r="H17" i="52"/>
  <c r="H20" i="52"/>
  <c r="X15" i="52"/>
  <c r="Z24" i="52"/>
  <c r="Y11" i="52"/>
  <c r="AA23" i="52"/>
  <c r="Y25" i="52"/>
  <c r="H12" i="52"/>
  <c r="H13" i="52"/>
  <c r="H19" i="52"/>
  <c r="X22" i="52"/>
  <c r="X13" i="52"/>
  <c r="Y14" i="52"/>
  <c r="AA25" i="52"/>
  <c r="Y13" i="52"/>
  <c r="Z18" i="52"/>
  <c r="H22" i="52"/>
  <c r="Y10" i="52"/>
  <c r="AA24" i="52"/>
  <c r="Z14" i="52"/>
  <c r="X14" i="52"/>
  <c r="AA14" i="52"/>
  <c r="AA22" i="52"/>
  <c r="AA21" i="52"/>
  <c r="Y22" i="52"/>
  <c r="AA9" i="52"/>
  <c r="Y24" i="52"/>
  <c r="H18" i="52"/>
  <c r="AA20" i="52"/>
  <c r="Z19" i="52"/>
  <c r="AA8" i="52"/>
  <c r="Z10" i="52"/>
  <c r="Z15" i="52"/>
  <c r="Y8" i="52"/>
  <c r="AA16" i="52"/>
  <c r="Y12" i="52"/>
  <c r="X23" i="52"/>
  <c r="Y9" i="52"/>
  <c r="AA19" i="52"/>
  <c r="Y23" i="52"/>
  <c r="Z25" i="52"/>
  <c r="H10" i="52"/>
  <c r="Z20" i="52"/>
  <c r="X10" i="52"/>
  <c r="Y21" i="52"/>
  <c r="Z11" i="52"/>
  <c r="X11" i="52"/>
  <c r="X20" i="52"/>
  <c r="AA15" i="52"/>
  <c r="Y20" i="52"/>
  <c r="Y19" i="52"/>
  <c r="Z9" i="52"/>
  <c r="Y17" i="52"/>
  <c r="X25" i="52"/>
  <c r="X24" i="52"/>
  <c r="X21" i="52"/>
  <c r="X9" i="52"/>
  <c r="Z22" i="52"/>
  <c r="Z13" i="52"/>
  <c r="Y16" i="52"/>
  <c r="Z17" i="52"/>
  <c r="K22" i="45"/>
  <c r="I23" i="45"/>
  <c r="AD21" i="52" l="1"/>
  <c r="X37" i="52"/>
  <c r="AD39" i="52"/>
  <c r="AF39" i="52"/>
  <c r="AG21" i="52"/>
  <c r="AE21" i="52"/>
  <c r="AF21" i="52"/>
  <c r="AE39" i="52"/>
  <c r="AG39" i="52"/>
  <c r="AH39" i="52"/>
  <c r="AJ39" i="52"/>
  <c r="AI39" i="52"/>
  <c r="AJ21" i="52"/>
  <c r="AH21" i="52"/>
  <c r="AI21" i="52"/>
  <c r="AL39" i="52"/>
  <c r="AL21" i="52"/>
  <c r="AM39" i="52"/>
  <c r="AK21" i="52"/>
  <c r="AK39" i="52"/>
  <c r="AN21" i="52"/>
  <c r="AM21" i="52"/>
  <c r="AN39" i="52"/>
  <c r="AO21" i="52"/>
  <c r="AO39" i="52"/>
  <c r="AI14" i="52"/>
  <c r="AE26" i="52"/>
  <c r="AL16" i="52"/>
  <c r="AJ9" i="52"/>
  <c r="AN14" i="52"/>
  <c r="AG34" i="52"/>
  <c r="AG29" i="52"/>
  <c r="AG36" i="52"/>
  <c r="AE9" i="52"/>
  <c r="AO18" i="52"/>
  <c r="AG33" i="52"/>
  <c r="AM31" i="52"/>
  <c r="AO16" i="52"/>
  <c r="AN28" i="52"/>
  <c r="AG12" i="52"/>
  <c r="AI26" i="52"/>
  <c r="AH32" i="52"/>
  <c r="AF19" i="52"/>
  <c r="AO33" i="52"/>
  <c r="AO9" i="52"/>
  <c r="AD38" i="52"/>
  <c r="AI18" i="52"/>
  <c r="AO14" i="52"/>
  <c r="AH26" i="52"/>
  <c r="AG11" i="52"/>
  <c r="AK17" i="52"/>
  <c r="AH19" i="52"/>
  <c r="AN27" i="52"/>
  <c r="AG15" i="52"/>
  <c r="AO13" i="52"/>
  <c r="AK26" i="52"/>
  <c r="AO12" i="52"/>
  <c r="AL14" i="52"/>
  <c r="AM13" i="52"/>
  <c r="AG20" i="52"/>
  <c r="AL10" i="52"/>
  <c r="AD20" i="52"/>
  <c r="AD26" i="52"/>
  <c r="AF11" i="52"/>
  <c r="AK37" i="52"/>
  <c r="AE27" i="52"/>
  <c r="AN17" i="52"/>
  <c r="AK10" i="52"/>
  <c r="AI8" i="52"/>
  <c r="AN38" i="52"/>
  <c r="AK11" i="52"/>
  <c r="AI10" i="52"/>
  <c r="AJ30" i="52"/>
  <c r="AO28" i="52"/>
  <c r="AH33" i="52"/>
  <c r="AG19" i="52"/>
  <c r="AM10" i="52"/>
  <c r="AI16" i="52"/>
  <c r="AF17" i="52"/>
  <c r="AE31" i="52"/>
  <c r="AM36" i="52"/>
  <c r="AE33" i="52"/>
  <c r="AN8" i="52"/>
  <c r="AH12" i="52"/>
  <c r="AI20" i="52"/>
  <c r="AD10" i="52"/>
  <c r="AF20" i="52"/>
  <c r="AL28" i="52"/>
  <c r="AL27" i="52"/>
  <c r="AD36" i="52"/>
  <c r="AE37" i="52"/>
  <c r="AI13" i="52"/>
  <c r="AM38" i="52"/>
  <c r="AF35" i="52"/>
  <c r="AM33" i="52"/>
  <c r="AO34" i="52"/>
  <c r="AI36" i="52"/>
  <c r="AD29" i="52"/>
  <c r="AL20" i="52"/>
  <c r="AI31" i="52"/>
  <c r="AG28" i="52"/>
  <c r="AI34" i="52"/>
  <c r="AI30" i="52"/>
  <c r="AJ16" i="52"/>
  <c r="AM32" i="52"/>
  <c r="AK32" i="52"/>
  <c r="AE20" i="52"/>
  <c r="AM9" i="52"/>
  <c r="AF12" i="52"/>
  <c r="AK8" i="52"/>
  <c r="AI33" i="52"/>
  <c r="AF34" i="52"/>
  <c r="AF32" i="52"/>
  <c r="AF31" i="52"/>
  <c r="AM20" i="52"/>
  <c r="AL31" i="52"/>
  <c r="AJ26" i="52"/>
  <c r="AL8" i="52"/>
  <c r="AJ17" i="52"/>
  <c r="AE28" i="52"/>
  <c r="AE34" i="52"/>
  <c r="AJ15" i="52"/>
  <c r="AI29" i="52"/>
  <c r="AK13" i="52"/>
  <c r="AO26" i="52"/>
  <c r="AE29" i="52"/>
  <c r="AF10" i="52"/>
  <c r="AD17" i="52"/>
  <c r="AM19" i="52"/>
  <c r="AM16" i="52"/>
  <c r="AJ18" i="52"/>
  <c r="AH31" i="52"/>
  <c r="AE36" i="52"/>
  <c r="AK20" i="52"/>
  <c r="AM34" i="52"/>
  <c r="AD11" i="52"/>
  <c r="AE8" i="52"/>
  <c r="AF37" i="52"/>
  <c r="AI35" i="52"/>
  <c r="AF13" i="52"/>
  <c r="AN15" i="52"/>
  <c r="AN11" i="52"/>
  <c r="AN20" i="52"/>
  <c r="AJ34" i="52"/>
  <c r="AN19" i="52"/>
  <c r="AF36" i="52"/>
  <c r="AM12" i="52"/>
  <c r="AF8" i="52"/>
  <c r="AD27" i="52"/>
  <c r="AK31" i="52"/>
  <c r="AE17" i="52"/>
  <c r="AH13" i="52"/>
  <c r="AD12" i="52"/>
  <c r="AD32" i="52"/>
  <c r="AL35" i="52"/>
  <c r="AJ19" i="52"/>
  <c r="AL32" i="52"/>
  <c r="AG31" i="52"/>
  <c r="AN30" i="52"/>
  <c r="AG16" i="52"/>
  <c r="AH38" i="52"/>
  <c r="AL9" i="52"/>
  <c r="AH30" i="52"/>
  <c r="AE10" i="52"/>
  <c r="AJ29" i="52"/>
  <c r="AL19" i="52"/>
  <c r="AL11" i="52"/>
  <c r="AI19" i="52"/>
  <c r="AD19" i="52"/>
  <c r="AH20" i="52"/>
  <c r="AI9" i="52"/>
  <c r="AO30" i="52"/>
  <c r="AL18" i="52"/>
  <c r="AI12" i="52"/>
  <c r="AF28" i="52"/>
  <c r="AL29" i="52"/>
  <c r="AM35" i="52"/>
  <c r="AF26" i="52"/>
  <c r="AG9" i="52"/>
  <c r="AG8" i="52"/>
  <c r="AG13" i="52"/>
  <c r="AK12" i="52"/>
  <c r="AL13" i="52"/>
  <c r="AH9" i="52"/>
  <c r="AH28" i="52"/>
  <c r="AK16" i="52"/>
  <c r="AE32" i="52"/>
  <c r="AI11" i="52"/>
  <c r="AH29" i="52"/>
  <c r="AF30" i="52"/>
  <c r="AM28" i="52"/>
  <c r="AO32" i="52"/>
  <c r="AJ20" i="52"/>
  <c r="AJ13" i="52"/>
  <c r="AL37" i="52"/>
  <c r="AO11" i="52"/>
  <c r="AK33" i="52"/>
  <c r="AI37" i="52"/>
  <c r="AH27" i="52"/>
  <c r="AD31" i="52"/>
  <c r="AI32" i="52"/>
  <c r="AD16" i="52"/>
  <c r="AG14" i="52"/>
  <c r="AF29" i="52"/>
  <c r="AJ28" i="52"/>
  <c r="AG26" i="52"/>
  <c r="AD33" i="52"/>
  <c r="AJ36" i="52"/>
  <c r="AN36" i="52"/>
  <c r="AK30" i="52"/>
  <c r="AF27" i="52"/>
  <c r="AF38" i="52"/>
  <c r="AM11" i="52"/>
  <c r="AM37" i="52"/>
  <c r="AE15" i="52"/>
  <c r="AI17" i="52"/>
  <c r="AN29" i="52"/>
  <c r="AH16" i="52"/>
  <c r="AK35" i="52"/>
  <c r="AE14" i="52"/>
  <c r="AJ27" i="52"/>
  <c r="AJ38" i="52"/>
  <c r="AL33" i="52"/>
  <c r="AH10" i="52"/>
  <c r="AF16" i="52"/>
  <c r="AD13" i="52"/>
  <c r="AK36" i="52"/>
  <c r="AJ35" i="52"/>
  <c r="AO27" i="52"/>
  <c r="AD18" i="52"/>
  <c r="AN26" i="52"/>
  <c r="AM14" i="52"/>
  <c r="AN37" i="52"/>
  <c r="AK28" i="52"/>
  <c r="AM8" i="52"/>
  <c r="AG27" i="52"/>
  <c r="AI28" i="52"/>
  <c r="AI27" i="52"/>
  <c r="AL36" i="52"/>
  <c r="AD28" i="52"/>
  <c r="AK14" i="52"/>
  <c r="AJ11" i="52"/>
  <c r="AH14" i="52"/>
  <c r="AG10" i="52"/>
  <c r="AN33" i="52"/>
  <c r="AN9" i="52"/>
  <c r="AE11" i="52"/>
  <c r="AH37" i="52"/>
  <c r="AO35" i="52"/>
  <c r="AH35" i="52"/>
  <c r="AK34" i="52"/>
  <c r="AN18" i="52"/>
  <c r="AD37" i="52"/>
  <c r="AF18" i="52"/>
  <c r="AJ12" i="52"/>
  <c r="AD30" i="52"/>
  <c r="AK29" i="52"/>
  <c r="AK18" i="52"/>
  <c r="AM15" i="52"/>
  <c r="AN12" i="52"/>
  <c r="AE30" i="52"/>
  <c r="AL26" i="52"/>
  <c r="AO20" i="52"/>
  <c r="AF9" i="52"/>
  <c r="AL15" i="52"/>
  <c r="AH17" i="52"/>
  <c r="AD35" i="52"/>
  <c r="AL38" i="52"/>
  <c r="AL12" i="52"/>
  <c r="AO10" i="52"/>
  <c r="AO19" i="52"/>
  <c r="AO31" i="52"/>
  <c r="AG30" i="52"/>
  <c r="AO37" i="52"/>
  <c r="AM26" i="52"/>
  <c r="AK27" i="52"/>
  <c r="AM17" i="52"/>
  <c r="AD8" i="52"/>
  <c r="AF33" i="52"/>
  <c r="AG37" i="52"/>
  <c r="AJ32" i="52"/>
  <c r="AO29" i="52"/>
  <c r="AO38" i="52"/>
  <c r="AG18" i="52"/>
  <c r="AJ33" i="52"/>
  <c r="AK38" i="52"/>
  <c r="AM18" i="52"/>
  <c r="AF14" i="52"/>
  <c r="AI15" i="52"/>
  <c r="AH15" i="52"/>
  <c r="AO15" i="52"/>
  <c r="AG17" i="52"/>
  <c r="AG35" i="52"/>
  <c r="AO8" i="52"/>
  <c r="AN35" i="52"/>
  <c r="AN13" i="52"/>
  <c r="AO17" i="52"/>
  <c r="AM29" i="52"/>
  <c r="AH18" i="52"/>
  <c r="AN34" i="52"/>
  <c r="AD9" i="52"/>
  <c r="AM27" i="52"/>
  <c r="AE16" i="52"/>
  <c r="AH36" i="52"/>
  <c r="AH8" i="52"/>
  <c r="AF15" i="52"/>
  <c r="AI38" i="52"/>
  <c r="AJ37" i="52"/>
  <c r="AE38" i="52"/>
  <c r="AJ14" i="52"/>
  <c r="AH11" i="52"/>
  <c r="AE35" i="52"/>
  <c r="AH34" i="52"/>
  <c r="AM30" i="52"/>
  <c r="AL17" i="52"/>
  <c r="AD15" i="52"/>
  <c r="AE19" i="52"/>
  <c r="AN10" i="52"/>
  <c r="AD14" i="52"/>
  <c r="AJ8" i="52"/>
  <c r="AK15" i="52"/>
  <c r="AE18" i="52"/>
  <c r="AG32" i="52"/>
  <c r="AN32" i="52"/>
  <c r="AE13" i="52"/>
  <c r="AE12" i="52"/>
  <c r="AJ10" i="52"/>
  <c r="AL34" i="52"/>
  <c r="AG38" i="52"/>
  <c r="AJ31" i="52"/>
  <c r="AK9" i="52"/>
  <c r="AD34" i="52"/>
  <c r="AN16" i="52"/>
  <c r="AO36" i="52"/>
  <c r="AL30" i="52"/>
  <c r="AN31" i="52"/>
  <c r="AK19" i="52"/>
  <c r="H28" i="52"/>
  <c r="Z37" i="52"/>
  <c r="Y37" i="52"/>
  <c r="AA37" i="52"/>
  <c r="K23" i="45"/>
  <c r="I24" i="45"/>
  <c r="K24" i="45" l="1"/>
  <c r="I25" i="45"/>
  <c r="K25" i="45" l="1"/>
  <c r="I26" i="45"/>
  <c r="K35" i="45" l="1"/>
  <c r="K37" i="45"/>
  <c r="K26" i="45"/>
  <c r="I27" i="45"/>
  <c r="K27" i="45" l="1"/>
  <c r="AD41" i="5" l="1"/>
  <c r="AE41" i="5"/>
  <c r="A9" i="42"/>
  <c r="A9" i="41"/>
  <c r="A9" i="40"/>
  <c r="AE10" i="5" l="1"/>
  <c r="O41" i="5" l="1"/>
  <c r="AL13" i="5"/>
  <c r="AD13" i="5"/>
  <c r="A10" i="17" s="1"/>
  <c r="V41" i="5"/>
  <c r="V13" i="5"/>
  <c r="AP32" i="5"/>
  <c r="AP31" i="5"/>
  <c r="AP30" i="5"/>
  <c r="AP29" i="5"/>
  <c r="AP28" i="5"/>
  <c r="AP27" i="5"/>
  <c r="AP23" i="5"/>
  <c r="AP22" i="5"/>
  <c r="AP21" i="5"/>
  <c r="AP20" i="5"/>
  <c r="AP19" i="5"/>
  <c r="AP18" i="5"/>
  <c r="AP17" i="5"/>
  <c r="AP16" i="5"/>
  <c r="AP15" i="5"/>
  <c r="AP14" i="5"/>
  <c r="AP13" i="5"/>
  <c r="AH32" i="5"/>
  <c r="AH31" i="5"/>
  <c r="AH30" i="5"/>
  <c r="AH29" i="5"/>
  <c r="AH28" i="5"/>
  <c r="AH27" i="5"/>
  <c r="AH23" i="5"/>
  <c r="AH22" i="5"/>
  <c r="AH21" i="5"/>
  <c r="AH20" i="5"/>
  <c r="AH19" i="5"/>
  <c r="AH18" i="5"/>
  <c r="AH17" i="5"/>
  <c r="AH16" i="5"/>
  <c r="AH15" i="5"/>
  <c r="AH14" i="5"/>
  <c r="AH13" i="5"/>
  <c r="A11" i="17" l="1"/>
  <c r="AR6" i="5"/>
  <c r="AQ6" i="5"/>
  <c r="AJ6" i="5"/>
  <c r="AI6" i="5"/>
  <c r="AB6" i="5"/>
  <c r="AA6" i="5"/>
  <c r="T6" i="5"/>
  <c r="S6" i="5"/>
  <c r="A12" i="17" l="1"/>
  <c r="B9" i="43"/>
  <c r="A46" i="42"/>
  <c r="A47" i="42" s="1"/>
  <c r="A48" i="42" s="1"/>
  <c r="A49" i="42" s="1"/>
  <c r="A50" i="42" s="1"/>
  <c r="A51" i="42" s="1"/>
  <c r="A52" i="42" s="1"/>
  <c r="A53" i="42" s="1"/>
  <c r="A54" i="42" s="1"/>
  <c r="A55" i="42" s="1"/>
  <c r="A56" i="42" s="1"/>
  <c r="A57" i="42" s="1"/>
  <c r="A28" i="42"/>
  <c r="A10" i="42"/>
  <c r="A46" i="41"/>
  <c r="A47" i="41" s="1"/>
  <c r="A48" i="41" s="1"/>
  <c r="A49" i="41" s="1"/>
  <c r="A50" i="41" s="1"/>
  <c r="A51" i="41" s="1"/>
  <c r="A52" i="41" s="1"/>
  <c r="A53" i="41" s="1"/>
  <c r="A54" i="41" s="1"/>
  <c r="A55" i="41" s="1"/>
  <c r="A56" i="41" s="1"/>
  <c r="A57" i="41" s="1"/>
  <c r="A28" i="41"/>
  <c r="A10" i="41"/>
  <c r="C9" i="43" l="1"/>
  <c r="D9" i="43"/>
  <c r="A13" i="17"/>
  <c r="A66" i="42"/>
  <c r="A66" i="41"/>
  <c r="B10" i="43"/>
  <c r="A29" i="41"/>
  <c r="A30" i="41" s="1"/>
  <c r="A11" i="42"/>
  <c r="A29" i="42"/>
  <c r="A11" i="41"/>
  <c r="A46" i="40"/>
  <c r="A47" i="40" s="1"/>
  <c r="A48" i="40" s="1"/>
  <c r="A49" i="40" s="1"/>
  <c r="A50" i="40" s="1"/>
  <c r="A51" i="40" s="1"/>
  <c r="A52" i="40" s="1"/>
  <c r="A53" i="40" s="1"/>
  <c r="A54" i="40" s="1"/>
  <c r="A55" i="40" s="1"/>
  <c r="A56" i="40" s="1"/>
  <c r="A57" i="40" s="1"/>
  <c r="A28" i="40"/>
  <c r="A29" i="40" s="1"/>
  <c r="A10" i="40"/>
  <c r="D10" i="43" l="1"/>
  <c r="C10" i="43"/>
  <c r="A14" i="17"/>
  <c r="A12" i="42"/>
  <c r="A13" i="42" s="1"/>
  <c r="B11" i="43"/>
  <c r="A67" i="42"/>
  <c r="E9" i="43"/>
  <c r="A30" i="42"/>
  <c r="A31" i="41"/>
  <c r="A67" i="41"/>
  <c r="A12" i="41"/>
  <c r="A11" i="40"/>
  <c r="A66" i="40"/>
  <c r="A30" i="40"/>
  <c r="C11" i="43" l="1"/>
  <c r="D11" i="43"/>
  <c r="E10" i="43"/>
  <c r="A15" i="17"/>
  <c r="A14" i="42"/>
  <c r="A15" i="42" s="1"/>
  <c r="A68" i="42"/>
  <c r="B12" i="43"/>
  <c r="A69" i="42"/>
  <c r="A31" i="42"/>
  <c r="A32" i="41"/>
  <c r="A68" i="41"/>
  <c r="A13" i="41"/>
  <c r="A31" i="40"/>
  <c r="A12" i="40"/>
  <c r="A67" i="40"/>
  <c r="D12" i="43" l="1"/>
  <c r="C12" i="43"/>
  <c r="E11" i="43"/>
  <c r="A16" i="17"/>
  <c r="A70" i="42"/>
  <c r="B13" i="43"/>
  <c r="A71" i="42"/>
  <c r="A16" i="42"/>
  <c r="A32" i="42"/>
  <c r="A69" i="41"/>
  <c r="A14" i="41"/>
  <c r="A33" i="41"/>
  <c r="A32" i="40"/>
  <c r="A68" i="40"/>
  <c r="A13" i="40"/>
  <c r="C13" i="43" l="1"/>
  <c r="D13" i="43"/>
  <c r="E12" i="43"/>
  <c r="A17" i="17"/>
  <c r="B14" i="43"/>
  <c r="A33" i="42"/>
  <c r="A72" i="42"/>
  <c r="A17" i="42"/>
  <c r="A34" i="41"/>
  <c r="A15" i="41"/>
  <c r="A70" i="41"/>
  <c r="A33" i="40"/>
  <c r="A69" i="40"/>
  <c r="A14" i="40"/>
  <c r="D14" i="43" l="1"/>
  <c r="C14" i="43"/>
  <c r="E13" i="43"/>
  <c r="A18" i="17"/>
  <c r="B15" i="43"/>
  <c r="A73" i="42"/>
  <c r="A18" i="42"/>
  <c r="A34" i="42"/>
  <c r="A35" i="41"/>
  <c r="A71" i="41"/>
  <c r="A16" i="41"/>
  <c r="A34" i="40"/>
  <c r="A70" i="40"/>
  <c r="A15" i="40"/>
  <c r="D15" i="43" l="1"/>
  <c r="C15" i="43"/>
  <c r="E14" i="43"/>
  <c r="B16" i="43"/>
  <c r="A19" i="17"/>
  <c r="A35" i="42"/>
  <c r="A74" i="42"/>
  <c r="A19" i="42"/>
  <c r="A72" i="41"/>
  <c r="A17" i="41"/>
  <c r="A36" i="41"/>
  <c r="A35" i="40"/>
  <c r="A71" i="40"/>
  <c r="A16" i="40"/>
  <c r="D16" i="43" l="1"/>
  <c r="C16" i="43"/>
  <c r="E15" i="43"/>
  <c r="B17" i="43"/>
  <c r="A20" i="17"/>
  <c r="A20" i="42"/>
  <c r="A75" i="42"/>
  <c r="A36" i="42"/>
  <c r="A73" i="41"/>
  <c r="A18" i="41"/>
  <c r="A37" i="41"/>
  <c r="A36" i="40"/>
  <c r="A17" i="40"/>
  <c r="A72" i="40"/>
  <c r="D17" i="43" l="1"/>
  <c r="C17" i="43"/>
  <c r="B18" i="43"/>
  <c r="A21" i="17"/>
  <c r="E16" i="43"/>
  <c r="A76" i="42"/>
  <c r="A21" i="42"/>
  <c r="A37" i="42"/>
  <c r="A38" i="41"/>
  <c r="A19" i="41"/>
  <c r="A74" i="41"/>
  <c r="A73" i="40"/>
  <c r="A18" i="40"/>
  <c r="A37" i="40"/>
  <c r="B19" i="43" l="1"/>
  <c r="D18" i="43"/>
  <c r="C18" i="43"/>
  <c r="E17" i="43"/>
  <c r="B20" i="43"/>
  <c r="A38" i="42"/>
  <c r="A77" i="42"/>
  <c r="A75" i="41"/>
  <c r="A20" i="41"/>
  <c r="A39" i="41"/>
  <c r="A38" i="40"/>
  <c r="A19" i="40"/>
  <c r="A74" i="40"/>
  <c r="D20" i="43" l="1"/>
  <c r="C20" i="43"/>
  <c r="C19" i="43"/>
  <c r="D19" i="43"/>
  <c r="E18" i="43"/>
  <c r="B21" i="43"/>
  <c r="A39" i="42"/>
  <c r="A3" i="42"/>
  <c r="A76" i="41"/>
  <c r="A21" i="41"/>
  <c r="A39" i="40"/>
  <c r="A75" i="40"/>
  <c r="A20" i="40"/>
  <c r="E19" i="43" l="1"/>
  <c r="C21" i="43"/>
  <c r="D21" i="43"/>
  <c r="E20" i="43"/>
  <c r="B22" i="43"/>
  <c r="A77" i="41"/>
  <c r="A76" i="40"/>
  <c r="A21" i="40"/>
  <c r="D22" i="43" l="1"/>
  <c r="C22" i="43"/>
  <c r="E21" i="43"/>
  <c r="B23" i="43"/>
  <c r="A3" i="41"/>
  <c r="A77" i="40"/>
  <c r="B24" i="43" l="1"/>
  <c r="D23" i="43"/>
  <c r="C23" i="43"/>
  <c r="E22" i="43"/>
  <c r="B25" i="43"/>
  <c r="A3" i="40"/>
  <c r="D25" i="43" l="1"/>
  <c r="C25" i="43"/>
  <c r="D24" i="43"/>
  <c r="C24" i="43"/>
  <c r="E24" i="43" s="1"/>
  <c r="E23" i="43"/>
  <c r="B26" i="43"/>
  <c r="D26" i="43" l="1"/>
  <c r="C26" i="43"/>
  <c r="E25" i="43"/>
  <c r="E26" i="43" l="1"/>
  <c r="C41" i="28" l="1"/>
  <c r="E10" i="28" s="1"/>
  <c r="D42" i="28"/>
  <c r="D41" i="28"/>
  <c r="D40" i="28"/>
  <c r="D39" i="28"/>
  <c r="D110" i="28"/>
  <c r="C110" i="28"/>
  <c r="I89" i="28"/>
  <c r="E11" i="28" l="1"/>
  <c r="G10" i="28"/>
  <c r="H10" i="28" s="1"/>
  <c r="B10" i="29"/>
  <c r="B10" i="32"/>
  <c r="C10" i="29" l="1"/>
  <c r="D10" i="29"/>
  <c r="E12" i="28"/>
  <c r="G12" i="28" s="1"/>
  <c r="H12" i="28" s="1"/>
  <c r="G11" i="28"/>
  <c r="H11" i="28" s="1"/>
  <c r="E10" i="32"/>
  <c r="F10" i="32"/>
  <c r="D10" i="32"/>
  <c r="C10" i="32"/>
  <c r="A64" i="17" l="1"/>
  <c r="A65" i="17" s="1"/>
  <c r="A66" i="17" s="1"/>
  <c r="A67" i="17" s="1"/>
  <c r="A68" i="17" s="1"/>
  <c r="A69" i="17" s="1"/>
  <c r="A70" i="17" s="1"/>
  <c r="A71" i="17" s="1"/>
  <c r="A72" i="17" s="1"/>
  <c r="A73" i="17" s="1"/>
  <c r="A74" i="17" s="1"/>
  <c r="A75" i="17" s="1"/>
  <c r="A46" i="17"/>
  <c r="A28" i="17"/>
  <c r="A29" i="17" l="1"/>
  <c r="A47" i="17"/>
  <c r="A30" i="17" l="1"/>
  <c r="A31" i="17" s="1"/>
  <c r="A48" i="17"/>
  <c r="A86" i="17" l="1"/>
  <c r="A49" i="17"/>
  <c r="A32" i="17"/>
  <c r="A87" i="17"/>
  <c r="A33" i="17" l="1"/>
  <c r="A88" i="17"/>
  <c r="A50" i="17"/>
  <c r="A51" i="17" l="1"/>
  <c r="A34" i="17"/>
  <c r="A89" i="17"/>
  <c r="A35" i="17" l="1"/>
  <c r="A90" i="17"/>
  <c r="A52" i="17"/>
  <c r="A53" i="17" l="1"/>
  <c r="A36" i="17"/>
  <c r="A91" i="17"/>
  <c r="A37" i="17" l="1"/>
  <c r="A92" i="17"/>
  <c r="A54" i="17"/>
  <c r="A55" i="17" l="1"/>
  <c r="A38" i="17"/>
  <c r="A93" i="17"/>
  <c r="A94" i="17" l="1"/>
  <c r="A39" i="17"/>
  <c r="A56" i="17"/>
  <c r="A57" i="17" l="1"/>
  <c r="A95" i="17"/>
  <c r="A3" i="17" l="1"/>
  <c r="B11" i="32" l="1"/>
  <c r="B12" i="32" l="1"/>
  <c r="F11" i="32"/>
  <c r="E11" i="32"/>
  <c r="D11" i="32"/>
  <c r="C11" i="32"/>
  <c r="B13" i="32" l="1"/>
  <c r="F12" i="32"/>
  <c r="D12" i="32"/>
  <c r="C12" i="32"/>
  <c r="E12" i="32"/>
  <c r="D31" i="28"/>
  <c r="B31" i="28"/>
  <c r="D32" i="28"/>
  <c r="B14" i="32" l="1"/>
  <c r="E13" i="32"/>
  <c r="F13" i="32"/>
  <c r="C13" i="32"/>
  <c r="D13" i="32"/>
  <c r="B11" i="29"/>
  <c r="D11" i="29" l="1"/>
  <c r="C11" i="29"/>
  <c r="B15" i="32"/>
  <c r="F14" i="32"/>
  <c r="C14" i="32"/>
  <c r="D14" i="32"/>
  <c r="E14" i="32"/>
  <c r="B12" i="29"/>
  <c r="D12" i="29" l="1"/>
  <c r="C12" i="29"/>
  <c r="B16" i="32"/>
  <c r="F15" i="32"/>
  <c r="C15" i="32"/>
  <c r="E15" i="32"/>
  <c r="D15" i="32"/>
  <c r="B13" i="29"/>
  <c r="D13" i="29" l="1"/>
  <c r="C13" i="29"/>
  <c r="B17" i="32"/>
  <c r="D16" i="32"/>
  <c r="C16" i="32"/>
  <c r="E16" i="32"/>
  <c r="F16" i="32"/>
  <c r="B14" i="29"/>
  <c r="D14" i="29" l="1"/>
  <c r="C14" i="29"/>
  <c r="B18" i="32"/>
  <c r="C17" i="32"/>
  <c r="E17" i="32"/>
  <c r="D17" i="32"/>
  <c r="F17" i="32"/>
  <c r="B15" i="29"/>
  <c r="D15" i="29" l="1"/>
  <c r="C15" i="29"/>
  <c r="B19" i="32"/>
  <c r="C18" i="32"/>
  <c r="E18" i="32"/>
  <c r="F18" i="32"/>
  <c r="D18" i="32"/>
  <c r="B16" i="29"/>
  <c r="D16" i="29" l="1"/>
  <c r="C16" i="29"/>
  <c r="B20" i="32"/>
  <c r="C19" i="32"/>
  <c r="D19" i="32"/>
  <c r="F19" i="32"/>
  <c r="E19" i="32"/>
  <c r="B17" i="29"/>
  <c r="D17" i="29" l="1"/>
  <c r="C17" i="29"/>
  <c r="B21" i="32"/>
  <c r="C20" i="32"/>
  <c r="D20" i="32"/>
  <c r="E20" i="32"/>
  <c r="F20" i="32"/>
  <c r="B18" i="29"/>
  <c r="D18" i="29" l="1"/>
  <c r="C18" i="29"/>
  <c r="B22" i="32"/>
  <c r="E21" i="32"/>
  <c r="C21" i="32"/>
  <c r="D21" i="32"/>
  <c r="F21" i="32"/>
  <c r="B19" i="29"/>
  <c r="D19" i="29" l="1"/>
  <c r="C19" i="29"/>
  <c r="B23" i="32"/>
  <c r="C22" i="32"/>
  <c r="E22" i="32"/>
  <c r="F22" i="32"/>
  <c r="D22" i="32"/>
  <c r="B20" i="29"/>
  <c r="D20" i="29" l="1"/>
  <c r="C20" i="29"/>
  <c r="B24" i="32"/>
  <c r="D23" i="32"/>
  <c r="C23" i="32"/>
  <c r="F23" i="32"/>
  <c r="E23" i="32"/>
  <c r="B21" i="29"/>
  <c r="D21" i="29" l="1"/>
  <c r="C21" i="29"/>
  <c r="B25" i="32"/>
  <c r="E24" i="32"/>
  <c r="D24" i="32"/>
  <c r="C24" i="32"/>
  <c r="F24" i="32"/>
  <c r="B22" i="29"/>
  <c r="D22" i="29" l="1"/>
  <c r="C22" i="29"/>
  <c r="B26" i="32"/>
  <c r="C25" i="32"/>
  <c r="E25" i="32"/>
  <c r="F25" i="32"/>
  <c r="D25" i="32"/>
  <c r="B23" i="29"/>
  <c r="D23" i="29" l="1"/>
  <c r="C23" i="29"/>
  <c r="B27" i="32"/>
  <c r="E26" i="32"/>
  <c r="C26" i="32"/>
  <c r="D26" i="32"/>
  <c r="F26" i="32"/>
  <c r="B24" i="29"/>
  <c r="D24" i="29" l="1"/>
  <c r="C24" i="29"/>
  <c r="F27" i="32"/>
  <c r="E27" i="32"/>
  <c r="D27" i="32"/>
  <c r="C27" i="32"/>
  <c r="B25" i="29"/>
  <c r="D25" i="29" l="1"/>
  <c r="C25" i="29"/>
  <c r="B26" i="29"/>
  <c r="D26" i="29" l="1"/>
  <c r="C26" i="29"/>
  <c r="B27" i="29"/>
  <c r="D27" i="29" l="1"/>
  <c r="C27" i="29"/>
  <c r="J94" i="28" l="1"/>
  <c r="J93" i="28"/>
  <c r="E105" i="28"/>
  <c r="D77" i="28" l="1"/>
  <c r="D80" i="28" l="1"/>
  <c r="N44" i="5" l="1"/>
  <c r="B45" i="5"/>
  <c r="B14" i="5"/>
  <c r="J88" i="28"/>
  <c r="F93" i="28"/>
  <c r="H93" i="28" s="1"/>
  <c r="F94" i="28"/>
  <c r="J89" i="28"/>
  <c r="C41" i="5"/>
  <c r="C42" i="5" s="1"/>
  <c r="K93" i="28"/>
  <c r="K94" i="28"/>
  <c r="H13" i="5"/>
  <c r="I41" i="5"/>
  <c r="B9" i="28"/>
  <c r="B13" i="28"/>
  <c r="C32" i="28"/>
  <c r="C33" i="28"/>
  <c r="D33" i="28"/>
  <c r="C34" i="28"/>
  <c r="D34" i="28"/>
  <c r="B46" i="28"/>
  <c r="B98" i="28" s="1"/>
  <c r="B47" i="28"/>
  <c r="B54" i="28"/>
  <c r="B58" i="28"/>
  <c r="B99" i="28"/>
  <c r="C77" i="28"/>
  <c r="C78" i="28"/>
  <c r="C79" i="28"/>
  <c r="D79" i="28"/>
  <c r="C80" i="28"/>
  <c r="C81" i="28"/>
  <c r="C82" i="28"/>
  <c r="D82" i="28"/>
  <c r="C93" i="28"/>
  <c r="B32" i="29" s="1"/>
  <c r="C94" i="28"/>
  <c r="B33" i="29" s="1"/>
  <c r="G94" i="28"/>
  <c r="H94" i="28" s="1"/>
  <c r="N146" i="28"/>
  <c r="N147" i="28" s="1"/>
  <c r="N148" i="28" s="1"/>
  <c r="N149" i="28" s="1"/>
  <c r="N150" i="28" s="1"/>
  <c r="N151" i="28" s="1"/>
  <c r="H42" i="5"/>
  <c r="N13" i="5"/>
  <c r="B43" i="5"/>
  <c r="E10" i="5"/>
  <c r="I43" i="5"/>
  <c r="O44" i="5"/>
  <c r="H44" i="5"/>
  <c r="N42" i="5"/>
  <c r="N41" i="5"/>
  <c r="B42" i="5"/>
  <c r="B41" i="5"/>
  <c r="L10" i="5"/>
  <c r="H43" i="5"/>
  <c r="H41" i="5"/>
  <c r="F13" i="28" l="1"/>
  <c r="E13" i="28"/>
  <c r="D13" i="28"/>
  <c r="AL14" i="5"/>
  <c r="AD14" i="5"/>
  <c r="V14" i="5"/>
  <c r="Z13" i="5"/>
  <c r="B15" i="5"/>
  <c r="B14" i="28"/>
  <c r="B15" i="28" s="1"/>
  <c r="B16" i="28" s="1"/>
  <c r="B17" i="28" s="1"/>
  <c r="B18" i="28" s="1"/>
  <c r="B19" i="28" s="1"/>
  <c r="B20" i="28" s="1"/>
  <c r="B21" i="28" s="1"/>
  <c r="B22" i="28" s="1"/>
  <c r="B23" i="28" s="1"/>
  <c r="B24" i="28" s="1"/>
  <c r="B25" i="28" s="1"/>
  <c r="B26" i="28" s="1"/>
  <c r="B27" i="28" s="1"/>
  <c r="B28" i="28" s="1"/>
  <c r="B29" i="28" s="1"/>
  <c r="N14" i="5"/>
  <c r="B59" i="28"/>
  <c r="B60" i="28" s="1"/>
  <c r="B61" i="28" s="1"/>
  <c r="B62" i="28" s="1"/>
  <c r="B63" i="28" s="1"/>
  <c r="B64" i="28" s="1"/>
  <c r="B65" i="28" s="1"/>
  <c r="H14" i="5"/>
  <c r="G90" i="28"/>
  <c r="I90" i="28" s="1"/>
  <c r="F95" i="28"/>
  <c r="J90" i="28" l="1"/>
  <c r="H88" i="28"/>
  <c r="H89" i="28" s="1"/>
  <c r="H90" i="28" s="1"/>
  <c r="D14" i="28"/>
  <c r="D15" i="28" s="1"/>
  <c r="D16" i="28" s="1"/>
  <c r="D17" i="28" s="1"/>
  <c r="D18" i="28" s="1"/>
  <c r="D19" i="28" s="1"/>
  <c r="E14" i="28"/>
  <c r="E15" i="28" s="1"/>
  <c r="E16" i="28" s="1"/>
  <c r="E17" i="28" s="1"/>
  <c r="E18" i="28" s="1"/>
  <c r="E19" i="28" s="1"/>
  <c r="E20" i="28" s="1"/>
  <c r="E21" i="28" s="1"/>
  <c r="E22" i="28" s="1"/>
  <c r="E23" i="28" s="1"/>
  <c r="E24" i="28" s="1"/>
  <c r="E25" i="28" s="1"/>
  <c r="E26" i="28" s="1"/>
  <c r="E27" i="28" s="1"/>
  <c r="E28" i="28" s="1"/>
  <c r="E29" i="28" s="1"/>
  <c r="F14" i="28"/>
  <c r="F15" i="28" s="1"/>
  <c r="F16" i="28" s="1"/>
  <c r="F17" i="28" s="1"/>
  <c r="F18" i="28" s="1"/>
  <c r="AD15" i="5"/>
  <c r="V15" i="5"/>
  <c r="AL15" i="5"/>
  <c r="Z14" i="5"/>
  <c r="H95" i="28"/>
  <c r="B16" i="5"/>
  <c r="H15" i="5"/>
  <c r="N15" i="5"/>
  <c r="B66" i="28"/>
  <c r="D115" i="28" l="1"/>
  <c r="G95" i="28"/>
  <c r="I93" i="28"/>
  <c r="C55" i="28"/>
  <c r="D55" i="28" s="1"/>
  <c r="D56" i="28" s="1"/>
  <c r="D57" i="28" s="1"/>
  <c r="D58" i="28" s="1"/>
  <c r="D59" i="28" s="1"/>
  <c r="D60" i="28" s="1"/>
  <c r="D61" i="28" s="1"/>
  <c r="D62" i="28" s="1"/>
  <c r="D63" i="28" s="1"/>
  <c r="D64" i="28" s="1"/>
  <c r="D65" i="28" s="1"/>
  <c r="D66" i="28" s="1"/>
  <c r="E55" i="28"/>
  <c r="F19" i="28"/>
  <c r="G18" i="28"/>
  <c r="H18" i="28" s="1"/>
  <c r="D20" i="28"/>
  <c r="D21" i="28" s="1"/>
  <c r="D22" i="28" s="1"/>
  <c r="D23" i="28" s="1"/>
  <c r="D24" i="28" s="1"/>
  <c r="D25" i="28" s="1"/>
  <c r="D26" i="28" s="1"/>
  <c r="D27" i="28" s="1"/>
  <c r="D28" i="28" s="1"/>
  <c r="D29" i="28" s="1"/>
  <c r="C45" i="5"/>
  <c r="AL16" i="5"/>
  <c r="AD16" i="5"/>
  <c r="V16" i="5"/>
  <c r="D32" i="29"/>
  <c r="E116" i="28"/>
  <c r="Z15" i="5"/>
  <c r="D116" i="28"/>
  <c r="D78" i="28"/>
  <c r="B17" i="5"/>
  <c r="N16" i="5"/>
  <c r="H16" i="5"/>
  <c r="B67" i="28"/>
  <c r="B68" i="28" s="1"/>
  <c r="B69" i="28" s="1"/>
  <c r="F7" i="5"/>
  <c r="K7" i="5" s="1"/>
  <c r="F10" i="5"/>
  <c r="J95" i="28" l="1"/>
  <c r="I94" i="28"/>
  <c r="K95" i="28" s="1"/>
  <c r="D67" i="28"/>
  <c r="D68" i="28" s="1"/>
  <c r="D69" i="28" s="1"/>
  <c r="E56" i="28"/>
  <c r="E57" i="28" s="1"/>
  <c r="E58" i="28" s="1"/>
  <c r="E59" i="28" s="1"/>
  <c r="E60" i="28" s="1"/>
  <c r="E61" i="28" s="1"/>
  <c r="E62" i="28" s="1"/>
  <c r="E63" i="28" s="1"/>
  <c r="E64" i="28" s="1"/>
  <c r="E65" i="28" s="1"/>
  <c r="E66" i="28" s="1"/>
  <c r="E67" i="28" s="1"/>
  <c r="E68" i="28" s="1"/>
  <c r="E69" i="28" s="1"/>
  <c r="F20" i="28"/>
  <c r="F21" i="28" s="1"/>
  <c r="F22" i="28" s="1"/>
  <c r="F23" i="28" s="1"/>
  <c r="F24" i="28" s="1"/>
  <c r="F25" i="28" s="1"/>
  <c r="G19" i="28"/>
  <c r="H19" i="28" s="1"/>
  <c r="O42" i="5"/>
  <c r="P24" i="5"/>
  <c r="V17" i="5"/>
  <c r="AL17" i="5"/>
  <c r="AD17" i="5"/>
  <c r="P10" i="5"/>
  <c r="Z16" i="5"/>
  <c r="H17" i="5"/>
  <c r="B18" i="5"/>
  <c r="N17" i="5"/>
  <c r="B70" i="28"/>
  <c r="F55" i="28" l="1"/>
  <c r="G55" i="28" s="1"/>
  <c r="H55" i="28" s="1"/>
  <c r="D33" i="29"/>
  <c r="I95" i="28"/>
  <c r="D34" i="29" s="1"/>
  <c r="E70" i="28"/>
  <c r="D70" i="28"/>
  <c r="G25" i="28"/>
  <c r="F26" i="28"/>
  <c r="AE24" i="5"/>
  <c r="AM24" i="5"/>
  <c r="W24" i="5"/>
  <c r="AL18" i="5"/>
  <c r="AD18" i="5"/>
  <c r="V18" i="5"/>
  <c r="Z17" i="5"/>
  <c r="H18" i="5"/>
  <c r="B19" i="5"/>
  <c r="N18" i="5"/>
  <c r="B71" i="28"/>
  <c r="I42" i="5" l="1"/>
  <c r="F56" i="28"/>
  <c r="F57" i="28" s="1"/>
  <c r="E10" i="29"/>
  <c r="E14" i="29"/>
  <c r="E18" i="29"/>
  <c r="E22" i="29"/>
  <c r="E26" i="29"/>
  <c r="E11" i="29"/>
  <c r="E15" i="29"/>
  <c r="E19" i="29"/>
  <c r="E23" i="29"/>
  <c r="E27" i="29"/>
  <c r="E12" i="29"/>
  <c r="E16" i="29"/>
  <c r="E20" i="29"/>
  <c r="E24" i="29"/>
  <c r="E13" i="29"/>
  <c r="E17" i="29"/>
  <c r="E21" i="29"/>
  <c r="E25" i="29"/>
  <c r="J26" i="5"/>
  <c r="D81" i="28"/>
  <c r="D71" i="28"/>
  <c r="E71" i="28"/>
  <c r="G56" i="28"/>
  <c r="H56" i="28" s="1"/>
  <c r="G26" i="28"/>
  <c r="F27" i="28"/>
  <c r="AD19" i="5"/>
  <c r="V19" i="5"/>
  <c r="AL19" i="5"/>
  <c r="Z18" i="5"/>
  <c r="H19" i="5"/>
  <c r="B20" i="5"/>
  <c r="N19" i="5"/>
  <c r="B72" i="28"/>
  <c r="N117" i="28"/>
  <c r="I72" i="28" l="1"/>
  <c r="I71" i="28"/>
  <c r="J71" i="28" s="1"/>
  <c r="I70" i="28"/>
  <c r="J70" i="28" s="1"/>
  <c r="I69" i="28"/>
  <c r="J69" i="28" s="1"/>
  <c r="E72" i="28"/>
  <c r="D72" i="28"/>
  <c r="G57" i="28"/>
  <c r="H57" i="28" s="1"/>
  <c r="F58" i="28"/>
  <c r="F59" i="28" s="1"/>
  <c r="F60" i="28" s="1"/>
  <c r="F61" i="28" s="1"/>
  <c r="F62" i="28" s="1"/>
  <c r="F63" i="28" s="1"/>
  <c r="F64" i="28" s="1"/>
  <c r="F65" i="28" s="1"/>
  <c r="F66" i="28" s="1"/>
  <c r="F67" i="28" s="1"/>
  <c r="F68" i="28" s="1"/>
  <c r="F69" i="28" s="1"/>
  <c r="F70" i="28" s="1"/>
  <c r="F71" i="28" s="1"/>
  <c r="F72" i="28" s="1"/>
  <c r="G27" i="28"/>
  <c r="F28" i="28"/>
  <c r="V20" i="5"/>
  <c r="AL20" i="5"/>
  <c r="AD20" i="5"/>
  <c r="Z19" i="5"/>
  <c r="H20" i="5"/>
  <c r="B21" i="5"/>
  <c r="N20" i="5"/>
  <c r="B73" i="28"/>
  <c r="I73" i="28" s="1"/>
  <c r="N118" i="28"/>
  <c r="F73" i="28" l="1"/>
  <c r="E73" i="28"/>
  <c r="D73" i="28"/>
  <c r="G28" i="28"/>
  <c r="F29" i="28"/>
  <c r="V21" i="5"/>
  <c r="AL21" i="5"/>
  <c r="AD21" i="5"/>
  <c r="Z20" i="5"/>
  <c r="H21" i="5"/>
  <c r="B22" i="5"/>
  <c r="N21" i="5"/>
  <c r="B74" i="28"/>
  <c r="I74" i="28" s="1"/>
  <c r="N119" i="28"/>
  <c r="E74" i="28" l="1"/>
  <c r="F74" i="28"/>
  <c r="D74" i="28"/>
  <c r="B23" i="5"/>
  <c r="AL22" i="5"/>
  <c r="AD22" i="5"/>
  <c r="V22" i="5"/>
  <c r="Z21" i="5"/>
  <c r="H22" i="5"/>
  <c r="N22" i="5"/>
  <c r="N120" i="28"/>
  <c r="H23" i="5" l="1"/>
  <c r="B24" i="5"/>
  <c r="N23" i="5"/>
  <c r="AD23" i="5"/>
  <c r="V23" i="5"/>
  <c r="AL23" i="5"/>
  <c r="Z22" i="5"/>
  <c r="Z23" i="5"/>
  <c r="N121" i="28"/>
  <c r="V24" i="5" l="1"/>
  <c r="N24" i="5"/>
  <c r="B27" i="5"/>
  <c r="N27" i="5" s="1"/>
  <c r="AL24" i="5"/>
  <c r="H24" i="5"/>
  <c r="AD24" i="5"/>
  <c r="B28" i="5"/>
  <c r="Z24" i="5" l="1"/>
  <c r="O43" i="5"/>
  <c r="I44" i="5"/>
  <c r="AD28" i="5"/>
  <c r="V28" i="5"/>
  <c r="AL28" i="5"/>
  <c r="H27" i="5"/>
  <c r="I27" i="5" s="1"/>
  <c r="AL27" i="5"/>
  <c r="AD27" i="5"/>
  <c r="V27" i="5"/>
  <c r="Z27" i="5"/>
  <c r="N28" i="5"/>
  <c r="B29" i="5"/>
  <c r="H28" i="5"/>
  <c r="I28" i="5" s="1"/>
  <c r="V29" i="5" l="1"/>
  <c r="AL29" i="5"/>
  <c r="AD29" i="5"/>
  <c r="Z28" i="5"/>
  <c r="N29" i="5"/>
  <c r="B30" i="5"/>
  <c r="H29" i="5"/>
  <c r="I29" i="5" s="1"/>
  <c r="V30" i="5" l="1"/>
  <c r="AL30" i="5"/>
  <c r="AD30" i="5"/>
  <c r="Z29" i="5"/>
  <c r="B31" i="5"/>
  <c r="H30" i="5"/>
  <c r="I30" i="5" s="1"/>
  <c r="N30" i="5"/>
  <c r="AL31" i="5" l="1"/>
  <c r="AD31" i="5"/>
  <c r="V31" i="5"/>
  <c r="Z30" i="5"/>
  <c r="N31" i="5"/>
  <c r="H31" i="5"/>
  <c r="I31" i="5" s="1"/>
  <c r="B32" i="5"/>
  <c r="AD32" i="5" l="1"/>
  <c r="V32" i="5"/>
  <c r="AL32" i="5"/>
  <c r="Z31" i="5"/>
  <c r="H32" i="5"/>
  <c r="I32" i="5" s="1"/>
  <c r="N32" i="5"/>
  <c r="Z32" i="5" l="1"/>
  <c r="A84" i="17" l="1"/>
  <c r="A85" i="17" l="1"/>
  <c r="G13" i="28" l="1"/>
  <c r="H13" i="28" s="1"/>
  <c r="G58" i="28"/>
  <c r="H58" i="28" s="1"/>
  <c r="G14" i="28" l="1"/>
  <c r="H14" i="28" s="1"/>
  <c r="G59" i="28"/>
  <c r="H59" i="28" s="1"/>
  <c r="G15" i="28" l="1"/>
  <c r="H15" i="28" s="1"/>
  <c r="G60" i="28"/>
  <c r="H60" i="28" s="1"/>
  <c r="G61" i="28" l="1"/>
  <c r="H61" i="28" s="1"/>
  <c r="G16" i="28"/>
  <c r="H16" i="28" s="1"/>
  <c r="G17" i="28" l="1"/>
  <c r="H17" i="28" s="1"/>
  <c r="G62" i="28"/>
  <c r="H62" i="28" s="1"/>
  <c r="G63" i="28" l="1"/>
  <c r="H63" i="28" s="1"/>
  <c r="G64" i="28" l="1"/>
  <c r="H64" i="28" s="1"/>
  <c r="G20" i="28" l="1"/>
  <c r="H20" i="28" s="1"/>
  <c r="G65" i="28"/>
  <c r="H65" i="28" s="1"/>
  <c r="G21" i="28" l="1"/>
  <c r="H21" i="28" s="1"/>
  <c r="G66" i="28"/>
  <c r="H66" i="28" s="1"/>
  <c r="G67" i="28" l="1"/>
  <c r="H67" i="28" s="1"/>
  <c r="G22" i="28"/>
  <c r="H22" i="28" s="1"/>
  <c r="G68" i="28" l="1"/>
  <c r="H68" i="28" s="1"/>
  <c r="G23" i="28"/>
  <c r="H23" i="28" s="1"/>
  <c r="G24" i="28" l="1"/>
  <c r="H24" i="28" s="1"/>
  <c r="G69" i="28"/>
  <c r="H69" i="28" s="1"/>
  <c r="K69" i="28" s="1"/>
  <c r="H25" i="28" l="1"/>
  <c r="G70" i="28"/>
  <c r="H70" i="28" s="1"/>
  <c r="K70" i="28" s="1"/>
  <c r="G71" i="28" l="1"/>
  <c r="H71" i="28" s="1"/>
  <c r="K71" i="28" s="1"/>
  <c r="H26" i="28"/>
  <c r="G72" i="28" l="1"/>
  <c r="H72" i="28" s="1"/>
  <c r="H27" i="28"/>
  <c r="D27" i="5" s="1"/>
  <c r="H28" i="28" l="1"/>
  <c r="D28" i="5" s="1"/>
  <c r="G73" i="28"/>
  <c r="H73" i="28" s="1"/>
  <c r="C27" i="5"/>
  <c r="E27" i="5" l="1"/>
  <c r="F27" i="5" s="1"/>
  <c r="K27" i="5" s="1"/>
  <c r="C28" i="5"/>
  <c r="G74" i="28"/>
  <c r="H74" i="28" s="1"/>
  <c r="G29" i="28"/>
  <c r="H29" i="28" s="1"/>
  <c r="D29" i="5" s="1"/>
  <c r="E28" i="5" l="1"/>
  <c r="F28" i="5" s="1"/>
  <c r="K28" i="5" s="1"/>
  <c r="O27" i="5"/>
  <c r="P27" i="5" s="1"/>
  <c r="AM27" i="5" s="1"/>
  <c r="D30" i="5"/>
  <c r="C29" i="5"/>
  <c r="E29" i="5" l="1"/>
  <c r="F29" i="5" s="1"/>
  <c r="K29" i="5" s="1"/>
  <c r="O28" i="5"/>
  <c r="P28" i="5" s="1"/>
  <c r="AE27" i="5"/>
  <c r="C30" i="5"/>
  <c r="D31" i="5"/>
  <c r="O29" i="5" l="1"/>
  <c r="P29" i="5" s="1"/>
  <c r="AM29" i="5" s="1"/>
  <c r="E30" i="5"/>
  <c r="F30" i="5" s="1"/>
  <c r="K30" i="5" s="1"/>
  <c r="AE28" i="5"/>
  <c r="AM28" i="5"/>
  <c r="D32" i="5"/>
  <c r="C31" i="5"/>
  <c r="O30" i="5" l="1"/>
  <c r="P30" i="5" s="1"/>
  <c r="AE30" i="5" s="1"/>
  <c r="E31" i="5"/>
  <c r="F31" i="5" s="1"/>
  <c r="K31" i="5" s="1"/>
  <c r="AE29" i="5"/>
  <c r="C32" i="5"/>
  <c r="E32" i="5" l="1"/>
  <c r="F32" i="5" s="1"/>
  <c r="K32" i="5" s="1"/>
  <c r="O31" i="5"/>
  <c r="P31" i="5" s="1"/>
  <c r="AE31" i="5" s="1"/>
  <c r="AM30" i="5"/>
  <c r="O32" i="5" l="1"/>
  <c r="P32" i="5" s="1"/>
  <c r="AE32" i="5" s="1"/>
  <c r="AM31" i="5"/>
  <c r="AM32" i="5" l="1"/>
  <c r="J31" i="5" l="1"/>
  <c r="L31" i="5" s="1"/>
  <c r="J32" i="5"/>
  <c r="L32" i="5" s="1"/>
  <c r="J74" i="28"/>
  <c r="K74" i="28" s="1"/>
  <c r="J29" i="5"/>
  <c r="L29" i="5" s="1"/>
  <c r="J72" i="28"/>
  <c r="K72" i="28" s="1"/>
  <c r="J27" i="5"/>
  <c r="L27" i="5" s="1"/>
  <c r="J30" i="5"/>
  <c r="L30" i="5" s="1"/>
  <c r="J73" i="28"/>
  <c r="K73" i="28" s="1"/>
  <c r="J28" i="5"/>
  <c r="L28" i="5" s="1"/>
  <c r="R27" i="5" l="1"/>
  <c r="R28" i="5"/>
  <c r="R32" i="5"/>
  <c r="R30" i="5"/>
  <c r="R29" i="5"/>
  <c r="R31" i="5"/>
  <c r="AG31" i="5" l="1"/>
  <c r="AJ31" i="5" s="1"/>
  <c r="AO31" i="5"/>
  <c r="AR31" i="5" s="1"/>
  <c r="AG30" i="5"/>
  <c r="AJ30" i="5" s="1"/>
  <c r="AO30" i="5"/>
  <c r="AR30" i="5" s="1"/>
  <c r="AG32" i="5"/>
  <c r="AJ32" i="5" s="1"/>
  <c r="AO32" i="5"/>
  <c r="AR32" i="5" s="1"/>
  <c r="AG27" i="5"/>
  <c r="AJ27" i="5" s="1"/>
  <c r="AO27" i="5"/>
  <c r="AR27" i="5" s="1"/>
  <c r="AG29" i="5"/>
  <c r="AJ29" i="5" s="1"/>
  <c r="AO29" i="5"/>
  <c r="AR29" i="5" s="1"/>
  <c r="AG28" i="5"/>
  <c r="AJ28" i="5" s="1"/>
  <c r="AO28" i="5"/>
  <c r="AR28" i="5" s="1"/>
  <c r="Q29" i="5"/>
  <c r="AN29" i="5" s="1"/>
  <c r="AQ29" i="5" s="1"/>
  <c r="Y29" i="5"/>
  <c r="AB29" i="5" s="1"/>
  <c r="Q28" i="5"/>
  <c r="AN28" i="5" s="1"/>
  <c r="AQ28" i="5" s="1"/>
  <c r="Y28" i="5"/>
  <c r="AB28" i="5" s="1"/>
  <c r="Q31" i="5"/>
  <c r="AN31" i="5" s="1"/>
  <c r="AQ31" i="5" s="1"/>
  <c r="Y31" i="5"/>
  <c r="AB31" i="5" s="1"/>
  <c r="Q30" i="5"/>
  <c r="AN30" i="5" s="1"/>
  <c r="AQ30" i="5" s="1"/>
  <c r="Y30" i="5"/>
  <c r="AB30" i="5" s="1"/>
  <c r="E25" i="39" s="1"/>
  <c r="F25" i="39" s="1"/>
  <c r="Q32" i="5"/>
  <c r="AN32" i="5" s="1"/>
  <c r="AQ32" i="5" s="1"/>
  <c r="Y32" i="5"/>
  <c r="AB32" i="5" s="1"/>
  <c r="E27" i="39" s="1"/>
  <c r="F27" i="39" s="1"/>
  <c r="Q27" i="5"/>
  <c r="Y27" i="5"/>
  <c r="AB27" i="5" s="1"/>
  <c r="T29" i="5"/>
  <c r="T27" i="5"/>
  <c r="T31" i="5"/>
  <c r="T30" i="5"/>
  <c r="T32" i="5"/>
  <c r="T28" i="5"/>
  <c r="AN27" i="5" l="1"/>
  <c r="AQ27" i="5" s="1"/>
  <c r="S27" i="5"/>
  <c r="E27" i="36"/>
  <c r="F27" i="36" s="1"/>
  <c r="E24" i="36"/>
  <c r="F24" i="36" s="1"/>
  <c r="E23" i="39"/>
  <c r="F23" i="39" s="1"/>
  <c r="E24" i="39"/>
  <c r="F24" i="39" s="1"/>
  <c r="E26" i="39"/>
  <c r="F26" i="39" s="1"/>
  <c r="E26" i="36"/>
  <c r="F26" i="36" s="1"/>
  <c r="E25" i="36"/>
  <c r="F25" i="36" s="1"/>
  <c r="E23" i="36"/>
  <c r="F23" i="36" s="1"/>
  <c r="X27" i="5"/>
  <c r="AF27" i="5"/>
  <c r="AI27" i="5" s="1"/>
  <c r="X30" i="5"/>
  <c r="AF30" i="5"/>
  <c r="AI30" i="5" s="1"/>
  <c r="S30" i="5"/>
  <c r="X32" i="5"/>
  <c r="AF32" i="5"/>
  <c r="AI32" i="5" s="1"/>
  <c r="C27" i="44" s="1"/>
  <c r="L27" i="44" s="1"/>
  <c r="S32" i="5"/>
  <c r="X31" i="5"/>
  <c r="AF31" i="5"/>
  <c r="AI31" i="5" s="1"/>
  <c r="S31" i="5"/>
  <c r="C26" i="36" s="1"/>
  <c r="X28" i="5"/>
  <c r="AF28" i="5"/>
  <c r="AI28" i="5" s="1"/>
  <c r="C23" i="44" s="1"/>
  <c r="L23" i="44" s="1"/>
  <c r="S28" i="5"/>
  <c r="X29" i="5"/>
  <c r="AF29" i="5"/>
  <c r="AI29" i="5" s="1"/>
  <c r="C24" i="44" s="1"/>
  <c r="L24" i="44" s="1"/>
  <c r="S29" i="5"/>
  <c r="C24" i="36" s="1"/>
  <c r="E23" i="45"/>
  <c r="R23" i="45" s="1"/>
  <c r="C23" i="45"/>
  <c r="L23" i="45" s="1"/>
  <c r="E24" i="44"/>
  <c r="R24" i="44" s="1"/>
  <c r="E25" i="44"/>
  <c r="R25" i="44" s="1"/>
  <c r="E23" i="44"/>
  <c r="R23" i="44" s="1"/>
  <c r="E26" i="45"/>
  <c r="R26" i="45" s="1"/>
  <c r="C26" i="45"/>
  <c r="L26" i="45" s="1"/>
  <c r="E24" i="45"/>
  <c r="R24" i="45" s="1"/>
  <c r="C24" i="45"/>
  <c r="L24" i="45" s="1"/>
  <c r="E27" i="45"/>
  <c r="R27" i="45" s="1"/>
  <c r="C27" i="45"/>
  <c r="L27" i="45" s="1"/>
  <c r="E26" i="44"/>
  <c r="R26" i="44" s="1"/>
  <c r="E27" i="44"/>
  <c r="R27" i="44" s="1"/>
  <c r="E25" i="45"/>
  <c r="R25" i="45" s="1"/>
  <c r="C25" i="45"/>
  <c r="L25" i="45" s="1"/>
  <c r="C23" i="36" l="1"/>
  <c r="D23" i="36" s="1"/>
  <c r="C26" i="44"/>
  <c r="L26" i="44" s="1"/>
  <c r="C25" i="36"/>
  <c r="D25" i="36" s="1"/>
  <c r="D26" i="36"/>
  <c r="C27" i="36"/>
  <c r="D27" i="36" s="1"/>
  <c r="C29" i="13" s="1"/>
  <c r="C25" i="44"/>
  <c r="D24" i="36"/>
  <c r="F25" i="45"/>
  <c r="U25" i="45" s="1"/>
  <c r="F26" i="45"/>
  <c r="U26" i="45" s="1"/>
  <c r="F27" i="45"/>
  <c r="U27" i="45" s="1"/>
  <c r="F24" i="45"/>
  <c r="U24" i="45" s="1"/>
  <c r="F23" i="45"/>
  <c r="U23" i="45" s="1"/>
  <c r="F27" i="44"/>
  <c r="U27" i="44" s="1"/>
  <c r="F23" i="44"/>
  <c r="U23" i="44" s="1"/>
  <c r="F25" i="44"/>
  <c r="U25" i="44" s="1"/>
  <c r="F26" i="44"/>
  <c r="U26" i="44" s="1"/>
  <c r="F24" i="44"/>
  <c r="U24" i="44" s="1"/>
  <c r="D24" i="45"/>
  <c r="D23" i="45"/>
  <c r="D25" i="45"/>
  <c r="D27" i="45"/>
  <c r="D26" i="45"/>
  <c r="L28" i="13" l="1"/>
  <c r="N28" i="13" s="1"/>
  <c r="O26" i="45"/>
  <c r="L27" i="13"/>
  <c r="O25" i="45"/>
  <c r="L29" i="13"/>
  <c r="O27" i="45"/>
  <c r="L25" i="13"/>
  <c r="O23" i="45"/>
  <c r="L26" i="13"/>
  <c r="N26" i="13" s="1"/>
  <c r="O24" i="45"/>
  <c r="D25" i="44"/>
  <c r="O25" i="44" s="1"/>
  <c r="L25" i="44"/>
  <c r="C27" i="13"/>
  <c r="E27" i="13" s="1"/>
  <c r="C26" i="13"/>
  <c r="E29" i="13"/>
  <c r="C28" i="13"/>
  <c r="E28" i="13" s="1"/>
  <c r="C25" i="13"/>
  <c r="E25" i="13" s="1"/>
  <c r="D24" i="44"/>
  <c r="O24" i="44" s="1"/>
  <c r="D23" i="44"/>
  <c r="O23" i="44" s="1"/>
  <c r="D27" i="44"/>
  <c r="O27" i="44" s="1"/>
  <c r="D26" i="44"/>
  <c r="O26" i="44" s="1"/>
  <c r="I28" i="13" l="1"/>
  <c r="K28" i="13" s="1"/>
  <c r="N27" i="13"/>
  <c r="I26" i="13"/>
  <c r="I25" i="13"/>
  <c r="K25" i="13" s="1"/>
  <c r="I29" i="13"/>
  <c r="K29" i="13" s="1"/>
  <c r="I27" i="13"/>
  <c r="E26" i="13"/>
  <c r="N29" i="13"/>
  <c r="N25" i="13"/>
  <c r="K27" i="13" l="1"/>
  <c r="K26" i="13"/>
  <c r="W10" i="5" l="1"/>
  <c r="W41" i="5"/>
  <c r="W31" i="5"/>
  <c r="W29" i="5"/>
  <c r="W30" i="5"/>
  <c r="W28" i="5"/>
  <c r="W32" i="5"/>
  <c r="W27" i="5"/>
  <c r="AA31" i="5" l="1"/>
  <c r="AA27" i="5"/>
  <c r="AA32" i="5"/>
  <c r="AA28" i="5"/>
  <c r="C23" i="39" s="1"/>
  <c r="D23" i="39" s="1"/>
  <c r="AA30" i="5"/>
  <c r="AA29" i="5"/>
  <c r="C24" i="39" l="1"/>
  <c r="D24" i="39" s="1"/>
  <c r="F26" i="13" s="1"/>
  <c r="H26" i="13" s="1"/>
  <c r="C25" i="39"/>
  <c r="D25" i="39" s="1"/>
  <c r="C26" i="39"/>
  <c r="D26" i="39" s="1"/>
  <c r="C27" i="39"/>
  <c r="D27" i="39" s="1"/>
  <c r="F29" i="13" l="1"/>
  <c r="H29" i="13" s="1"/>
  <c r="F28" i="13"/>
  <c r="H28" i="13" s="1"/>
  <c r="F27" i="13"/>
  <c r="H27" i="13" s="1"/>
  <c r="O23" i="5" l="1"/>
  <c r="P23" i="5" s="1"/>
  <c r="AM23" i="5" l="1"/>
  <c r="W23" i="5"/>
  <c r="AE23" i="5"/>
  <c r="O13" i="5" l="1"/>
  <c r="P13" i="5" s="1"/>
  <c r="AE13" i="5" l="1"/>
  <c r="AM13" i="5"/>
  <c r="W13" i="5"/>
  <c r="O14" i="5" l="1"/>
  <c r="P14" i="5" s="1"/>
  <c r="W14" i="5" l="1"/>
  <c r="AM14" i="5"/>
  <c r="AE14" i="5"/>
  <c r="O15" i="5" l="1"/>
  <c r="P15" i="5" s="1"/>
  <c r="AM15" i="5" l="1"/>
  <c r="W15" i="5"/>
  <c r="AE15" i="5"/>
  <c r="O16" i="5" l="1"/>
  <c r="P16" i="5" s="1"/>
  <c r="W16" i="5" l="1"/>
  <c r="AE16" i="5"/>
  <c r="AM16" i="5"/>
  <c r="O17" i="5" l="1"/>
  <c r="P17" i="5" s="1"/>
  <c r="AM17" i="5" l="1"/>
  <c r="W17" i="5"/>
  <c r="AE17" i="5"/>
  <c r="O18" i="5" l="1"/>
  <c r="P18" i="5" s="1"/>
  <c r="AM18" i="5" l="1"/>
  <c r="W18" i="5"/>
  <c r="AE18" i="5"/>
  <c r="O19" i="5" l="1"/>
  <c r="P19" i="5" s="1"/>
  <c r="AM19" i="5" l="1"/>
  <c r="AE19" i="5"/>
  <c r="W19" i="5"/>
  <c r="O20" i="5" l="1"/>
  <c r="P20" i="5" s="1"/>
  <c r="AM20" i="5" l="1"/>
  <c r="AE20" i="5"/>
  <c r="W20" i="5"/>
  <c r="O21" i="5" l="1"/>
  <c r="P21" i="5" s="1"/>
  <c r="AM21" i="5" l="1"/>
  <c r="AE21" i="5"/>
  <c r="W21" i="5"/>
  <c r="O22" i="5" l="1"/>
  <c r="P22" i="5" s="1"/>
  <c r="AM22" i="5" l="1"/>
  <c r="W22" i="5"/>
  <c r="AE22" i="5"/>
  <c r="C22" i="44" l="1"/>
  <c r="C22" i="36"/>
  <c r="D22" i="36" s="1"/>
  <c r="C22" i="45"/>
  <c r="L22" i="45" s="1"/>
  <c r="C22" i="39"/>
  <c r="D22" i="39" s="1"/>
  <c r="F25" i="13" s="1"/>
  <c r="H25" i="13" s="1"/>
  <c r="D22" i="45" l="1"/>
  <c r="O22" i="45" s="1"/>
  <c r="L22" i="44"/>
  <c r="D22" i="44"/>
  <c r="O22" i="44" s="1"/>
  <c r="E22" i="39"/>
  <c r="F22" i="39" s="1"/>
  <c r="F24" i="13" s="1"/>
  <c r="H24" i="13" s="1"/>
  <c r="E22" i="45"/>
  <c r="R22" i="45" s="1"/>
  <c r="E22" i="36"/>
  <c r="F22" i="36" s="1"/>
  <c r="C24" i="13" s="1"/>
  <c r="E24" i="13" s="1"/>
  <c r="E22" i="44"/>
  <c r="R22" i="44" l="1"/>
  <c r="F22" i="44"/>
  <c r="F22" i="45"/>
  <c r="L24" i="13" l="1"/>
  <c r="N24" i="13" s="1"/>
  <c r="U22" i="45"/>
  <c r="U22" i="44"/>
  <c r="I24" i="13"/>
  <c r="K24" i="13" s="1"/>
  <c r="I21" i="17" l="1"/>
  <c r="L20" i="17"/>
  <c r="F21" i="17"/>
  <c r="E21" i="17"/>
  <c r="J20" i="17"/>
  <c r="G21" i="17"/>
  <c r="C21" i="17"/>
  <c r="M20" i="17"/>
  <c r="E20" i="17"/>
  <c r="H21" i="17"/>
  <c r="H20" i="17"/>
  <c r="K20" i="17"/>
  <c r="G20" i="17"/>
  <c r="F20" i="17"/>
  <c r="L21" i="17"/>
  <c r="C20" i="17"/>
  <c r="I20" i="17"/>
  <c r="D21" i="17"/>
  <c r="M21" i="17"/>
  <c r="D20" i="17"/>
  <c r="K21" i="17"/>
  <c r="J21" i="17"/>
  <c r="M39" i="17" l="1"/>
  <c r="M57" i="17"/>
  <c r="C38" i="17"/>
  <c r="C56" i="17"/>
  <c r="E56" i="17"/>
  <c r="E38" i="17"/>
  <c r="M56" i="17"/>
  <c r="M38" i="17"/>
  <c r="G57" i="17"/>
  <c r="G39" i="17"/>
  <c r="I57" i="17"/>
  <c r="I39" i="17"/>
  <c r="D38" i="17"/>
  <c r="D56" i="17"/>
  <c r="D39" i="17"/>
  <c r="D57" i="17"/>
  <c r="L57" i="17"/>
  <c r="L39" i="17"/>
  <c r="G38" i="17"/>
  <c r="G56" i="17"/>
  <c r="F39" i="17"/>
  <c r="F57" i="17"/>
  <c r="I38" i="17"/>
  <c r="I56" i="17"/>
  <c r="F38" i="17"/>
  <c r="F56" i="17"/>
  <c r="K56" i="17"/>
  <c r="K38" i="17"/>
  <c r="H57" i="17"/>
  <c r="H39" i="17"/>
  <c r="C39" i="17"/>
  <c r="C57" i="17"/>
  <c r="E39" i="17"/>
  <c r="E57" i="17"/>
  <c r="L38" i="17"/>
  <c r="L56" i="17"/>
  <c r="J57" i="17"/>
  <c r="J39" i="17"/>
  <c r="K39" i="17"/>
  <c r="K57" i="17"/>
  <c r="H38" i="17"/>
  <c r="H56" i="17"/>
  <c r="J38" i="17"/>
  <c r="J56" i="17"/>
  <c r="J38" i="42" l="1"/>
  <c r="J38" i="41"/>
  <c r="J38" i="40"/>
  <c r="K39" i="41"/>
  <c r="K39" i="42"/>
  <c r="K39" i="40"/>
  <c r="L38" i="40"/>
  <c r="L38" i="41"/>
  <c r="L38" i="42"/>
  <c r="C39" i="40"/>
  <c r="C39" i="42"/>
  <c r="C39" i="41"/>
  <c r="K20" i="42"/>
  <c r="K20" i="41"/>
  <c r="K74" i="17"/>
  <c r="K20" i="40"/>
  <c r="I38" i="41"/>
  <c r="I38" i="42"/>
  <c r="I38" i="40"/>
  <c r="G38" i="42"/>
  <c r="G38" i="40"/>
  <c r="G38" i="41"/>
  <c r="H94" i="17"/>
  <c r="F20" i="36" s="1"/>
  <c r="D39" i="41"/>
  <c r="D39" i="42"/>
  <c r="D39" i="40"/>
  <c r="I21" i="41"/>
  <c r="I21" i="42"/>
  <c r="I21" i="40"/>
  <c r="I75" i="17"/>
  <c r="M20" i="40"/>
  <c r="M20" i="41"/>
  <c r="M20" i="42"/>
  <c r="M74" i="17"/>
  <c r="C38" i="42"/>
  <c r="C38" i="41"/>
  <c r="C38" i="40"/>
  <c r="J74" i="17"/>
  <c r="J20" i="41"/>
  <c r="J56" i="41" s="1"/>
  <c r="J20" i="40"/>
  <c r="J56" i="40" s="1"/>
  <c r="J20" i="42"/>
  <c r="J56" i="42" s="1"/>
  <c r="K21" i="40"/>
  <c r="K57" i="40" s="1"/>
  <c r="K21" i="42"/>
  <c r="K57" i="42" s="1"/>
  <c r="K21" i="41"/>
  <c r="K57" i="41" s="1"/>
  <c r="K75" i="17"/>
  <c r="L74" i="17"/>
  <c r="L20" i="42"/>
  <c r="L56" i="42" s="1"/>
  <c r="L20" i="40"/>
  <c r="L56" i="40" s="1"/>
  <c r="L20" i="41"/>
  <c r="C21" i="40"/>
  <c r="C57" i="40" s="1"/>
  <c r="C21" i="41"/>
  <c r="C21" i="42"/>
  <c r="C75" i="17"/>
  <c r="K38" i="40"/>
  <c r="K38" i="41"/>
  <c r="K38" i="42"/>
  <c r="I74" i="17"/>
  <c r="I20" i="42"/>
  <c r="I56" i="42" s="1"/>
  <c r="I20" i="41"/>
  <c r="I56" i="41" s="1"/>
  <c r="I20" i="40"/>
  <c r="G20" i="41"/>
  <c r="G74" i="17"/>
  <c r="G94" i="17"/>
  <c r="D20" i="36" s="1"/>
  <c r="G20" i="40"/>
  <c r="G20" i="42"/>
  <c r="D21" i="40"/>
  <c r="D57" i="40" s="1"/>
  <c r="D75" i="17"/>
  <c r="D21" i="41"/>
  <c r="D21" i="42"/>
  <c r="D57" i="42" s="1"/>
  <c r="I39" i="42"/>
  <c r="I39" i="40"/>
  <c r="I39" i="41"/>
  <c r="M38" i="42"/>
  <c r="M38" i="40"/>
  <c r="M38" i="41"/>
  <c r="C74" i="17"/>
  <c r="C20" i="41"/>
  <c r="C20" i="40"/>
  <c r="C20" i="42"/>
  <c r="C56" i="42" s="1"/>
  <c r="H38" i="42"/>
  <c r="H38" i="40"/>
  <c r="H38" i="41"/>
  <c r="J21" i="40"/>
  <c r="J21" i="42"/>
  <c r="J75" i="17"/>
  <c r="J21" i="41"/>
  <c r="E39" i="40"/>
  <c r="E39" i="41"/>
  <c r="E39" i="42"/>
  <c r="H21" i="40"/>
  <c r="H21" i="41"/>
  <c r="H75" i="17"/>
  <c r="H21" i="42"/>
  <c r="F38" i="42"/>
  <c r="F38" i="41"/>
  <c r="F38" i="40"/>
  <c r="F39" i="42"/>
  <c r="F39" i="40"/>
  <c r="F39" i="41"/>
  <c r="L75" i="17"/>
  <c r="L21" i="41"/>
  <c r="L21" i="40"/>
  <c r="L21" i="42"/>
  <c r="D38" i="40"/>
  <c r="D38" i="42"/>
  <c r="D38" i="41"/>
  <c r="G95" i="17"/>
  <c r="D21" i="36" s="1"/>
  <c r="G21" i="42"/>
  <c r="G21" i="41"/>
  <c r="G21" i="40"/>
  <c r="G75" i="17"/>
  <c r="E74" i="17"/>
  <c r="E20" i="41"/>
  <c r="E20" i="40"/>
  <c r="E20" i="42"/>
  <c r="M39" i="40"/>
  <c r="M39" i="42"/>
  <c r="M39" i="41"/>
  <c r="H20" i="42"/>
  <c r="H20" i="41"/>
  <c r="H56" i="41" s="1"/>
  <c r="H20" i="40"/>
  <c r="H56" i="40" s="1"/>
  <c r="H74" i="17"/>
  <c r="J39" i="41"/>
  <c r="J39" i="40"/>
  <c r="J39" i="42"/>
  <c r="E21" i="41"/>
  <c r="E21" i="40"/>
  <c r="E57" i="40" s="1"/>
  <c r="E21" i="42"/>
  <c r="E57" i="42" s="1"/>
  <c r="E75" i="17"/>
  <c r="H39" i="40"/>
  <c r="H39" i="42"/>
  <c r="H39" i="41"/>
  <c r="F20" i="40"/>
  <c r="F20" i="41"/>
  <c r="F74" i="17"/>
  <c r="F20" i="42"/>
  <c r="F56" i="42" s="1"/>
  <c r="F75" i="17"/>
  <c r="F21" i="42"/>
  <c r="F57" i="42" s="1"/>
  <c r="F21" i="40"/>
  <c r="F57" i="40" s="1"/>
  <c r="F21" i="41"/>
  <c r="L39" i="41"/>
  <c r="L39" i="40"/>
  <c r="L39" i="42"/>
  <c r="D74" i="17"/>
  <c r="D20" i="42"/>
  <c r="D56" i="42" s="1"/>
  <c r="D20" i="41"/>
  <c r="D56" i="41" s="1"/>
  <c r="D20" i="40"/>
  <c r="G39" i="42"/>
  <c r="H95" i="17"/>
  <c r="F21" i="36" s="1"/>
  <c r="G39" i="41"/>
  <c r="G39" i="40"/>
  <c r="E38" i="42"/>
  <c r="E38" i="40"/>
  <c r="E38" i="41"/>
  <c r="M21" i="40"/>
  <c r="M75" i="17"/>
  <c r="M21" i="41"/>
  <c r="M57" i="41" s="1"/>
  <c r="M21" i="42"/>
  <c r="M57" i="42" l="1"/>
  <c r="C56" i="40"/>
  <c r="F57" i="41"/>
  <c r="D57" i="41"/>
  <c r="I56" i="40"/>
  <c r="C57" i="42"/>
  <c r="H77" i="40"/>
  <c r="F21" i="39" s="1"/>
  <c r="F56" i="41"/>
  <c r="E57" i="41"/>
  <c r="M57" i="40"/>
  <c r="D56" i="40"/>
  <c r="H56" i="42"/>
  <c r="E56" i="42"/>
  <c r="I95" i="17"/>
  <c r="C57" i="41"/>
  <c r="F56" i="40"/>
  <c r="C56" i="41"/>
  <c r="L56" i="41"/>
  <c r="H77" i="42"/>
  <c r="F21" i="45" s="1"/>
  <c r="U21" i="45" s="1"/>
  <c r="G57" i="42"/>
  <c r="G77" i="42"/>
  <c r="D21" i="45" s="1"/>
  <c r="J57" i="42"/>
  <c r="G76" i="40"/>
  <c r="D20" i="39" s="1"/>
  <c r="G56" i="40"/>
  <c r="I76" i="40" s="1"/>
  <c r="M56" i="41"/>
  <c r="I57" i="42"/>
  <c r="H76" i="42"/>
  <c r="F20" i="45" s="1"/>
  <c r="K56" i="40"/>
  <c r="L57" i="42"/>
  <c r="H57" i="41"/>
  <c r="J57" i="40"/>
  <c r="M56" i="40"/>
  <c r="I57" i="41"/>
  <c r="E56" i="40"/>
  <c r="G57" i="40"/>
  <c r="G77" i="40"/>
  <c r="D21" i="39" s="1"/>
  <c r="L57" i="40"/>
  <c r="H57" i="40"/>
  <c r="J57" i="41"/>
  <c r="I94" i="17"/>
  <c r="H76" i="41"/>
  <c r="F20" i="44" s="1"/>
  <c r="K56" i="41"/>
  <c r="H77" i="41"/>
  <c r="F21" i="44" s="1"/>
  <c r="U21" i="44" s="1"/>
  <c r="E56" i="41"/>
  <c r="G57" i="41"/>
  <c r="G77" i="41"/>
  <c r="D21" i="44" s="1"/>
  <c r="L57" i="41"/>
  <c r="H57" i="42"/>
  <c r="G76" i="42"/>
  <c r="D20" i="45" s="1"/>
  <c r="G56" i="42"/>
  <c r="I76" i="42" s="1"/>
  <c r="G76" i="41"/>
  <c r="D20" i="44" s="1"/>
  <c r="G56" i="41"/>
  <c r="I76" i="41" s="1"/>
  <c r="M56" i="42"/>
  <c r="I57" i="40"/>
  <c r="H76" i="40"/>
  <c r="F20" i="39" s="1"/>
  <c r="K56" i="42"/>
  <c r="B20" i="17"/>
  <c r="B21" i="17"/>
  <c r="I77" i="41" l="1"/>
  <c r="B56" i="17"/>
  <c r="B38" i="17"/>
  <c r="O21" i="44"/>
  <c r="O20" i="45"/>
  <c r="O21" i="45"/>
  <c r="B57" i="17"/>
  <c r="B39" i="17"/>
  <c r="U20" i="44"/>
  <c r="I77" i="42"/>
  <c r="O20" i="44"/>
  <c r="I77" i="40"/>
  <c r="U20" i="45"/>
  <c r="B21" i="40" l="1"/>
  <c r="K95" i="17"/>
  <c r="Q24" i="5" s="1"/>
  <c r="B75" i="17"/>
  <c r="B21" i="41"/>
  <c r="C95" i="17"/>
  <c r="C21" i="36" s="1"/>
  <c r="B21" i="42"/>
  <c r="B39" i="40"/>
  <c r="D95" i="17"/>
  <c r="E21" i="36" s="1"/>
  <c r="B39" i="41"/>
  <c r="B39" i="42"/>
  <c r="L95" i="17"/>
  <c r="L24" i="5" s="1"/>
  <c r="R24" i="5" s="1"/>
  <c r="B20" i="41"/>
  <c r="B20" i="40"/>
  <c r="K94" i="17"/>
  <c r="Q23" i="5" s="1"/>
  <c r="C94" i="17"/>
  <c r="C20" i="36" s="1"/>
  <c r="B74" i="17"/>
  <c r="B20" i="42"/>
  <c r="B38" i="40"/>
  <c r="B38" i="41"/>
  <c r="B38" i="42"/>
  <c r="L94" i="17"/>
  <c r="L23" i="5" s="1"/>
  <c r="R23" i="5" s="1"/>
  <c r="D94" i="17"/>
  <c r="E20" i="36" s="1"/>
  <c r="C23" i="13" l="1"/>
  <c r="E23" i="13" s="1"/>
  <c r="C76" i="42"/>
  <c r="C20" i="45" s="1"/>
  <c r="B56" i="42"/>
  <c r="K76" i="42"/>
  <c r="D76" i="42"/>
  <c r="E20" i="45" s="1"/>
  <c r="L76" i="42"/>
  <c r="AF23" i="5"/>
  <c r="AI23" i="5" s="1"/>
  <c r="S23" i="5"/>
  <c r="AN23" i="5"/>
  <c r="AQ23" i="5" s="1"/>
  <c r="X23" i="5"/>
  <c r="AA23" i="5" s="1"/>
  <c r="L77" i="42"/>
  <c r="D77" i="42"/>
  <c r="E21" i="45" s="1"/>
  <c r="R21" i="45" s="1"/>
  <c r="B57" i="42"/>
  <c r="K77" i="42"/>
  <c r="C77" i="42"/>
  <c r="C21" i="45" s="1"/>
  <c r="S24" i="5"/>
  <c r="AF24" i="5"/>
  <c r="AI24" i="5" s="1"/>
  <c r="X24" i="5"/>
  <c r="AA24" i="5" s="1"/>
  <c r="AN24" i="5"/>
  <c r="AQ24" i="5" s="1"/>
  <c r="D76" i="41"/>
  <c r="E20" i="44" s="1"/>
  <c r="L76" i="41"/>
  <c r="B56" i="40"/>
  <c r="K76" i="40"/>
  <c r="C76" i="40"/>
  <c r="C20" i="39" s="1"/>
  <c r="D77" i="41"/>
  <c r="E21" i="44" s="1"/>
  <c r="R21" i="44" s="1"/>
  <c r="L77" i="41"/>
  <c r="C77" i="40"/>
  <c r="C21" i="39" s="1"/>
  <c r="B57" i="40"/>
  <c r="K77" i="40"/>
  <c r="D76" i="40"/>
  <c r="E20" i="39" s="1"/>
  <c r="L76" i="40"/>
  <c r="M94" i="17"/>
  <c r="E94" i="17"/>
  <c r="B56" i="41"/>
  <c r="K76" i="41"/>
  <c r="C76" i="41"/>
  <c r="C20" i="44" s="1"/>
  <c r="K77" i="41"/>
  <c r="C77" i="41"/>
  <c r="C21" i="44" s="1"/>
  <c r="B57" i="41"/>
  <c r="AG23" i="5"/>
  <c r="AJ23" i="5" s="1"/>
  <c r="Y23" i="5"/>
  <c r="AB23" i="5" s="1"/>
  <c r="T23" i="5"/>
  <c r="AO23" i="5"/>
  <c r="AR23" i="5" s="1"/>
  <c r="C22" i="13"/>
  <c r="T24" i="5"/>
  <c r="Y24" i="5"/>
  <c r="AB24" i="5" s="1"/>
  <c r="AG24" i="5"/>
  <c r="AJ24" i="5" s="1"/>
  <c r="AO24" i="5"/>
  <c r="AR24" i="5" s="1"/>
  <c r="D77" i="40"/>
  <c r="E21" i="39" s="1"/>
  <c r="L77" i="40"/>
  <c r="M95" i="17"/>
  <c r="E95" i="17"/>
  <c r="F23" i="13" l="1"/>
  <c r="H23" i="13" s="1"/>
  <c r="R20" i="45"/>
  <c r="M77" i="41"/>
  <c r="E77" i="41"/>
  <c r="L21" i="44"/>
  <c r="I23" i="13"/>
  <c r="K23" i="13" s="1"/>
  <c r="M76" i="41"/>
  <c r="E76" i="41"/>
  <c r="M76" i="40"/>
  <c r="E76" i="40"/>
  <c r="M77" i="42"/>
  <c r="E77" i="42"/>
  <c r="E22" i="13"/>
  <c r="E76" i="42"/>
  <c r="M76" i="42"/>
  <c r="L20" i="44"/>
  <c r="I22" i="13"/>
  <c r="M77" i="40"/>
  <c r="E77" i="40"/>
  <c r="F22" i="13"/>
  <c r="R20" i="44"/>
  <c r="L21" i="45"/>
  <c r="L23" i="13"/>
  <c r="N23" i="13" s="1"/>
  <c r="L20" i="45"/>
  <c r="L22" i="13"/>
  <c r="H22" i="13" l="1"/>
  <c r="K22" i="13"/>
  <c r="N22" i="13"/>
  <c r="L15" i="17" l="1"/>
  <c r="M11" i="17"/>
  <c r="E16" i="17"/>
  <c r="I14" i="17"/>
  <c r="H11" i="17"/>
  <c r="D12" i="17"/>
  <c r="L14" i="17"/>
  <c r="G16" i="17"/>
  <c r="F19" i="17"/>
  <c r="K14" i="17"/>
  <c r="G11" i="17"/>
  <c r="K15" i="17"/>
  <c r="K51" i="17" l="1"/>
  <c r="K33" i="17"/>
  <c r="G34" i="17"/>
  <c r="G52" i="17"/>
  <c r="I50" i="17"/>
  <c r="I32" i="17"/>
  <c r="G29" i="17"/>
  <c r="G47" i="17"/>
  <c r="L50" i="17"/>
  <c r="L32" i="17"/>
  <c r="E52" i="17"/>
  <c r="E34" i="17"/>
  <c r="K32" i="17"/>
  <c r="K50" i="17"/>
  <c r="D48" i="17"/>
  <c r="D30" i="17"/>
  <c r="M29" i="17"/>
  <c r="M47" i="17"/>
  <c r="F37" i="17"/>
  <c r="F55" i="17"/>
  <c r="H29" i="17"/>
  <c r="H47" i="17"/>
  <c r="L33" i="17"/>
  <c r="L51" i="17"/>
  <c r="K16" i="17"/>
  <c r="J15" i="17"/>
  <c r="I17" i="17"/>
  <c r="F15" i="17"/>
  <c r="C12" i="17"/>
  <c r="E15" i="17"/>
  <c r="F14" i="17"/>
  <c r="D16" i="17"/>
  <c r="B15" i="17"/>
  <c r="D17" i="17"/>
  <c r="M16" i="17"/>
  <c r="L18" i="17"/>
  <c r="I10" i="17"/>
  <c r="B19" i="17"/>
  <c r="B14" i="17"/>
  <c r="J10" i="17"/>
  <c r="I11" i="17"/>
  <c r="G13" i="17"/>
  <c r="F11" i="17"/>
  <c r="E11" i="17"/>
  <c r="K12" i="17"/>
  <c r="J17" i="17"/>
  <c r="B16" i="17"/>
  <c r="M19" i="17"/>
  <c r="B12" i="17"/>
  <c r="G14" i="17"/>
  <c r="J18" i="17"/>
  <c r="H15" i="17"/>
  <c r="L10" i="17"/>
  <c r="E13" i="17"/>
  <c r="G17" i="17"/>
  <c r="C18" i="17"/>
  <c r="H10" i="17"/>
  <c r="L16" i="17"/>
  <c r="H46" i="17" l="1"/>
  <c r="H28" i="17"/>
  <c r="G32" i="17"/>
  <c r="G50" i="17"/>
  <c r="J53" i="17"/>
  <c r="J35" i="17"/>
  <c r="F29" i="17"/>
  <c r="F47" i="17"/>
  <c r="B50" i="17"/>
  <c r="B32" i="17"/>
  <c r="M34" i="17"/>
  <c r="M52" i="17"/>
  <c r="F32" i="17"/>
  <c r="F50" i="17"/>
  <c r="I35" i="17"/>
  <c r="I53" i="17"/>
  <c r="L33" i="42"/>
  <c r="L33" i="40"/>
  <c r="L33" i="41"/>
  <c r="F37" i="40"/>
  <c r="F37" i="41"/>
  <c r="F37" i="42"/>
  <c r="D12" i="40"/>
  <c r="D66" i="17"/>
  <c r="D12" i="41"/>
  <c r="D12" i="42"/>
  <c r="E16" i="42"/>
  <c r="E16" i="40"/>
  <c r="E70" i="17"/>
  <c r="E16" i="41"/>
  <c r="G29" i="42"/>
  <c r="G29" i="41"/>
  <c r="G29" i="40"/>
  <c r="G34" i="42"/>
  <c r="G34" i="41"/>
  <c r="G34" i="40"/>
  <c r="C36" i="17"/>
  <c r="C54" i="17"/>
  <c r="L28" i="17"/>
  <c r="L46" i="17"/>
  <c r="B48" i="17"/>
  <c r="B30" i="17"/>
  <c r="G49" i="17"/>
  <c r="G31" i="17"/>
  <c r="B55" i="17"/>
  <c r="B37" i="17"/>
  <c r="D35" i="17"/>
  <c r="D53" i="17"/>
  <c r="E33" i="17"/>
  <c r="E51" i="17"/>
  <c r="J33" i="17"/>
  <c r="J51" i="17"/>
  <c r="L15" i="41"/>
  <c r="L15" i="40"/>
  <c r="L51" i="40" s="1"/>
  <c r="L69" i="17"/>
  <c r="L15" i="42"/>
  <c r="F73" i="17"/>
  <c r="F19" i="42"/>
  <c r="F19" i="40"/>
  <c r="F19" i="41"/>
  <c r="D30" i="41"/>
  <c r="D30" i="40"/>
  <c r="D30" i="42"/>
  <c r="E34" i="41"/>
  <c r="E34" i="40"/>
  <c r="E34" i="42"/>
  <c r="G11" i="40"/>
  <c r="G11" i="41"/>
  <c r="G11" i="42"/>
  <c r="G65" i="17"/>
  <c r="G16" i="42"/>
  <c r="G70" i="17"/>
  <c r="G16" i="41"/>
  <c r="G16" i="40"/>
  <c r="G35" i="17"/>
  <c r="G53" i="17"/>
  <c r="H33" i="17"/>
  <c r="H51" i="17"/>
  <c r="M55" i="17"/>
  <c r="M37" i="17"/>
  <c r="K30" i="17"/>
  <c r="K48" i="17"/>
  <c r="I47" i="17"/>
  <c r="I29" i="17"/>
  <c r="I28" i="17"/>
  <c r="I46" i="17"/>
  <c r="B33" i="17"/>
  <c r="B51" i="17"/>
  <c r="C30" i="17"/>
  <c r="C48" i="17"/>
  <c r="K34" i="17"/>
  <c r="K52" i="17"/>
  <c r="H29" i="40"/>
  <c r="H29" i="42"/>
  <c r="H29" i="41"/>
  <c r="M29" i="42"/>
  <c r="M29" i="40"/>
  <c r="M29" i="41"/>
  <c r="K32" i="42"/>
  <c r="K32" i="41"/>
  <c r="K32" i="40"/>
  <c r="L14" i="40"/>
  <c r="L14" i="41"/>
  <c r="L68" i="17"/>
  <c r="L14" i="42"/>
  <c r="I14" i="41"/>
  <c r="I68" i="17"/>
  <c r="I14" i="40"/>
  <c r="I14" i="42"/>
  <c r="K15" i="41"/>
  <c r="K15" i="42"/>
  <c r="K15" i="40"/>
  <c r="K69" i="17"/>
  <c r="L34" i="17"/>
  <c r="L52" i="17"/>
  <c r="E31" i="17"/>
  <c r="E49" i="17"/>
  <c r="J54" i="17"/>
  <c r="J36" i="17"/>
  <c r="B52" i="17"/>
  <c r="B34" i="17"/>
  <c r="E29" i="17"/>
  <c r="E47" i="17"/>
  <c r="J28" i="17"/>
  <c r="J46" i="17"/>
  <c r="L36" i="17"/>
  <c r="L54" i="17"/>
  <c r="D34" i="17"/>
  <c r="D52" i="17"/>
  <c r="F51" i="17"/>
  <c r="F33" i="17"/>
  <c r="H11" i="42"/>
  <c r="H11" i="41"/>
  <c r="H11" i="40"/>
  <c r="H65" i="17"/>
  <c r="M11" i="42"/>
  <c r="M47" i="42" s="1"/>
  <c r="M11" i="40"/>
  <c r="M47" i="40" s="1"/>
  <c r="M11" i="41"/>
  <c r="M47" i="41" s="1"/>
  <c r="M65" i="17"/>
  <c r="K68" i="17"/>
  <c r="K14" i="41"/>
  <c r="K14" i="40"/>
  <c r="K14" i="42"/>
  <c r="K50" i="42" s="1"/>
  <c r="L32" i="41"/>
  <c r="L32" i="40"/>
  <c r="L32" i="42"/>
  <c r="I32" i="41"/>
  <c r="I32" i="42"/>
  <c r="I32" i="40"/>
  <c r="K33" i="40"/>
  <c r="K33" i="42"/>
  <c r="K33" i="41"/>
  <c r="H16" i="17"/>
  <c r="D13" i="17"/>
  <c r="M17" i="17"/>
  <c r="C15" i="17"/>
  <c r="H13" i="17"/>
  <c r="H12" i="17"/>
  <c r="G15" i="17"/>
  <c r="B17" i="17"/>
  <c r="D15" i="17"/>
  <c r="K13" i="17"/>
  <c r="I19" i="17"/>
  <c r="E12" i="17"/>
  <c r="C13" i="17"/>
  <c r="B18" i="17"/>
  <c r="K18" i="17"/>
  <c r="J14" i="17"/>
  <c r="F12" i="17"/>
  <c r="G10" i="17"/>
  <c r="M10" i="17"/>
  <c r="F18" i="17"/>
  <c r="H14" i="17"/>
  <c r="K19" i="17"/>
  <c r="E14" i="17"/>
  <c r="F17" i="17"/>
  <c r="C14" i="17"/>
  <c r="M15" i="17"/>
  <c r="E18" i="17"/>
  <c r="C17" i="17"/>
  <c r="K11" i="17"/>
  <c r="D14" i="17"/>
  <c r="D19" i="17"/>
  <c r="B13" i="17"/>
  <c r="E17" i="17"/>
  <c r="E19" i="17"/>
  <c r="C16" i="17"/>
  <c r="J16" i="17"/>
  <c r="J12" i="17"/>
  <c r="J13" i="17"/>
  <c r="H17" i="17"/>
  <c r="B11" i="17"/>
  <c r="D11" i="17"/>
  <c r="I15" i="17"/>
  <c r="D18" i="17"/>
  <c r="M12" i="17"/>
  <c r="F13" i="17"/>
  <c r="H19" i="17"/>
  <c r="G12" i="17"/>
  <c r="C19" i="17"/>
  <c r="M14" i="17"/>
  <c r="M18" i="17"/>
  <c r="L19" i="17"/>
  <c r="M13" i="17"/>
  <c r="L13" i="17"/>
  <c r="G18" i="17"/>
  <c r="I18" i="17"/>
  <c r="I13" i="17"/>
  <c r="L17" i="17"/>
  <c r="C11" i="17"/>
  <c r="I12" i="17"/>
  <c r="K17" i="17"/>
  <c r="G19" i="17"/>
  <c r="H18" i="17"/>
  <c r="L12" i="17"/>
  <c r="J19" i="17"/>
  <c r="F10" i="17"/>
  <c r="L11" i="17"/>
  <c r="J11" i="17"/>
  <c r="F16" i="17"/>
  <c r="K10" i="17"/>
  <c r="I16" i="17"/>
  <c r="H47" i="41" l="1"/>
  <c r="L51" i="41"/>
  <c r="H47" i="42"/>
  <c r="F55" i="42"/>
  <c r="F55" i="40"/>
  <c r="K50" i="41"/>
  <c r="F55" i="41"/>
  <c r="L51" i="42"/>
  <c r="K50" i="40"/>
  <c r="H47" i="40"/>
  <c r="I36" i="17"/>
  <c r="I54" i="17"/>
  <c r="L37" i="17"/>
  <c r="L55" i="17"/>
  <c r="G30" i="17"/>
  <c r="G48" i="17"/>
  <c r="D54" i="17"/>
  <c r="D36" i="17"/>
  <c r="H35" i="17"/>
  <c r="G91" i="17" s="1"/>
  <c r="D17" i="36" s="1"/>
  <c r="H53" i="17"/>
  <c r="H91" i="17" s="1"/>
  <c r="F17" i="36" s="1"/>
  <c r="C34" i="17"/>
  <c r="C52" i="17"/>
  <c r="D55" i="17"/>
  <c r="D37" i="17"/>
  <c r="E54" i="17"/>
  <c r="E36" i="17"/>
  <c r="E50" i="17"/>
  <c r="E32" i="17"/>
  <c r="M46" i="17"/>
  <c r="M28" i="17"/>
  <c r="K54" i="17"/>
  <c r="K36" i="17"/>
  <c r="I37" i="17"/>
  <c r="I55" i="17"/>
  <c r="G51" i="17"/>
  <c r="G33" i="17"/>
  <c r="C33" i="17"/>
  <c r="C51" i="17"/>
  <c r="D16" i="41"/>
  <c r="D16" i="40"/>
  <c r="D16" i="42"/>
  <c r="D70" i="17"/>
  <c r="J10" i="42"/>
  <c r="J10" i="40"/>
  <c r="J64" i="17"/>
  <c r="J10" i="41"/>
  <c r="B34" i="40"/>
  <c r="B34" i="42"/>
  <c r="B34" i="41"/>
  <c r="E13" i="42"/>
  <c r="E13" i="41"/>
  <c r="E67" i="17"/>
  <c r="E13" i="40"/>
  <c r="K51" i="40"/>
  <c r="I50" i="40"/>
  <c r="K34" i="40"/>
  <c r="K34" i="41"/>
  <c r="K34" i="42"/>
  <c r="B33" i="42"/>
  <c r="B33" i="41"/>
  <c r="B33" i="40"/>
  <c r="I11" i="41"/>
  <c r="I11" i="42"/>
  <c r="I65" i="17"/>
  <c r="I11" i="40"/>
  <c r="M19" i="40"/>
  <c r="M19" i="42"/>
  <c r="M73" i="17"/>
  <c r="M19" i="41"/>
  <c r="G35" i="41"/>
  <c r="G35" i="42"/>
  <c r="G35" i="40"/>
  <c r="G52" i="41"/>
  <c r="E33" i="41"/>
  <c r="E33" i="40"/>
  <c r="E33" i="42"/>
  <c r="B73" i="17"/>
  <c r="B19" i="41"/>
  <c r="B19" i="40"/>
  <c r="B19" i="42"/>
  <c r="B12" i="41"/>
  <c r="B12" i="42"/>
  <c r="B12" i="40"/>
  <c r="B66" i="17"/>
  <c r="C36" i="41"/>
  <c r="C36" i="40"/>
  <c r="C36" i="42"/>
  <c r="E52" i="40"/>
  <c r="I35" i="41"/>
  <c r="I35" i="40"/>
  <c r="I35" i="42"/>
  <c r="M34" i="40"/>
  <c r="M34" i="42"/>
  <c r="M34" i="41"/>
  <c r="F29" i="40"/>
  <c r="F29" i="41"/>
  <c r="F29" i="42"/>
  <c r="G32" i="42"/>
  <c r="G32" i="41"/>
  <c r="G32" i="40"/>
  <c r="J37" i="17"/>
  <c r="J55" i="17"/>
  <c r="I31" i="17"/>
  <c r="I49" i="17"/>
  <c r="H87" i="17" s="1"/>
  <c r="F13" i="36" s="1"/>
  <c r="L48" i="17"/>
  <c r="L30" i="17"/>
  <c r="I48" i="17"/>
  <c r="I30" i="17"/>
  <c r="I34" i="17"/>
  <c r="I52" i="17"/>
  <c r="L47" i="17"/>
  <c r="L29" i="17"/>
  <c r="H54" i="17"/>
  <c r="H36" i="17"/>
  <c r="C29" i="17"/>
  <c r="C47" i="17"/>
  <c r="G54" i="17"/>
  <c r="G36" i="17"/>
  <c r="M54" i="17"/>
  <c r="M36" i="17"/>
  <c r="H37" i="17"/>
  <c r="H55" i="17"/>
  <c r="I51" i="17"/>
  <c r="I33" i="17"/>
  <c r="J31" i="17"/>
  <c r="J49" i="17"/>
  <c r="E37" i="17"/>
  <c r="E55" i="17"/>
  <c r="D32" i="17"/>
  <c r="D50" i="17"/>
  <c r="M33" i="17"/>
  <c r="M51" i="17"/>
  <c r="K55" i="17"/>
  <c r="K37" i="17"/>
  <c r="G28" i="17"/>
  <c r="G46" i="17"/>
  <c r="B36" i="17"/>
  <c r="B54" i="17"/>
  <c r="K31" i="17"/>
  <c r="K49" i="17"/>
  <c r="M35" i="17"/>
  <c r="M53" i="17"/>
  <c r="F15" i="40"/>
  <c r="F15" i="42"/>
  <c r="F15" i="41"/>
  <c r="F69" i="17"/>
  <c r="L36" i="40"/>
  <c r="L36" i="41"/>
  <c r="L36" i="42"/>
  <c r="E29" i="40"/>
  <c r="E29" i="42"/>
  <c r="E29" i="41"/>
  <c r="J18" i="40"/>
  <c r="J18" i="41"/>
  <c r="J72" i="17"/>
  <c r="J18" i="42"/>
  <c r="L34" i="40"/>
  <c r="L34" i="41"/>
  <c r="L34" i="42"/>
  <c r="K51" i="42"/>
  <c r="L50" i="41"/>
  <c r="K16" i="42"/>
  <c r="K70" i="17"/>
  <c r="K16" i="41"/>
  <c r="K52" i="41" s="1"/>
  <c r="K16" i="40"/>
  <c r="B15" i="42"/>
  <c r="B69" i="17"/>
  <c r="B15" i="40"/>
  <c r="B15" i="41"/>
  <c r="I29" i="41"/>
  <c r="I29" i="40"/>
  <c r="I29" i="42"/>
  <c r="M37" i="41"/>
  <c r="M37" i="42"/>
  <c r="M37" i="40"/>
  <c r="G17" i="41"/>
  <c r="G71" i="17"/>
  <c r="G17" i="42"/>
  <c r="G17" i="40"/>
  <c r="G47" i="42"/>
  <c r="E15" i="42"/>
  <c r="E15" i="41"/>
  <c r="E51" i="41" s="1"/>
  <c r="E69" i="17"/>
  <c r="E15" i="40"/>
  <c r="B37" i="42"/>
  <c r="B37" i="40"/>
  <c r="B37" i="41"/>
  <c r="B30" i="42"/>
  <c r="B30" i="41"/>
  <c r="B30" i="40"/>
  <c r="C18" i="42"/>
  <c r="C18" i="40"/>
  <c r="C18" i="41"/>
  <c r="C72" i="17"/>
  <c r="E52" i="42"/>
  <c r="D48" i="40"/>
  <c r="I17" i="42"/>
  <c r="I17" i="40"/>
  <c r="I53" i="40" s="1"/>
  <c r="I71" i="17"/>
  <c r="I17" i="41"/>
  <c r="I53" i="41" s="1"/>
  <c r="M16" i="40"/>
  <c r="M16" i="41"/>
  <c r="M52" i="41" s="1"/>
  <c r="M16" i="42"/>
  <c r="M70" i="17"/>
  <c r="F11" i="42"/>
  <c r="F11" i="40"/>
  <c r="F47" i="40" s="1"/>
  <c r="F11" i="41"/>
  <c r="F47" i="41" s="1"/>
  <c r="F65" i="17"/>
  <c r="G14" i="42"/>
  <c r="G68" i="17"/>
  <c r="G14" i="40"/>
  <c r="G14" i="41"/>
  <c r="F34" i="17"/>
  <c r="F52" i="17"/>
  <c r="K53" i="17"/>
  <c r="K35" i="17"/>
  <c r="J47" i="17"/>
  <c r="J29" i="17"/>
  <c r="K28" i="17"/>
  <c r="K46" i="17"/>
  <c r="F46" i="17"/>
  <c r="F28" i="17"/>
  <c r="G37" i="17"/>
  <c r="G55" i="17"/>
  <c r="L53" i="17"/>
  <c r="L35" i="17"/>
  <c r="L49" i="17"/>
  <c r="L31" i="17"/>
  <c r="M32" i="17"/>
  <c r="M50" i="17"/>
  <c r="F31" i="17"/>
  <c r="F49" i="17"/>
  <c r="D29" i="17"/>
  <c r="D47" i="17"/>
  <c r="J48" i="17"/>
  <c r="J30" i="17"/>
  <c r="E35" i="17"/>
  <c r="E53" i="17"/>
  <c r="K29" i="17"/>
  <c r="K47" i="17"/>
  <c r="C32" i="17"/>
  <c r="C50" i="17"/>
  <c r="H50" i="17"/>
  <c r="H32" i="17"/>
  <c r="F48" i="17"/>
  <c r="F30" i="17"/>
  <c r="C49" i="17"/>
  <c r="C31" i="17"/>
  <c r="D33" i="17"/>
  <c r="D51" i="17"/>
  <c r="H30" i="17"/>
  <c r="H48" i="17"/>
  <c r="D49" i="17"/>
  <c r="D31" i="17"/>
  <c r="F33" i="42"/>
  <c r="F33" i="41"/>
  <c r="F33" i="40"/>
  <c r="L18" i="40"/>
  <c r="L54" i="40" s="1"/>
  <c r="L18" i="42"/>
  <c r="L72" i="17"/>
  <c r="L18" i="41"/>
  <c r="E11" i="41"/>
  <c r="E11" i="42"/>
  <c r="E65" i="17"/>
  <c r="E11" i="40"/>
  <c r="J36" i="42"/>
  <c r="J36" i="40"/>
  <c r="J36" i="41"/>
  <c r="L16" i="41"/>
  <c r="L52" i="41" s="1"/>
  <c r="L70" i="17"/>
  <c r="L16" i="42"/>
  <c r="L16" i="40"/>
  <c r="L52" i="40" s="1"/>
  <c r="K51" i="41"/>
  <c r="I50" i="41"/>
  <c r="L50" i="40"/>
  <c r="C30" i="40"/>
  <c r="C30" i="42"/>
  <c r="C30" i="41"/>
  <c r="I28" i="42"/>
  <c r="I28" i="41"/>
  <c r="I28" i="40"/>
  <c r="K30" i="41"/>
  <c r="K30" i="40"/>
  <c r="K30" i="42"/>
  <c r="H33" i="40"/>
  <c r="H33" i="41"/>
  <c r="H33" i="42"/>
  <c r="G52" i="42"/>
  <c r="G47" i="41"/>
  <c r="J33" i="41"/>
  <c r="J33" i="42"/>
  <c r="J33" i="40"/>
  <c r="D35" i="42"/>
  <c r="D35" i="40"/>
  <c r="D35" i="41"/>
  <c r="G13" i="42"/>
  <c r="G67" i="17"/>
  <c r="G13" i="40"/>
  <c r="G13" i="41"/>
  <c r="L28" i="41"/>
  <c r="L28" i="42"/>
  <c r="L28" i="40"/>
  <c r="H85" i="17"/>
  <c r="F11" i="36" s="1"/>
  <c r="E52" i="41"/>
  <c r="D48" i="42"/>
  <c r="F32" i="40"/>
  <c r="F32" i="42"/>
  <c r="F32" i="41"/>
  <c r="B14" i="41"/>
  <c r="B14" i="40"/>
  <c r="B68" i="17"/>
  <c r="B14" i="42"/>
  <c r="J17" i="41"/>
  <c r="J17" i="40"/>
  <c r="J17" i="42"/>
  <c r="J71" i="17"/>
  <c r="H10" i="42"/>
  <c r="H10" i="41"/>
  <c r="H10" i="40"/>
  <c r="H64" i="17"/>
  <c r="M31" i="17"/>
  <c r="M49" i="17"/>
  <c r="C37" i="17"/>
  <c r="C55" i="17"/>
  <c r="M48" i="17"/>
  <c r="M30" i="17"/>
  <c r="B47" i="17"/>
  <c r="B29" i="17"/>
  <c r="J52" i="17"/>
  <c r="J34" i="17"/>
  <c r="B31" i="17"/>
  <c r="B49" i="17"/>
  <c r="C53" i="17"/>
  <c r="C35" i="17"/>
  <c r="F53" i="17"/>
  <c r="F35" i="17"/>
  <c r="F36" i="17"/>
  <c r="F54" i="17"/>
  <c r="J32" i="17"/>
  <c r="J50" i="17"/>
  <c r="E48" i="17"/>
  <c r="E30" i="17"/>
  <c r="B53" i="17"/>
  <c r="B35" i="17"/>
  <c r="H31" i="17"/>
  <c r="H49" i="17"/>
  <c r="H34" i="17"/>
  <c r="H52" i="17"/>
  <c r="D34" i="40"/>
  <c r="D34" i="41"/>
  <c r="D34" i="42"/>
  <c r="J28" i="41"/>
  <c r="J28" i="40"/>
  <c r="J28" i="42"/>
  <c r="B16" i="40"/>
  <c r="B16" i="41"/>
  <c r="B16" i="42"/>
  <c r="K90" i="17"/>
  <c r="Q19" i="5" s="1"/>
  <c r="B70" i="17"/>
  <c r="E31" i="42"/>
  <c r="E31" i="41"/>
  <c r="E31" i="40"/>
  <c r="I50" i="42"/>
  <c r="L50" i="42"/>
  <c r="C12" i="42"/>
  <c r="C48" i="42" s="1"/>
  <c r="C66" i="17"/>
  <c r="C12" i="41"/>
  <c r="C12" i="40"/>
  <c r="I10" i="42"/>
  <c r="I10" i="40"/>
  <c r="I46" i="40" s="1"/>
  <c r="I64" i="17"/>
  <c r="I10" i="41"/>
  <c r="K12" i="40"/>
  <c r="K48" i="40" s="1"/>
  <c r="K66" i="17"/>
  <c r="K12" i="42"/>
  <c r="K12" i="41"/>
  <c r="H15" i="40"/>
  <c r="H15" i="42"/>
  <c r="H15" i="41"/>
  <c r="H69" i="17"/>
  <c r="G52" i="40"/>
  <c r="G85" i="17"/>
  <c r="D11" i="36" s="1"/>
  <c r="G47" i="40"/>
  <c r="J15" i="42"/>
  <c r="J69" i="17"/>
  <c r="J15" i="40"/>
  <c r="J51" i="40" s="1"/>
  <c r="J15" i="41"/>
  <c r="D17" i="42"/>
  <c r="D17" i="41"/>
  <c r="D71" i="17"/>
  <c r="D17" i="40"/>
  <c r="G31" i="42"/>
  <c r="G31" i="40"/>
  <c r="G31" i="41"/>
  <c r="L64" i="17"/>
  <c r="L10" i="40"/>
  <c r="L10" i="41"/>
  <c r="L46" i="41" s="1"/>
  <c r="L10" i="42"/>
  <c r="L46" i="42" s="1"/>
  <c r="D48" i="41"/>
  <c r="F14" i="41"/>
  <c r="F14" i="42"/>
  <c r="F50" i="42" s="1"/>
  <c r="F68" i="17"/>
  <c r="F14" i="40"/>
  <c r="B32" i="40"/>
  <c r="B32" i="42"/>
  <c r="B32" i="41"/>
  <c r="J35" i="42"/>
  <c r="J35" i="40"/>
  <c r="J35" i="41"/>
  <c r="H28" i="41"/>
  <c r="H28" i="42"/>
  <c r="H28" i="40"/>
  <c r="D53" i="41" l="1"/>
  <c r="D53" i="42"/>
  <c r="H51" i="42"/>
  <c r="H51" i="40"/>
  <c r="I46" i="42"/>
  <c r="E47" i="40"/>
  <c r="G53" i="42"/>
  <c r="L88" i="17"/>
  <c r="L17" i="5" s="1"/>
  <c r="R17" i="5" s="1"/>
  <c r="Y17" i="5" s="1"/>
  <c r="AB17" i="5" s="1"/>
  <c r="G53" i="40"/>
  <c r="C54" i="40"/>
  <c r="L46" i="40"/>
  <c r="I53" i="42"/>
  <c r="D88" i="17"/>
  <c r="E14" i="36" s="1"/>
  <c r="F50" i="40"/>
  <c r="K48" i="41"/>
  <c r="E51" i="40"/>
  <c r="K52" i="40"/>
  <c r="C88" i="17"/>
  <c r="C14" i="36" s="1"/>
  <c r="D53" i="40"/>
  <c r="J51" i="41"/>
  <c r="H51" i="41"/>
  <c r="C48" i="41"/>
  <c r="K88" i="17"/>
  <c r="Q17" i="5" s="1"/>
  <c r="AN17" i="5" s="1"/>
  <c r="AQ17" i="5" s="1"/>
  <c r="C93" i="17"/>
  <c r="C19" i="36" s="1"/>
  <c r="L52" i="42"/>
  <c r="E47" i="42"/>
  <c r="C54" i="42"/>
  <c r="C90" i="17"/>
  <c r="C16" i="36" s="1"/>
  <c r="F50" i="41"/>
  <c r="L54" i="42"/>
  <c r="J51" i="42"/>
  <c r="I46" i="41"/>
  <c r="C48" i="40"/>
  <c r="E47" i="41"/>
  <c r="L90" i="17"/>
  <c r="L19" i="5" s="1"/>
  <c r="R19" i="5" s="1"/>
  <c r="Y19" i="5" s="1"/>
  <c r="AB19" i="5" s="1"/>
  <c r="M52" i="42"/>
  <c r="K48" i="42"/>
  <c r="L93" i="17"/>
  <c r="L22" i="5" s="1"/>
  <c r="R22" i="5" s="1"/>
  <c r="T22" i="5" s="1"/>
  <c r="L54" i="41"/>
  <c r="F47" i="42"/>
  <c r="M52" i="40"/>
  <c r="C54" i="41"/>
  <c r="E51" i="42"/>
  <c r="K52" i="42"/>
  <c r="AF17" i="5"/>
  <c r="AI17" i="5" s="1"/>
  <c r="X17" i="5"/>
  <c r="AA17" i="5" s="1"/>
  <c r="S17" i="5"/>
  <c r="AO19" i="5"/>
  <c r="AR19" i="5" s="1"/>
  <c r="AG22" i="5"/>
  <c r="AJ22" i="5" s="1"/>
  <c r="B52" i="42"/>
  <c r="H31" i="40"/>
  <c r="H31" i="41"/>
  <c r="H31" i="42"/>
  <c r="E12" i="42"/>
  <c r="E66" i="17"/>
  <c r="E12" i="40"/>
  <c r="E12" i="41"/>
  <c r="F36" i="41"/>
  <c r="F36" i="40"/>
  <c r="F36" i="42"/>
  <c r="C17" i="41"/>
  <c r="C71" i="17"/>
  <c r="C17" i="40"/>
  <c r="C17" i="42"/>
  <c r="J70" i="17"/>
  <c r="J16" i="42"/>
  <c r="J16" i="40"/>
  <c r="J16" i="41"/>
  <c r="M12" i="40"/>
  <c r="M66" i="17"/>
  <c r="M12" i="42"/>
  <c r="M12" i="41"/>
  <c r="M31" i="40"/>
  <c r="M31" i="41"/>
  <c r="M31" i="42"/>
  <c r="H46" i="41"/>
  <c r="J53" i="40"/>
  <c r="B50" i="42"/>
  <c r="H12" i="40"/>
  <c r="H66" i="17"/>
  <c r="H12" i="41"/>
  <c r="H12" i="42"/>
  <c r="C31" i="40"/>
  <c r="C31" i="41"/>
  <c r="C31" i="42"/>
  <c r="H32" i="41"/>
  <c r="H32" i="42"/>
  <c r="H70" i="42" s="1"/>
  <c r="F14" i="45" s="1"/>
  <c r="U14" i="45" s="1"/>
  <c r="H32" i="40"/>
  <c r="K65" i="17"/>
  <c r="K11" i="40"/>
  <c r="K11" i="42"/>
  <c r="K11" i="41"/>
  <c r="J30" i="41"/>
  <c r="J30" i="40"/>
  <c r="J30" i="42"/>
  <c r="F13" i="40"/>
  <c r="F67" i="17"/>
  <c r="F13" i="41"/>
  <c r="F13" i="42"/>
  <c r="L31" i="40"/>
  <c r="L31" i="41"/>
  <c r="L31" i="42"/>
  <c r="G19" i="41"/>
  <c r="G19" i="42"/>
  <c r="G73" i="17"/>
  <c r="G19" i="40"/>
  <c r="G93" i="17"/>
  <c r="D19" i="36" s="1"/>
  <c r="K10" i="41"/>
  <c r="K64" i="17"/>
  <c r="K10" i="42"/>
  <c r="K10" i="40"/>
  <c r="K35" i="40"/>
  <c r="K35" i="41"/>
  <c r="K35" i="42"/>
  <c r="G50" i="41"/>
  <c r="B51" i="40"/>
  <c r="J54" i="42"/>
  <c r="F51" i="42"/>
  <c r="K31" i="41"/>
  <c r="K31" i="40"/>
  <c r="K31" i="42"/>
  <c r="G28" i="40"/>
  <c r="H66" i="40" s="1"/>
  <c r="F10" i="39" s="1"/>
  <c r="H84" i="17"/>
  <c r="F10" i="36" s="1"/>
  <c r="G28" i="41"/>
  <c r="H66" i="41" s="1"/>
  <c r="F10" i="44" s="1"/>
  <c r="U10" i="44" s="1"/>
  <c r="G28" i="42"/>
  <c r="H66" i="42" s="1"/>
  <c r="F10" i="45" s="1"/>
  <c r="U10" i="45" s="1"/>
  <c r="M33" i="42"/>
  <c r="M33" i="40"/>
  <c r="M33" i="41"/>
  <c r="E37" i="41"/>
  <c r="E37" i="40"/>
  <c r="E37" i="42"/>
  <c r="I15" i="42"/>
  <c r="I15" i="40"/>
  <c r="I69" i="17"/>
  <c r="I15" i="41"/>
  <c r="M18" i="41"/>
  <c r="M72" i="17"/>
  <c r="M18" i="40"/>
  <c r="M18" i="42"/>
  <c r="C29" i="40"/>
  <c r="C29" i="42"/>
  <c r="C29" i="41"/>
  <c r="L11" i="41"/>
  <c r="L65" i="17"/>
  <c r="L11" i="40"/>
  <c r="L11" i="42"/>
  <c r="I66" i="17"/>
  <c r="I12" i="40"/>
  <c r="I12" i="41"/>
  <c r="I12" i="42"/>
  <c r="I31" i="41"/>
  <c r="I31" i="42"/>
  <c r="I31" i="40"/>
  <c r="H88" i="17"/>
  <c r="F14" i="36" s="1"/>
  <c r="B48" i="42"/>
  <c r="B55" i="42"/>
  <c r="M55" i="40"/>
  <c r="I47" i="41"/>
  <c r="J46" i="41"/>
  <c r="C33" i="42"/>
  <c r="C33" i="40"/>
  <c r="C33" i="41"/>
  <c r="I37" i="41"/>
  <c r="I37" i="40"/>
  <c r="I37" i="42"/>
  <c r="M10" i="42"/>
  <c r="M10" i="41"/>
  <c r="M10" i="40"/>
  <c r="M64" i="17"/>
  <c r="E18" i="42"/>
  <c r="E18" i="40"/>
  <c r="E72" i="17"/>
  <c r="E18" i="41"/>
  <c r="C34" i="41"/>
  <c r="C34" i="42"/>
  <c r="C34" i="40"/>
  <c r="D18" i="40"/>
  <c r="D18" i="42"/>
  <c r="D72" i="17"/>
  <c r="D18" i="41"/>
  <c r="L37" i="41"/>
  <c r="L37" i="40"/>
  <c r="L37" i="42"/>
  <c r="B52" i="41"/>
  <c r="H13" i="40"/>
  <c r="H13" i="41"/>
  <c r="H67" i="17"/>
  <c r="H13" i="42"/>
  <c r="H49" i="42" s="1"/>
  <c r="E30" i="42"/>
  <c r="E30" i="41"/>
  <c r="E30" i="40"/>
  <c r="F18" i="42"/>
  <c r="F54" i="42" s="1"/>
  <c r="F18" i="40"/>
  <c r="F18" i="41"/>
  <c r="F54" i="41" s="1"/>
  <c r="F72" i="17"/>
  <c r="C35" i="42"/>
  <c r="C35" i="40"/>
  <c r="C35" i="41"/>
  <c r="J34" i="42"/>
  <c r="J34" i="41"/>
  <c r="J34" i="40"/>
  <c r="M30" i="40"/>
  <c r="M30" i="42"/>
  <c r="M30" i="41"/>
  <c r="M13" i="42"/>
  <c r="M13" i="40"/>
  <c r="M67" i="17"/>
  <c r="M13" i="41"/>
  <c r="M49" i="41" s="1"/>
  <c r="H46" i="42"/>
  <c r="J53" i="41"/>
  <c r="G87" i="17"/>
  <c r="D13" i="36" s="1"/>
  <c r="G49" i="42"/>
  <c r="D13" i="40"/>
  <c r="D13" i="42"/>
  <c r="D13" i="41"/>
  <c r="D67" i="17"/>
  <c r="D33" i="42"/>
  <c r="D33" i="41"/>
  <c r="D33" i="40"/>
  <c r="C86" i="17"/>
  <c r="C12" i="36" s="1"/>
  <c r="F12" i="41"/>
  <c r="F12" i="42"/>
  <c r="F12" i="40"/>
  <c r="F66" i="17"/>
  <c r="C32" i="40"/>
  <c r="C32" i="41"/>
  <c r="C32" i="42"/>
  <c r="E35" i="40"/>
  <c r="E35" i="42"/>
  <c r="E35" i="41"/>
  <c r="D29" i="42"/>
  <c r="D29" i="40"/>
  <c r="D29" i="41"/>
  <c r="M32" i="40"/>
  <c r="M32" i="42"/>
  <c r="M32" i="41"/>
  <c r="L17" i="41"/>
  <c r="L71" i="17"/>
  <c r="L17" i="40"/>
  <c r="L17" i="42"/>
  <c r="F10" i="41"/>
  <c r="F10" i="40"/>
  <c r="F10" i="42"/>
  <c r="K84" i="17"/>
  <c r="Q13" i="5" s="1"/>
  <c r="F64" i="17"/>
  <c r="C84" i="17"/>
  <c r="C10" i="36" s="1"/>
  <c r="J11" i="41"/>
  <c r="J11" i="42"/>
  <c r="J65" i="17"/>
  <c r="I85" i="17" s="1"/>
  <c r="J11" i="40"/>
  <c r="F34" i="41"/>
  <c r="D72" i="41" s="1"/>
  <c r="E16" i="44" s="1"/>
  <c r="R16" i="44" s="1"/>
  <c r="F34" i="40"/>
  <c r="F34" i="42"/>
  <c r="G50" i="40"/>
  <c r="L86" i="17"/>
  <c r="L15" i="5" s="1"/>
  <c r="R15" i="5" s="1"/>
  <c r="F51" i="40"/>
  <c r="K67" i="17"/>
  <c r="K13" i="42"/>
  <c r="K13" i="40"/>
  <c r="K49" i="40" s="1"/>
  <c r="K13" i="41"/>
  <c r="G64" i="17"/>
  <c r="I84" i="17" s="1"/>
  <c r="G10" i="42"/>
  <c r="G10" i="41"/>
  <c r="G10" i="40"/>
  <c r="G84" i="17"/>
  <c r="D10" i="36" s="1"/>
  <c r="M15" i="40"/>
  <c r="M15" i="42"/>
  <c r="M51" i="42" s="1"/>
  <c r="M15" i="41"/>
  <c r="M51" i="41" s="1"/>
  <c r="M69" i="17"/>
  <c r="E19" i="42"/>
  <c r="E19" i="41"/>
  <c r="E55" i="41" s="1"/>
  <c r="E73" i="17"/>
  <c r="E19" i="40"/>
  <c r="E55" i="40" s="1"/>
  <c r="I33" i="40"/>
  <c r="I33" i="42"/>
  <c r="I33" i="41"/>
  <c r="M36" i="41"/>
  <c r="M36" i="42"/>
  <c r="M36" i="40"/>
  <c r="C11" i="41"/>
  <c r="C47" i="41" s="1"/>
  <c r="C11" i="42"/>
  <c r="C47" i="42" s="1"/>
  <c r="C65" i="17"/>
  <c r="C11" i="40"/>
  <c r="L29" i="41"/>
  <c r="L29" i="40"/>
  <c r="L29" i="42"/>
  <c r="I30" i="42"/>
  <c r="I30" i="41"/>
  <c r="I30" i="40"/>
  <c r="I67" i="17"/>
  <c r="I13" i="42"/>
  <c r="I49" i="42" s="1"/>
  <c r="I13" i="40"/>
  <c r="I13" i="41"/>
  <c r="K86" i="17"/>
  <c r="Q15" i="5" s="1"/>
  <c r="B48" i="41"/>
  <c r="B55" i="40"/>
  <c r="M55" i="41"/>
  <c r="I47" i="40"/>
  <c r="L89" i="17"/>
  <c r="L18" i="5" s="1"/>
  <c r="R18" i="5" s="1"/>
  <c r="D71" i="42"/>
  <c r="E15" i="45" s="1"/>
  <c r="R15" i="45" s="1"/>
  <c r="E49" i="41"/>
  <c r="D52" i="42"/>
  <c r="C69" i="17"/>
  <c r="C15" i="40"/>
  <c r="C51" i="40" s="1"/>
  <c r="C15" i="41"/>
  <c r="C51" i="41" s="1"/>
  <c r="C15" i="42"/>
  <c r="C51" i="42" s="1"/>
  <c r="I73" i="17"/>
  <c r="I19" i="41"/>
  <c r="I19" i="40"/>
  <c r="I19" i="42"/>
  <c r="I55" i="42" s="1"/>
  <c r="M28" i="41"/>
  <c r="M28" i="42"/>
  <c r="M28" i="40"/>
  <c r="M46" i="40" s="1"/>
  <c r="E36" i="41"/>
  <c r="E36" i="42"/>
  <c r="E36" i="40"/>
  <c r="C16" i="40"/>
  <c r="C52" i="40" s="1"/>
  <c r="C16" i="42"/>
  <c r="C16" i="41"/>
  <c r="C52" i="41" s="1"/>
  <c r="C70" i="17"/>
  <c r="D36" i="42"/>
  <c r="D54" i="42" s="1"/>
  <c r="D36" i="41"/>
  <c r="D36" i="40"/>
  <c r="L19" i="41"/>
  <c r="L55" i="41" s="1"/>
  <c r="L19" i="42"/>
  <c r="L19" i="40"/>
  <c r="L55" i="40" s="1"/>
  <c r="L73" i="17"/>
  <c r="H34" i="42"/>
  <c r="H34" i="41"/>
  <c r="H34" i="40"/>
  <c r="H90" i="17"/>
  <c r="F16" i="36" s="1"/>
  <c r="B71" i="17"/>
  <c r="B17" i="41"/>
  <c r="K91" i="17"/>
  <c r="Q20" i="5" s="1"/>
  <c r="B17" i="40"/>
  <c r="C91" i="17"/>
  <c r="C17" i="36" s="1"/>
  <c r="B17" i="42"/>
  <c r="J32" i="40"/>
  <c r="H70" i="40" s="1"/>
  <c r="F14" i="39" s="1"/>
  <c r="J32" i="42"/>
  <c r="J32" i="41"/>
  <c r="F17" i="40"/>
  <c r="F17" i="42"/>
  <c r="F71" i="17"/>
  <c r="F17" i="41"/>
  <c r="B31" i="41"/>
  <c r="D87" i="17"/>
  <c r="E13" i="36" s="1"/>
  <c r="B31" i="40"/>
  <c r="L87" i="17"/>
  <c r="L16" i="5" s="1"/>
  <c r="R16" i="5" s="1"/>
  <c r="B31" i="42"/>
  <c r="B11" i="42"/>
  <c r="C85" i="17"/>
  <c r="C11" i="36" s="1"/>
  <c r="B65" i="17"/>
  <c r="B11" i="40"/>
  <c r="K85" i="17"/>
  <c r="Q14" i="5" s="1"/>
  <c r="B11" i="41"/>
  <c r="C37" i="42"/>
  <c r="C37" i="41"/>
  <c r="C37" i="40"/>
  <c r="B50" i="40"/>
  <c r="G49" i="41"/>
  <c r="D31" i="41"/>
  <c r="D31" i="40"/>
  <c r="D31" i="42"/>
  <c r="K89" i="17"/>
  <c r="Q18" i="5" s="1"/>
  <c r="D15" i="41"/>
  <c r="D51" i="41" s="1"/>
  <c r="D15" i="42"/>
  <c r="D51" i="42" s="1"/>
  <c r="D69" i="17"/>
  <c r="D15" i="40"/>
  <c r="F30" i="42"/>
  <c r="F30" i="40"/>
  <c r="F30" i="41"/>
  <c r="C68" i="17"/>
  <c r="C14" i="42"/>
  <c r="C14" i="40"/>
  <c r="C50" i="40" s="1"/>
  <c r="C14" i="41"/>
  <c r="C50" i="41" s="1"/>
  <c r="E17" i="42"/>
  <c r="E53" i="42" s="1"/>
  <c r="E71" i="17"/>
  <c r="E17" i="41"/>
  <c r="E53" i="41" s="1"/>
  <c r="E17" i="40"/>
  <c r="E53" i="40" s="1"/>
  <c r="D11" i="41"/>
  <c r="D47" i="41" s="1"/>
  <c r="D11" i="42"/>
  <c r="D11" i="40"/>
  <c r="D65" i="17"/>
  <c r="M14" i="40"/>
  <c r="M50" i="40" s="1"/>
  <c r="M14" i="41"/>
  <c r="M50" i="41" s="1"/>
  <c r="M14" i="42"/>
  <c r="M68" i="17"/>
  <c r="L35" i="41"/>
  <c r="L35" i="42"/>
  <c r="L35" i="40"/>
  <c r="F28" i="41"/>
  <c r="L84" i="17"/>
  <c r="L13" i="5" s="1"/>
  <c r="R13" i="5" s="1"/>
  <c r="F28" i="40"/>
  <c r="F28" i="42"/>
  <c r="D84" i="17"/>
  <c r="E10" i="36" s="1"/>
  <c r="J29" i="41"/>
  <c r="H67" i="41" s="1"/>
  <c r="F11" i="44" s="1"/>
  <c r="J29" i="42"/>
  <c r="H67" i="42" s="1"/>
  <c r="F11" i="45" s="1"/>
  <c r="J29" i="40"/>
  <c r="H67" i="40" s="1"/>
  <c r="F11" i="39" s="1"/>
  <c r="F16" i="42"/>
  <c r="F52" i="42" s="1"/>
  <c r="F16" i="41"/>
  <c r="F70" i="17"/>
  <c r="F16" i="40"/>
  <c r="F52" i="40" s="1"/>
  <c r="D93" i="17"/>
  <c r="E19" i="36" s="1"/>
  <c r="C89" i="17"/>
  <c r="C15" i="36" s="1"/>
  <c r="B51" i="42"/>
  <c r="J54" i="41"/>
  <c r="M35" i="40"/>
  <c r="M35" i="41"/>
  <c r="M35" i="42"/>
  <c r="B36" i="42"/>
  <c r="L92" i="17"/>
  <c r="L21" i="5" s="1"/>
  <c r="R21" i="5" s="1"/>
  <c r="B36" i="40"/>
  <c r="D92" i="17"/>
  <c r="E18" i="36" s="1"/>
  <c r="B36" i="41"/>
  <c r="K19" i="42"/>
  <c r="K73" i="17"/>
  <c r="K19" i="41"/>
  <c r="K19" i="40"/>
  <c r="D32" i="40"/>
  <c r="D32" i="42"/>
  <c r="D32" i="41"/>
  <c r="J31" i="41"/>
  <c r="J31" i="40"/>
  <c r="J31" i="42"/>
  <c r="H37" i="40"/>
  <c r="H37" i="42"/>
  <c r="H37" i="41"/>
  <c r="G92" i="17"/>
  <c r="D18" i="36" s="1"/>
  <c r="G18" i="40"/>
  <c r="G72" i="17"/>
  <c r="G18" i="42"/>
  <c r="G18" i="41"/>
  <c r="H18" i="42"/>
  <c r="H18" i="41"/>
  <c r="H72" i="17"/>
  <c r="H18" i="40"/>
  <c r="I34" i="42"/>
  <c r="I34" i="41"/>
  <c r="I34" i="40"/>
  <c r="L12" i="40"/>
  <c r="L12" i="42"/>
  <c r="L66" i="17"/>
  <c r="L12" i="41"/>
  <c r="J37" i="40"/>
  <c r="J37" i="42"/>
  <c r="J37" i="41"/>
  <c r="H70" i="41"/>
  <c r="F14" i="44" s="1"/>
  <c r="U14" i="44" s="1"/>
  <c r="B55" i="41"/>
  <c r="D89" i="17"/>
  <c r="E15" i="36" s="1"/>
  <c r="E49" i="42"/>
  <c r="J46" i="40"/>
  <c r="D52" i="40"/>
  <c r="G15" i="42"/>
  <c r="G69" i="17"/>
  <c r="I89" i="17" s="1"/>
  <c r="G89" i="17"/>
  <c r="D15" i="36" s="1"/>
  <c r="G15" i="41"/>
  <c r="K71" i="41" s="1"/>
  <c r="G15" i="40"/>
  <c r="K72" i="17"/>
  <c r="K18" i="42"/>
  <c r="K18" i="40"/>
  <c r="K18" i="41"/>
  <c r="E68" i="17"/>
  <c r="E14" i="41"/>
  <c r="E14" i="40"/>
  <c r="E14" i="42"/>
  <c r="D19" i="42"/>
  <c r="D73" i="17"/>
  <c r="D19" i="40"/>
  <c r="D19" i="41"/>
  <c r="H35" i="41"/>
  <c r="H73" i="41" s="1"/>
  <c r="F17" i="44" s="1"/>
  <c r="U17" i="44" s="1"/>
  <c r="H35" i="40"/>
  <c r="H73" i="40" s="1"/>
  <c r="F17" i="39" s="1"/>
  <c r="H35" i="42"/>
  <c r="H73" i="42" s="1"/>
  <c r="F17" i="45" s="1"/>
  <c r="U17" i="45" s="1"/>
  <c r="G30" i="40"/>
  <c r="G30" i="41"/>
  <c r="G30" i="42"/>
  <c r="H86" i="17"/>
  <c r="F12" i="36" s="1"/>
  <c r="I36" i="42"/>
  <c r="I36" i="41"/>
  <c r="I36" i="40"/>
  <c r="H69" i="42"/>
  <c r="F13" i="45" s="1"/>
  <c r="U13" i="45" s="1"/>
  <c r="X19" i="5"/>
  <c r="AA19" i="5" s="1"/>
  <c r="S19" i="5"/>
  <c r="AF19" i="5"/>
  <c r="AI19" i="5" s="1"/>
  <c r="AN19" i="5"/>
  <c r="AQ19" i="5" s="1"/>
  <c r="B52" i="40"/>
  <c r="H16" i="42"/>
  <c r="H16" i="40"/>
  <c r="H70" i="17"/>
  <c r="H16" i="41"/>
  <c r="G90" i="17"/>
  <c r="D16" i="36" s="1"/>
  <c r="B35" i="41"/>
  <c r="L91" i="17"/>
  <c r="L20" i="5" s="1"/>
  <c r="R20" i="5" s="1"/>
  <c r="B35" i="40"/>
  <c r="B35" i="42"/>
  <c r="D91" i="17"/>
  <c r="E17" i="36" s="1"/>
  <c r="J14" i="41"/>
  <c r="J50" i="41" s="1"/>
  <c r="J68" i="17"/>
  <c r="J14" i="42"/>
  <c r="J14" i="40"/>
  <c r="J50" i="40" s="1"/>
  <c r="F35" i="41"/>
  <c r="F35" i="42"/>
  <c r="F35" i="40"/>
  <c r="B13" i="40"/>
  <c r="C87" i="17"/>
  <c r="C13" i="36" s="1"/>
  <c r="B13" i="41"/>
  <c r="B67" i="17"/>
  <c r="B13" i="42"/>
  <c r="K87" i="17"/>
  <c r="Q16" i="5" s="1"/>
  <c r="B29" i="40"/>
  <c r="D85" i="17"/>
  <c r="E11" i="36" s="1"/>
  <c r="L85" i="17"/>
  <c r="L14" i="5" s="1"/>
  <c r="R14" i="5" s="1"/>
  <c r="B29" i="42"/>
  <c r="B29" i="41"/>
  <c r="C19" i="40"/>
  <c r="C55" i="40" s="1"/>
  <c r="C73" i="17"/>
  <c r="E93" i="17" s="1"/>
  <c r="C19" i="41"/>
  <c r="C19" i="42"/>
  <c r="C55" i="42" s="1"/>
  <c r="H46" i="40"/>
  <c r="J53" i="42"/>
  <c r="B50" i="41"/>
  <c r="G49" i="40"/>
  <c r="H30" i="42"/>
  <c r="H30" i="41"/>
  <c r="H30" i="40"/>
  <c r="C13" i="41"/>
  <c r="C67" i="17"/>
  <c r="C13" i="40"/>
  <c r="C49" i="40" s="1"/>
  <c r="C13" i="42"/>
  <c r="C49" i="42" s="1"/>
  <c r="H14" i="41"/>
  <c r="H50" i="41" s="1"/>
  <c r="H14" i="42"/>
  <c r="H68" i="17"/>
  <c r="I88" i="17" s="1"/>
  <c r="H14" i="40"/>
  <c r="H50" i="40" s="1"/>
  <c r="K29" i="40"/>
  <c r="K29" i="42"/>
  <c r="K29" i="41"/>
  <c r="J12" i="41"/>
  <c r="J48" i="41" s="1"/>
  <c r="J12" i="40"/>
  <c r="J48" i="40" s="1"/>
  <c r="J66" i="17"/>
  <c r="J12" i="42"/>
  <c r="J48" i="42" s="1"/>
  <c r="F31" i="41"/>
  <c r="F31" i="42"/>
  <c r="F31" i="40"/>
  <c r="L67" i="17"/>
  <c r="L13" i="40"/>
  <c r="L49" i="40" s="1"/>
  <c r="L13" i="42"/>
  <c r="L49" i="42" s="1"/>
  <c r="L13" i="41"/>
  <c r="L49" i="41" s="1"/>
  <c r="G37" i="40"/>
  <c r="G37" i="42"/>
  <c r="H93" i="17"/>
  <c r="F19" i="36" s="1"/>
  <c r="G37" i="41"/>
  <c r="K28" i="40"/>
  <c r="K28" i="41"/>
  <c r="K28" i="42"/>
  <c r="K17" i="42"/>
  <c r="K53" i="42" s="1"/>
  <c r="K17" i="41"/>
  <c r="K53" i="41" s="1"/>
  <c r="K71" i="17"/>
  <c r="K17" i="40"/>
  <c r="K53" i="40" s="1"/>
  <c r="G88" i="17"/>
  <c r="D14" i="36" s="1"/>
  <c r="G50" i="42"/>
  <c r="D86" i="17"/>
  <c r="E12" i="36" s="1"/>
  <c r="G53" i="41"/>
  <c r="B51" i="41"/>
  <c r="C71" i="41"/>
  <c r="C15" i="44" s="1"/>
  <c r="L15" i="44" s="1"/>
  <c r="J54" i="40"/>
  <c r="F51" i="41"/>
  <c r="M71" i="17"/>
  <c r="M17" i="40"/>
  <c r="M53" i="40" s="1"/>
  <c r="M17" i="42"/>
  <c r="M53" i="42" s="1"/>
  <c r="M17" i="41"/>
  <c r="C92" i="17"/>
  <c r="C18" i="36" s="1"/>
  <c r="B18" i="41"/>
  <c r="B72" i="17"/>
  <c r="B18" i="42"/>
  <c r="K92" i="17"/>
  <c r="Q21" i="5" s="1"/>
  <c r="B18" i="40"/>
  <c r="K37" i="42"/>
  <c r="K37" i="40"/>
  <c r="K37" i="41"/>
  <c r="D14" i="42"/>
  <c r="D50" i="42" s="1"/>
  <c r="D68" i="17"/>
  <c r="D14" i="40"/>
  <c r="D50" i="40" s="1"/>
  <c r="D14" i="41"/>
  <c r="J13" i="41"/>
  <c r="J67" i="17"/>
  <c r="J13" i="42"/>
  <c r="J13" i="40"/>
  <c r="G69" i="40" s="1"/>
  <c r="D13" i="39" s="1"/>
  <c r="H19" i="41"/>
  <c r="H55" i="41" s="1"/>
  <c r="H73" i="17"/>
  <c r="H19" i="42"/>
  <c r="H55" i="42" s="1"/>
  <c r="H19" i="40"/>
  <c r="G36" i="42"/>
  <c r="G36" i="41"/>
  <c r="H74" i="41" s="1"/>
  <c r="F18" i="44" s="1"/>
  <c r="U18" i="44" s="1"/>
  <c r="H92" i="17"/>
  <c r="F18" i="36" s="1"/>
  <c r="G36" i="40"/>
  <c r="H36" i="41"/>
  <c r="H36" i="42"/>
  <c r="H36" i="40"/>
  <c r="I16" i="42"/>
  <c r="I16" i="40"/>
  <c r="I52" i="40" s="1"/>
  <c r="I70" i="17"/>
  <c r="I16" i="41"/>
  <c r="I52" i="41" s="1"/>
  <c r="L30" i="42"/>
  <c r="L30" i="40"/>
  <c r="L30" i="41"/>
  <c r="J19" i="41"/>
  <c r="J55" i="41" s="1"/>
  <c r="J19" i="40"/>
  <c r="J55" i="40" s="1"/>
  <c r="J73" i="17"/>
  <c r="J19" i="42"/>
  <c r="J55" i="42" s="1"/>
  <c r="B48" i="40"/>
  <c r="K93" i="17"/>
  <c r="Q22" i="5" s="1"/>
  <c r="M55" i="42"/>
  <c r="I47" i="42"/>
  <c r="E49" i="40"/>
  <c r="D90" i="17"/>
  <c r="E16" i="36" s="1"/>
  <c r="D72" i="40"/>
  <c r="E16" i="39" s="1"/>
  <c r="J46" i="42"/>
  <c r="D52" i="41"/>
  <c r="G33" i="41"/>
  <c r="H71" i="41" s="1"/>
  <c r="F15" i="44" s="1"/>
  <c r="U15" i="44" s="1"/>
  <c r="G33" i="40"/>
  <c r="H71" i="40" s="1"/>
  <c r="F15" i="39" s="1"/>
  <c r="G33" i="42"/>
  <c r="H89" i="17"/>
  <c r="F15" i="36" s="1"/>
  <c r="K36" i="42"/>
  <c r="K36" i="40"/>
  <c r="K36" i="41"/>
  <c r="E32" i="42"/>
  <c r="E32" i="41"/>
  <c r="E32" i="40"/>
  <c r="D37" i="40"/>
  <c r="D37" i="41"/>
  <c r="D37" i="42"/>
  <c r="H71" i="17"/>
  <c r="I91" i="17" s="1"/>
  <c r="H17" i="41"/>
  <c r="H53" i="41" s="1"/>
  <c r="I73" i="41" s="1"/>
  <c r="H17" i="40"/>
  <c r="H17" i="42"/>
  <c r="G12" i="42"/>
  <c r="G12" i="40"/>
  <c r="G12" i="41"/>
  <c r="G66" i="17"/>
  <c r="G86" i="17"/>
  <c r="D12" i="36" s="1"/>
  <c r="I72" i="17"/>
  <c r="I18" i="41"/>
  <c r="I54" i="41" s="1"/>
  <c r="I18" i="42"/>
  <c r="I18" i="40"/>
  <c r="C68" i="40" l="1"/>
  <c r="C12" i="39" s="1"/>
  <c r="AG17" i="5"/>
  <c r="AJ17" i="5" s="1"/>
  <c r="I52" i="42"/>
  <c r="M72" i="42" s="1"/>
  <c r="D47" i="40"/>
  <c r="M49" i="40"/>
  <c r="AO17" i="5"/>
  <c r="AR17" i="5" s="1"/>
  <c r="I55" i="40"/>
  <c r="T17" i="5"/>
  <c r="I54" i="42"/>
  <c r="L70" i="41"/>
  <c r="C55" i="41"/>
  <c r="I49" i="40"/>
  <c r="T19" i="5"/>
  <c r="C19" i="13"/>
  <c r="E19" i="13" s="1"/>
  <c r="L72" i="42"/>
  <c r="E86" i="17"/>
  <c r="K49" i="42"/>
  <c r="H49" i="41"/>
  <c r="AG19" i="5"/>
  <c r="AJ19" i="5" s="1"/>
  <c r="I54" i="40"/>
  <c r="C49" i="41"/>
  <c r="H75" i="40"/>
  <c r="F19" i="39" s="1"/>
  <c r="C47" i="40"/>
  <c r="D71" i="40"/>
  <c r="E15" i="39" s="1"/>
  <c r="J49" i="42"/>
  <c r="M53" i="41"/>
  <c r="H71" i="42"/>
  <c r="F15" i="45" s="1"/>
  <c r="U15" i="45" s="1"/>
  <c r="C16" i="13"/>
  <c r="E16" i="13" s="1"/>
  <c r="H75" i="41"/>
  <c r="F19" i="44" s="1"/>
  <c r="U19" i="44" s="1"/>
  <c r="H50" i="42"/>
  <c r="J50" i="42"/>
  <c r="C71" i="42"/>
  <c r="C15" i="45" s="1"/>
  <c r="L15" i="45" s="1"/>
  <c r="M50" i="42"/>
  <c r="C52" i="42"/>
  <c r="E55" i="42"/>
  <c r="M51" i="40"/>
  <c r="Y22" i="5"/>
  <c r="AB22" i="5" s="1"/>
  <c r="D75" i="40"/>
  <c r="E19" i="39" s="1"/>
  <c r="C14" i="13"/>
  <c r="E14" i="13" s="1"/>
  <c r="J49" i="41"/>
  <c r="I69" i="41" s="1"/>
  <c r="C72" i="40"/>
  <c r="C16" i="39" s="1"/>
  <c r="D72" i="42"/>
  <c r="E16" i="45" s="1"/>
  <c r="R16" i="45" s="1"/>
  <c r="D47" i="42"/>
  <c r="C50" i="42"/>
  <c r="L55" i="42"/>
  <c r="I49" i="41"/>
  <c r="M49" i="42"/>
  <c r="F54" i="40"/>
  <c r="H49" i="40"/>
  <c r="AO22" i="5"/>
  <c r="AR22" i="5" s="1"/>
  <c r="D68" i="41"/>
  <c r="E12" i="44" s="1"/>
  <c r="R12" i="44" s="1"/>
  <c r="I86" i="17"/>
  <c r="D68" i="42"/>
  <c r="E12" i="45" s="1"/>
  <c r="R12" i="45" s="1"/>
  <c r="H74" i="40"/>
  <c r="F18" i="39" s="1"/>
  <c r="C70" i="41"/>
  <c r="C14" i="44" s="1"/>
  <c r="L14" i="44" s="1"/>
  <c r="H75" i="42"/>
  <c r="F19" i="45" s="1"/>
  <c r="U19" i="45" s="1"/>
  <c r="F52" i="41"/>
  <c r="D51" i="40"/>
  <c r="I55" i="41"/>
  <c r="K49" i="41"/>
  <c r="H68" i="41"/>
  <c r="F12" i="44" s="1"/>
  <c r="U12" i="44" s="1"/>
  <c r="M90" i="17"/>
  <c r="L75" i="41"/>
  <c r="L72" i="41"/>
  <c r="L70" i="40"/>
  <c r="M88" i="17"/>
  <c r="L75" i="42"/>
  <c r="H69" i="41"/>
  <c r="F13" i="44" s="1"/>
  <c r="U13" i="44" s="1"/>
  <c r="F36" i="36"/>
  <c r="C13" i="13"/>
  <c r="E13" i="13" s="1"/>
  <c r="E89" i="17"/>
  <c r="D70" i="42"/>
  <c r="E14" i="45" s="1"/>
  <c r="R14" i="45" s="1"/>
  <c r="D68" i="40"/>
  <c r="E12" i="39" s="1"/>
  <c r="I87" i="17"/>
  <c r="M93" i="17"/>
  <c r="L68" i="42"/>
  <c r="C68" i="42"/>
  <c r="C12" i="45" s="1"/>
  <c r="L12" i="45" s="1"/>
  <c r="L71" i="41"/>
  <c r="L71" i="40"/>
  <c r="AN21" i="5"/>
  <c r="AQ21" i="5" s="1"/>
  <c r="AF21" i="5"/>
  <c r="AI21" i="5" s="1"/>
  <c r="S21" i="5"/>
  <c r="X21" i="5"/>
  <c r="AA21" i="5" s="1"/>
  <c r="G73" i="42"/>
  <c r="D17" i="45" s="1"/>
  <c r="H53" i="42"/>
  <c r="I73" i="42" s="1"/>
  <c r="X22" i="5"/>
  <c r="AA22" i="5" s="1"/>
  <c r="AF22" i="5"/>
  <c r="AI22" i="5" s="1"/>
  <c r="S22" i="5"/>
  <c r="AN22" i="5"/>
  <c r="AQ22" i="5" s="1"/>
  <c r="B54" i="42"/>
  <c r="C74" i="42"/>
  <c r="C18" i="45" s="1"/>
  <c r="L18" i="45" s="1"/>
  <c r="K74" i="42"/>
  <c r="E71" i="41"/>
  <c r="L75" i="40"/>
  <c r="K70" i="41"/>
  <c r="D67" i="41"/>
  <c r="E11" i="44" s="1"/>
  <c r="L67" i="41"/>
  <c r="L67" i="40"/>
  <c r="D67" i="40"/>
  <c r="E11" i="39" s="1"/>
  <c r="B49" i="41"/>
  <c r="K69" i="41"/>
  <c r="C69" i="41"/>
  <c r="C13" i="44" s="1"/>
  <c r="L13" i="44" s="1"/>
  <c r="D73" i="40"/>
  <c r="E17" i="39" s="1"/>
  <c r="L73" i="40"/>
  <c r="H52" i="41"/>
  <c r="G72" i="41"/>
  <c r="D16" i="44" s="1"/>
  <c r="D70" i="41"/>
  <c r="E14" i="44" s="1"/>
  <c r="R14" i="44" s="1"/>
  <c r="H68" i="40"/>
  <c r="F12" i="39" s="1"/>
  <c r="D55" i="41"/>
  <c r="E50" i="42"/>
  <c r="K54" i="41"/>
  <c r="G51" i="40"/>
  <c r="M71" i="40" s="1"/>
  <c r="G71" i="40"/>
  <c r="D15" i="39" s="1"/>
  <c r="G71" i="42"/>
  <c r="D15" i="45" s="1"/>
  <c r="G51" i="42"/>
  <c r="K75" i="41"/>
  <c r="L48" i="41"/>
  <c r="G54" i="42"/>
  <c r="G74" i="42"/>
  <c r="D18" i="45" s="1"/>
  <c r="J49" i="40"/>
  <c r="I69" i="40" s="1"/>
  <c r="D70" i="40"/>
  <c r="E14" i="39" s="1"/>
  <c r="K55" i="42"/>
  <c r="T21" i="5"/>
  <c r="Y21" i="5"/>
  <c r="AB21" i="5" s="1"/>
  <c r="AO21" i="5"/>
  <c r="AR21" i="5" s="1"/>
  <c r="AG21" i="5"/>
  <c r="AJ21" i="5" s="1"/>
  <c r="E71" i="42"/>
  <c r="L66" i="41"/>
  <c r="D66" i="41"/>
  <c r="E10" i="44" s="1"/>
  <c r="R10" i="44" s="1"/>
  <c r="AF14" i="5"/>
  <c r="AI14" i="5" s="1"/>
  <c r="X14" i="5"/>
  <c r="AA14" i="5" s="1"/>
  <c r="S14" i="5"/>
  <c r="AN14" i="5"/>
  <c r="AQ14" i="5" s="1"/>
  <c r="K67" i="42"/>
  <c r="C67" i="42"/>
  <c r="C11" i="45" s="1"/>
  <c r="B47" i="42"/>
  <c r="F53" i="42"/>
  <c r="AN20" i="5"/>
  <c r="AQ20" i="5" s="1"/>
  <c r="S20" i="5"/>
  <c r="X20" i="5"/>
  <c r="AA20" i="5" s="1"/>
  <c r="AF20" i="5"/>
  <c r="AI20" i="5" s="1"/>
  <c r="L72" i="40"/>
  <c r="H72" i="40"/>
  <c r="F16" i="39" s="1"/>
  <c r="D36" i="36"/>
  <c r="AG18" i="5"/>
  <c r="AJ18" i="5" s="1"/>
  <c r="T18" i="5"/>
  <c r="AO18" i="5"/>
  <c r="AR18" i="5" s="1"/>
  <c r="Y18" i="5"/>
  <c r="AB18" i="5" s="1"/>
  <c r="C75" i="40"/>
  <c r="C19" i="39" s="1"/>
  <c r="G46" i="40"/>
  <c r="I66" i="40" s="1"/>
  <c r="G66" i="40"/>
  <c r="D10" i="39" s="1"/>
  <c r="D75" i="41"/>
  <c r="E19" i="44" s="1"/>
  <c r="R19" i="44" s="1"/>
  <c r="E84" i="17"/>
  <c r="M84" i="17"/>
  <c r="K66" i="41"/>
  <c r="F46" i="41"/>
  <c r="C66" i="41"/>
  <c r="C10" i="44" s="1"/>
  <c r="L10" i="44" s="1"/>
  <c r="L53" i="41"/>
  <c r="F48" i="41"/>
  <c r="D49" i="40"/>
  <c r="I69" i="42"/>
  <c r="C72" i="41"/>
  <c r="C16" i="44" s="1"/>
  <c r="L16" i="44" s="1"/>
  <c r="E54" i="40"/>
  <c r="M46" i="41"/>
  <c r="K68" i="42"/>
  <c r="H69" i="40"/>
  <c r="F13" i="39" s="1"/>
  <c r="F36" i="39" s="1"/>
  <c r="I48" i="41"/>
  <c r="L47" i="40"/>
  <c r="I51" i="40"/>
  <c r="D75" i="42"/>
  <c r="E19" i="45" s="1"/>
  <c r="R19" i="45" s="1"/>
  <c r="G70" i="41"/>
  <c r="D14" i="44" s="1"/>
  <c r="K46" i="41"/>
  <c r="G55" i="42"/>
  <c r="I75" i="42" s="1"/>
  <c r="G75" i="42"/>
  <c r="D19" i="45" s="1"/>
  <c r="F49" i="40"/>
  <c r="K47" i="41"/>
  <c r="K70" i="42"/>
  <c r="M48" i="42"/>
  <c r="J52" i="40"/>
  <c r="C53" i="40"/>
  <c r="G48" i="42"/>
  <c r="G68" i="42"/>
  <c r="D12" i="45" s="1"/>
  <c r="G48" i="41"/>
  <c r="G68" i="41"/>
  <c r="D12" i="44" s="1"/>
  <c r="E92" i="17"/>
  <c r="M92" i="17"/>
  <c r="G73" i="41"/>
  <c r="D17" i="44" s="1"/>
  <c r="I70" i="42"/>
  <c r="D67" i="42"/>
  <c r="E11" i="45" s="1"/>
  <c r="L67" i="42"/>
  <c r="AF16" i="5"/>
  <c r="AI16" i="5" s="1"/>
  <c r="X16" i="5"/>
  <c r="AA16" i="5" s="1"/>
  <c r="S16" i="5"/>
  <c r="AN16" i="5"/>
  <c r="AQ16" i="5" s="1"/>
  <c r="AG20" i="5"/>
  <c r="AJ20" i="5" s="1"/>
  <c r="Y20" i="5"/>
  <c r="AB20" i="5" s="1"/>
  <c r="AO20" i="5"/>
  <c r="AR20" i="5" s="1"/>
  <c r="T20" i="5"/>
  <c r="I90" i="17"/>
  <c r="K72" i="40"/>
  <c r="D55" i="40"/>
  <c r="E50" i="40"/>
  <c r="M70" i="40" s="1"/>
  <c r="K54" i="40"/>
  <c r="G51" i="41"/>
  <c r="G71" i="41"/>
  <c r="D15" i="44" s="1"/>
  <c r="H54" i="41"/>
  <c r="I92" i="17"/>
  <c r="K55" i="40"/>
  <c r="E75" i="40" s="1"/>
  <c r="D74" i="41"/>
  <c r="E18" i="44" s="1"/>
  <c r="R18" i="44" s="1"/>
  <c r="L74" i="41"/>
  <c r="L74" i="42"/>
  <c r="D74" i="42"/>
  <c r="E18" i="45" s="1"/>
  <c r="R18" i="45" s="1"/>
  <c r="L66" i="42"/>
  <c r="D66" i="42"/>
  <c r="E10" i="45" s="1"/>
  <c r="R10" i="45" s="1"/>
  <c r="K70" i="40"/>
  <c r="B47" i="40"/>
  <c r="K67" i="40"/>
  <c r="C67" i="40"/>
  <c r="C11" i="39" s="1"/>
  <c r="D69" i="42"/>
  <c r="E13" i="45" s="1"/>
  <c r="R13" i="45" s="1"/>
  <c r="L69" i="42"/>
  <c r="D69" i="41"/>
  <c r="E13" i="44" s="1"/>
  <c r="R13" i="44" s="1"/>
  <c r="L69" i="41"/>
  <c r="F53" i="40"/>
  <c r="C73" i="42"/>
  <c r="C17" i="45" s="1"/>
  <c r="L17" i="45" s="1"/>
  <c r="K73" i="42"/>
  <c r="B53" i="42"/>
  <c r="K73" i="41"/>
  <c r="C73" i="41"/>
  <c r="C17" i="44" s="1"/>
  <c r="L17" i="44" s="1"/>
  <c r="B53" i="41"/>
  <c r="H72" i="41"/>
  <c r="F16" i="44" s="1"/>
  <c r="U16" i="44" s="1"/>
  <c r="E90" i="17"/>
  <c r="X15" i="5"/>
  <c r="AA15" i="5" s="1"/>
  <c r="AN15" i="5"/>
  <c r="AQ15" i="5" s="1"/>
  <c r="AF15" i="5"/>
  <c r="AI15" i="5" s="1"/>
  <c r="S15" i="5"/>
  <c r="G46" i="41"/>
  <c r="I66" i="41" s="1"/>
  <c r="G66" i="41"/>
  <c r="D10" i="44" s="1"/>
  <c r="M89" i="17"/>
  <c r="AO15" i="5"/>
  <c r="AR15" i="5" s="1"/>
  <c r="T15" i="5"/>
  <c r="Y15" i="5"/>
  <c r="AB15" i="5" s="1"/>
  <c r="AG15" i="5"/>
  <c r="AJ15" i="5" s="1"/>
  <c r="J47" i="42"/>
  <c r="I67" i="42" s="1"/>
  <c r="G67" i="42"/>
  <c r="D11" i="45" s="1"/>
  <c r="AF13" i="5"/>
  <c r="AI13" i="5" s="1"/>
  <c r="AN13" i="5"/>
  <c r="AQ13" i="5" s="1"/>
  <c r="X13" i="5"/>
  <c r="AA13" i="5" s="1"/>
  <c r="S13" i="5"/>
  <c r="L53" i="42"/>
  <c r="G69" i="42"/>
  <c r="D13" i="45" s="1"/>
  <c r="K72" i="41"/>
  <c r="E54" i="42"/>
  <c r="M46" i="42"/>
  <c r="C75" i="42"/>
  <c r="C19" i="45" s="1"/>
  <c r="L19" i="45" s="1"/>
  <c r="I48" i="40"/>
  <c r="M54" i="41"/>
  <c r="I51" i="42"/>
  <c r="D71" i="41"/>
  <c r="E15" i="44" s="1"/>
  <c r="R15" i="44" s="1"/>
  <c r="C71" i="40"/>
  <c r="C15" i="39" s="1"/>
  <c r="I70" i="41"/>
  <c r="K46" i="40"/>
  <c r="C21" i="13"/>
  <c r="E21" i="13" s="1"/>
  <c r="G55" i="41"/>
  <c r="G75" i="41"/>
  <c r="D19" i="44" s="1"/>
  <c r="F49" i="42"/>
  <c r="K47" i="42"/>
  <c r="H48" i="40"/>
  <c r="E70" i="42"/>
  <c r="M70" i="42"/>
  <c r="J52" i="42"/>
  <c r="E48" i="42"/>
  <c r="C72" i="42"/>
  <c r="C16" i="45" s="1"/>
  <c r="L16" i="45" s="1"/>
  <c r="G73" i="40"/>
  <c r="D17" i="39" s="1"/>
  <c r="H53" i="40"/>
  <c r="I73" i="40" s="1"/>
  <c r="G68" i="40"/>
  <c r="D12" i="39" s="1"/>
  <c r="F14" i="13" s="1"/>
  <c r="H14" i="13" s="1"/>
  <c r="G48" i="40"/>
  <c r="K68" i="40"/>
  <c r="H74" i="42"/>
  <c r="F18" i="45" s="1"/>
  <c r="U18" i="45" s="1"/>
  <c r="K74" i="40"/>
  <c r="C74" i="40"/>
  <c r="C18" i="39" s="1"/>
  <c r="B54" i="40"/>
  <c r="B54" i="41"/>
  <c r="K74" i="41"/>
  <c r="C74" i="41"/>
  <c r="C18" i="44" s="1"/>
  <c r="L18" i="44" s="1"/>
  <c r="G70" i="42"/>
  <c r="D14" i="45" s="1"/>
  <c r="AG14" i="5"/>
  <c r="AJ14" i="5" s="1"/>
  <c r="T14" i="5"/>
  <c r="AO14" i="5"/>
  <c r="AR14" i="5" s="1"/>
  <c r="Y14" i="5"/>
  <c r="AB14" i="5" s="1"/>
  <c r="C69" i="42"/>
  <c r="C13" i="45" s="1"/>
  <c r="L13" i="45" s="1"/>
  <c r="B49" i="42"/>
  <c r="K69" i="42"/>
  <c r="C69" i="40"/>
  <c r="C13" i="39" s="1"/>
  <c r="K69" i="40"/>
  <c r="B49" i="40"/>
  <c r="D73" i="41"/>
  <c r="E17" i="44" s="1"/>
  <c r="R17" i="44" s="1"/>
  <c r="L73" i="41"/>
  <c r="H52" i="40"/>
  <c r="I72" i="40" s="1"/>
  <c r="G72" i="40"/>
  <c r="D16" i="39" s="1"/>
  <c r="E72" i="40"/>
  <c r="H68" i="42"/>
  <c r="F12" i="45" s="1"/>
  <c r="U12" i="45" s="1"/>
  <c r="E50" i="41"/>
  <c r="K54" i="42"/>
  <c r="C17" i="13"/>
  <c r="E17" i="13" s="1"/>
  <c r="L48" i="42"/>
  <c r="H54" i="42"/>
  <c r="G74" i="40"/>
  <c r="D18" i="39" s="1"/>
  <c r="G54" i="40"/>
  <c r="H55" i="40"/>
  <c r="D50" i="41"/>
  <c r="K55" i="41"/>
  <c r="E75" i="41" s="1"/>
  <c r="K71" i="42"/>
  <c r="U11" i="45"/>
  <c r="D66" i="40"/>
  <c r="E10" i="39" s="1"/>
  <c r="L66" i="40"/>
  <c r="C70" i="40"/>
  <c r="C14" i="39" s="1"/>
  <c r="E85" i="17"/>
  <c r="M85" i="17"/>
  <c r="AO16" i="5"/>
  <c r="AR16" i="5" s="1"/>
  <c r="T16" i="5"/>
  <c r="AG16" i="5"/>
  <c r="AJ16" i="5" s="1"/>
  <c r="Y16" i="5"/>
  <c r="AB16" i="5" s="1"/>
  <c r="F53" i="41"/>
  <c r="M91" i="17"/>
  <c r="E91" i="17"/>
  <c r="H72" i="42"/>
  <c r="F16" i="45" s="1"/>
  <c r="U16" i="45" s="1"/>
  <c r="L71" i="42"/>
  <c r="C68" i="41"/>
  <c r="C12" i="44" s="1"/>
  <c r="L12" i="44" s="1"/>
  <c r="G66" i="42"/>
  <c r="D10" i="45" s="1"/>
  <c r="G46" i="42"/>
  <c r="I66" i="42" s="1"/>
  <c r="G70" i="40"/>
  <c r="D14" i="39" s="1"/>
  <c r="J47" i="41"/>
  <c r="I67" i="41" s="1"/>
  <c r="G67" i="41"/>
  <c r="D11" i="44" s="1"/>
  <c r="C66" i="42"/>
  <c r="C10" i="45" s="1"/>
  <c r="L10" i="45" s="1"/>
  <c r="F46" i="42"/>
  <c r="K66" i="42"/>
  <c r="L53" i="40"/>
  <c r="F48" i="40"/>
  <c r="D49" i="41"/>
  <c r="E72" i="41"/>
  <c r="D54" i="40"/>
  <c r="E54" i="41"/>
  <c r="K75" i="42"/>
  <c r="L47" i="41"/>
  <c r="M54" i="42"/>
  <c r="I51" i="41"/>
  <c r="K71" i="40"/>
  <c r="L68" i="40"/>
  <c r="K46" i="42"/>
  <c r="G75" i="40"/>
  <c r="D19" i="39" s="1"/>
  <c r="F21" i="13" s="1"/>
  <c r="H21" i="13" s="1"/>
  <c r="G55" i="40"/>
  <c r="F49" i="41"/>
  <c r="K47" i="40"/>
  <c r="H48" i="42"/>
  <c r="M48" i="40"/>
  <c r="C53" i="41"/>
  <c r="E48" i="41"/>
  <c r="K72" i="42"/>
  <c r="L70" i="42"/>
  <c r="E70" i="41"/>
  <c r="M70" i="41"/>
  <c r="E36" i="36"/>
  <c r="E87" i="17"/>
  <c r="M87" i="17"/>
  <c r="L73" i="42"/>
  <c r="D73" i="42"/>
  <c r="E17" i="45" s="1"/>
  <c r="R17" i="45" s="1"/>
  <c r="C18" i="13"/>
  <c r="E18" i="13" s="1"/>
  <c r="H52" i="42"/>
  <c r="G72" i="42"/>
  <c r="D16" i="45" s="1"/>
  <c r="D55" i="42"/>
  <c r="E88" i="17"/>
  <c r="C75" i="41"/>
  <c r="C19" i="44" s="1"/>
  <c r="L19" i="44" s="1"/>
  <c r="M86" i="17"/>
  <c r="L48" i="40"/>
  <c r="H54" i="40"/>
  <c r="G74" i="41"/>
  <c r="D18" i="44" s="1"/>
  <c r="G54" i="41"/>
  <c r="C20" i="13"/>
  <c r="E20" i="13" s="1"/>
  <c r="D74" i="40"/>
  <c r="E18" i="39" s="1"/>
  <c r="L74" i="40"/>
  <c r="L68" i="41"/>
  <c r="U11" i="44"/>
  <c r="AG13" i="5"/>
  <c r="AJ13" i="5" s="1"/>
  <c r="T13" i="5"/>
  <c r="Y13" i="5"/>
  <c r="AB13" i="5" s="1"/>
  <c r="AO13" i="5"/>
  <c r="AR13" i="5" s="1"/>
  <c r="AN18" i="5"/>
  <c r="AQ18" i="5" s="1"/>
  <c r="AF18" i="5"/>
  <c r="AI18" i="5" s="1"/>
  <c r="X18" i="5"/>
  <c r="AA18" i="5" s="1"/>
  <c r="S18" i="5"/>
  <c r="G69" i="41"/>
  <c r="D13" i="44" s="1"/>
  <c r="E70" i="40"/>
  <c r="C67" i="41"/>
  <c r="C11" i="44" s="1"/>
  <c r="K67" i="41"/>
  <c r="B47" i="41"/>
  <c r="C36" i="36"/>
  <c r="L69" i="40"/>
  <c r="D69" i="40"/>
  <c r="E13" i="39" s="1"/>
  <c r="K73" i="40"/>
  <c r="B53" i="40"/>
  <c r="C73" i="40"/>
  <c r="C17" i="39" s="1"/>
  <c r="E72" i="42"/>
  <c r="K75" i="40"/>
  <c r="K68" i="41"/>
  <c r="C12" i="13"/>
  <c r="E12" i="13" s="1"/>
  <c r="I70" i="40"/>
  <c r="J47" i="40"/>
  <c r="I67" i="40" s="1"/>
  <c r="G67" i="40"/>
  <c r="D11" i="39" s="1"/>
  <c r="K66" i="40"/>
  <c r="F46" i="40"/>
  <c r="C66" i="40"/>
  <c r="C10" i="39" s="1"/>
  <c r="F48" i="42"/>
  <c r="D49" i="42"/>
  <c r="C15" i="13"/>
  <c r="E15" i="13" s="1"/>
  <c r="D54" i="41"/>
  <c r="I48" i="42"/>
  <c r="L47" i="42"/>
  <c r="M54" i="40"/>
  <c r="E71" i="40"/>
  <c r="I93" i="17"/>
  <c r="H48" i="41"/>
  <c r="C70" i="42"/>
  <c r="C14" i="45" s="1"/>
  <c r="L14" i="45" s="1"/>
  <c r="M48" i="41"/>
  <c r="J52" i="41"/>
  <c r="M72" i="41" s="1"/>
  <c r="C53" i="42"/>
  <c r="E48" i="40"/>
  <c r="M75" i="42" l="1"/>
  <c r="F18" i="13"/>
  <c r="H18" i="13" s="1"/>
  <c r="I74" i="41"/>
  <c r="I72" i="42"/>
  <c r="F36" i="44"/>
  <c r="I75" i="41"/>
  <c r="M72" i="40"/>
  <c r="I75" i="40"/>
  <c r="M71" i="42"/>
  <c r="E68" i="40"/>
  <c r="E75" i="42"/>
  <c r="M68" i="42"/>
  <c r="E68" i="41"/>
  <c r="F15" i="13"/>
  <c r="H15" i="13" s="1"/>
  <c r="F16" i="13"/>
  <c r="H16" i="13" s="1"/>
  <c r="M66" i="40"/>
  <c r="E66" i="40"/>
  <c r="F13" i="13"/>
  <c r="D36" i="39"/>
  <c r="E73" i="40"/>
  <c r="M73" i="40"/>
  <c r="O16" i="45"/>
  <c r="L18" i="13"/>
  <c r="N18" i="13" s="1"/>
  <c r="M75" i="40"/>
  <c r="E68" i="42"/>
  <c r="O11" i="44"/>
  <c r="I13" i="13"/>
  <c r="D36" i="44"/>
  <c r="L12" i="13"/>
  <c r="N12" i="13" s="1"/>
  <c r="O10" i="45"/>
  <c r="F36" i="45"/>
  <c r="E69" i="40"/>
  <c r="M69" i="40"/>
  <c r="E69" i="42"/>
  <c r="M69" i="42"/>
  <c r="I68" i="40"/>
  <c r="I21" i="13"/>
  <c r="K21" i="13" s="1"/>
  <c r="O19" i="44"/>
  <c r="L13" i="13"/>
  <c r="O11" i="45"/>
  <c r="D36" i="45"/>
  <c r="M73" i="41"/>
  <c r="E73" i="41"/>
  <c r="O12" i="44"/>
  <c r="I14" i="13"/>
  <c r="K14" i="13" s="1"/>
  <c r="E66" i="41"/>
  <c r="M66" i="41"/>
  <c r="M68" i="41"/>
  <c r="I71" i="40"/>
  <c r="M69" i="41"/>
  <c r="E69" i="41"/>
  <c r="R11" i="44"/>
  <c r="E36" i="44"/>
  <c r="M67" i="41"/>
  <c r="E67" i="41"/>
  <c r="O13" i="44"/>
  <c r="I15" i="13"/>
  <c r="K15" i="13" s="1"/>
  <c r="O18" i="44"/>
  <c r="I20" i="13"/>
  <c r="K20" i="13" s="1"/>
  <c r="U35" i="45"/>
  <c r="U37" i="45"/>
  <c r="V37" i="45" s="1"/>
  <c r="M67" i="40"/>
  <c r="E67" i="40"/>
  <c r="M75" i="41"/>
  <c r="O17" i="44"/>
  <c r="I19" i="13"/>
  <c r="K19" i="13" s="1"/>
  <c r="I68" i="41"/>
  <c r="O14" i="44"/>
  <c r="I16" i="13"/>
  <c r="K16" i="13" s="1"/>
  <c r="F12" i="13"/>
  <c r="H12" i="13" s="1"/>
  <c r="O18" i="45"/>
  <c r="L20" i="13"/>
  <c r="N20" i="13" s="1"/>
  <c r="I71" i="42"/>
  <c r="E36" i="39"/>
  <c r="C39" i="13"/>
  <c r="E66" i="42"/>
  <c r="M66" i="42"/>
  <c r="I74" i="40"/>
  <c r="E74" i="41"/>
  <c r="M74" i="41"/>
  <c r="O13" i="45"/>
  <c r="L15" i="13"/>
  <c r="N15" i="13" s="1"/>
  <c r="I17" i="13"/>
  <c r="K17" i="13" s="1"/>
  <c r="O15" i="44"/>
  <c r="R11" i="45"/>
  <c r="E36" i="45"/>
  <c r="O12" i="45"/>
  <c r="L14" i="13"/>
  <c r="N14" i="13" s="1"/>
  <c r="O19" i="45"/>
  <c r="L21" i="13"/>
  <c r="N21" i="13" s="1"/>
  <c r="E67" i="42"/>
  <c r="M67" i="42"/>
  <c r="I74" i="42"/>
  <c r="L17" i="13"/>
  <c r="N17" i="13" s="1"/>
  <c r="O15" i="45"/>
  <c r="I18" i="13"/>
  <c r="K18" i="13" s="1"/>
  <c r="O16" i="44"/>
  <c r="O17" i="45"/>
  <c r="L19" i="13"/>
  <c r="N19" i="13" s="1"/>
  <c r="E39" i="13"/>
  <c r="L11" i="44"/>
  <c r="C36" i="44"/>
  <c r="U37" i="44"/>
  <c r="V37" i="44" s="1"/>
  <c r="F41" i="44" s="1"/>
  <c r="U35" i="44"/>
  <c r="M68" i="40"/>
  <c r="F20" i="13"/>
  <c r="H20" i="13" s="1"/>
  <c r="O14" i="45"/>
  <c r="L16" i="13"/>
  <c r="N16" i="13" s="1"/>
  <c r="E74" i="40"/>
  <c r="M74" i="40"/>
  <c r="F19" i="13"/>
  <c r="H19" i="13" s="1"/>
  <c r="I12" i="13"/>
  <c r="K12" i="13" s="1"/>
  <c r="O10" i="44"/>
  <c r="E73" i="42"/>
  <c r="M73" i="42"/>
  <c r="C36" i="39"/>
  <c r="I71" i="41"/>
  <c r="I68" i="42"/>
  <c r="L11" i="45"/>
  <c r="C36" i="45"/>
  <c r="F17" i="13"/>
  <c r="H17" i="13" s="1"/>
  <c r="I72" i="41"/>
  <c r="M71" i="41"/>
  <c r="E74" i="42"/>
  <c r="M74" i="42"/>
  <c r="N13" i="13" l="1"/>
  <c r="N39" i="13" s="1"/>
  <c r="L39" i="13"/>
  <c r="K13" i="13"/>
  <c r="K39" i="13" s="1"/>
  <c r="I39" i="13"/>
  <c r="L35" i="45"/>
  <c r="L37" i="45"/>
  <c r="M37" i="45" s="1"/>
  <c r="O37" i="44"/>
  <c r="P37" i="44" s="1"/>
  <c r="D41" i="44" s="1"/>
  <c r="O35" i="44"/>
  <c r="H13" i="13"/>
  <c r="H39" i="13" s="1"/>
  <c r="F39" i="13"/>
  <c r="L37" i="44"/>
  <c r="M37" i="44" s="1"/>
  <c r="C41" i="44" s="1"/>
  <c r="L35" i="44"/>
  <c r="R35" i="45"/>
  <c r="R37" i="45"/>
  <c r="S37" i="45" s="1"/>
  <c r="V15" i="45"/>
  <c r="V27" i="45"/>
  <c r="V18" i="45"/>
  <c r="V16" i="45"/>
  <c r="V20" i="45"/>
  <c r="V24" i="45"/>
  <c r="F41" i="45"/>
  <c r="V19" i="45"/>
  <c r="V26" i="45"/>
  <c r="V17" i="45"/>
  <c r="V14" i="45"/>
  <c r="V21" i="45"/>
  <c r="V13" i="45"/>
  <c r="V11" i="45"/>
  <c r="V23" i="45"/>
  <c r="V25" i="45"/>
  <c r="V12" i="45"/>
  <c r="V10" i="45"/>
  <c r="V22" i="45"/>
  <c r="R37" i="44"/>
  <c r="S37" i="44" s="1"/>
  <c r="E41" i="44" s="1"/>
  <c r="R35" i="44"/>
  <c r="O35" i="45"/>
  <c r="O37" i="45"/>
  <c r="P37" i="45" s="1"/>
  <c r="V35" i="45" l="1"/>
  <c r="S23" i="45"/>
  <c r="S15" i="45"/>
  <c r="E41" i="45"/>
  <c r="S27" i="45"/>
  <c r="S16" i="45"/>
  <c r="S26" i="45"/>
  <c r="S14" i="45"/>
  <c r="S25" i="45"/>
  <c r="S21" i="45"/>
  <c r="S20" i="45"/>
  <c r="S18" i="45"/>
  <c r="S10" i="45"/>
  <c r="S13" i="45"/>
  <c r="S11" i="45"/>
  <c r="S12" i="45"/>
  <c r="S22" i="45"/>
  <c r="S17" i="45"/>
  <c r="S19" i="45"/>
  <c r="S24" i="45"/>
  <c r="M15" i="45"/>
  <c r="M25" i="45"/>
  <c r="M24" i="45"/>
  <c r="M12" i="45"/>
  <c r="M13" i="45"/>
  <c r="M17" i="45"/>
  <c r="M10" i="45"/>
  <c r="M14" i="45"/>
  <c r="M22" i="45"/>
  <c r="M11" i="45"/>
  <c r="M23" i="45"/>
  <c r="M19" i="45"/>
  <c r="M27" i="45"/>
  <c r="M20" i="45"/>
  <c r="M26" i="45"/>
  <c r="C41" i="45"/>
  <c r="M16" i="45"/>
  <c r="M21" i="45"/>
  <c r="M18" i="45"/>
  <c r="P13" i="45"/>
  <c r="P25" i="45"/>
  <c r="P16" i="45"/>
  <c r="P17" i="45"/>
  <c r="P27" i="45"/>
  <c r="P12" i="45"/>
  <c r="P21" i="45"/>
  <c r="P23" i="45"/>
  <c r="P10" i="45"/>
  <c r="P24" i="45"/>
  <c r="P11" i="45"/>
  <c r="P26" i="45"/>
  <c r="P14" i="45"/>
  <c r="D41" i="45"/>
  <c r="P15" i="45"/>
  <c r="P22" i="45"/>
  <c r="P19" i="45"/>
  <c r="P18" i="45"/>
  <c r="P20" i="45"/>
  <c r="S35" i="45" l="1"/>
  <c r="P35" i="45"/>
  <c r="M35" i="45"/>
</calcChain>
</file>

<file path=xl/sharedStrings.xml><?xml version="1.0" encoding="utf-8"?>
<sst xmlns="http://schemas.openxmlformats.org/spreadsheetml/2006/main" count="875" uniqueCount="321">
  <si>
    <t>On-Peak Hours</t>
  </si>
  <si>
    <t>Off-Peak</t>
  </si>
  <si>
    <t>Year</t>
  </si>
  <si>
    <t xml:space="preserve">Simple </t>
  </si>
  <si>
    <t>Fixed Costs</t>
  </si>
  <si>
    <t>($/kW-yr)</t>
  </si>
  <si>
    <t>Capitalized</t>
  </si>
  <si>
    <t>Energy Costs</t>
  </si>
  <si>
    <t>Costs</t>
  </si>
  <si>
    <t xml:space="preserve">Capitalized </t>
  </si>
  <si>
    <t>Combined</t>
  </si>
  <si>
    <t>Cycle CT</t>
  </si>
  <si>
    <t>($/MMBtu)</t>
  </si>
  <si>
    <t>Energy Cost</t>
  </si>
  <si>
    <t>Avoided</t>
  </si>
  <si>
    <t>Total</t>
  </si>
  <si>
    <t>Capitalized Energy Costs</t>
  </si>
  <si>
    <t>Total Avoided Energy Cost</t>
  </si>
  <si>
    <t>Columns</t>
  </si>
  <si>
    <t>(a)</t>
  </si>
  <si>
    <t>(b)</t>
  </si>
  <si>
    <t>(c)</t>
  </si>
  <si>
    <t>(d)</t>
  </si>
  <si>
    <t>(e)</t>
  </si>
  <si>
    <t>Avoided Firm</t>
  </si>
  <si>
    <t>Capacity</t>
  </si>
  <si>
    <t xml:space="preserve">Capacity Cost </t>
  </si>
  <si>
    <t>Allocated to</t>
  </si>
  <si>
    <t>Difference</t>
  </si>
  <si>
    <t>(f)</t>
  </si>
  <si>
    <t>Fuel Cost</t>
  </si>
  <si>
    <t>Table 3</t>
  </si>
  <si>
    <t>Table 4</t>
  </si>
  <si>
    <t>Table 7</t>
  </si>
  <si>
    <t>$/kW</t>
  </si>
  <si>
    <t>$/kW-yr</t>
  </si>
  <si>
    <t>$/MWH</t>
  </si>
  <si>
    <t>$/MMBtu</t>
  </si>
  <si>
    <t>Estimated Capital Cost</t>
  </si>
  <si>
    <t>Fixed Capital Cost at Real Levelized Rate</t>
  </si>
  <si>
    <t>Fixed O&amp;M</t>
  </si>
  <si>
    <t>Variable O&amp;M</t>
  </si>
  <si>
    <t>Total O&amp;M at Expected CF</t>
  </si>
  <si>
    <t>Total Resource Fixed Costs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</si>
  <si>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</si>
  <si>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</si>
  <si>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</si>
  <si>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</si>
  <si>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</si>
  <si>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</si>
  <si>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</si>
  <si>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</si>
  <si>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</si>
  <si>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</si>
  <si>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</si>
  <si>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</si>
  <si>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Winter Season</t>
  </si>
  <si>
    <t>Summer Season</t>
  </si>
  <si>
    <t>Winter</t>
  </si>
  <si>
    <t>Summer</t>
  </si>
  <si>
    <t>Source: (a)(c)(d)</t>
  </si>
  <si>
    <t>aMW</t>
  </si>
  <si>
    <t>Avoided Resource</t>
  </si>
  <si>
    <t>Current</t>
  </si>
  <si>
    <t>Avoided Costs</t>
  </si>
  <si>
    <t>Comparison between Proposed and Current Avoided Costs</t>
  </si>
  <si>
    <t>Annual Seasonal Average</t>
  </si>
  <si>
    <t>Annual Average</t>
  </si>
  <si>
    <t>Cap Cost</t>
  </si>
  <si>
    <t>Fixed</t>
  </si>
  <si>
    <t>Heat Rate</t>
  </si>
  <si>
    <t>MW</t>
  </si>
  <si>
    <t>Table 1</t>
  </si>
  <si>
    <t>Percent</t>
  </si>
  <si>
    <t>CCCT Statistics</t>
  </si>
  <si>
    <t>Capacity Weighted</t>
  </si>
  <si>
    <t>CF</t>
  </si>
  <si>
    <t>Energy Weighted</t>
  </si>
  <si>
    <t>Fixed Cost</t>
  </si>
  <si>
    <t>Peak</t>
  </si>
  <si>
    <t>Source:</t>
  </si>
  <si>
    <t>Blended Resource</t>
  </si>
  <si>
    <t>Table 8</t>
  </si>
  <si>
    <t>Total Cost of Displaceable Resources</t>
  </si>
  <si>
    <t>Page 1 of 3</t>
  </si>
  <si>
    <t xml:space="preserve">  MW Plant capacity</t>
  </si>
  <si>
    <t xml:space="preserve">  Plant capacity cost - in $/kW</t>
  </si>
  <si>
    <t xml:space="preserve">  Payment Factor</t>
  </si>
  <si>
    <t xml:space="preserve">  Capacity Factor</t>
  </si>
  <si>
    <t>Page 2 of 3</t>
  </si>
  <si>
    <t>Page 3 of 3</t>
  </si>
  <si>
    <t>Sources, Inputs and Assumptions</t>
  </si>
  <si>
    <t>Variable</t>
  </si>
  <si>
    <t>Rounded</t>
  </si>
  <si>
    <t>Table 9</t>
  </si>
  <si>
    <t>Source</t>
  </si>
  <si>
    <t>Gas Fuel Costs</t>
  </si>
  <si>
    <t>Delivered</t>
  </si>
  <si>
    <t xml:space="preserve">Combined </t>
  </si>
  <si>
    <t>Natural Gas Price - Delivered to Plant</t>
  </si>
  <si>
    <t>($/MWH)</t>
  </si>
  <si>
    <t>Prices on this tab are formated to be cut and pasted directly into the tariff page</t>
  </si>
  <si>
    <t>Table 10</t>
  </si>
  <si>
    <t>Market Price $/MWH</t>
  </si>
  <si>
    <t>HLH</t>
  </si>
  <si>
    <t>LLH</t>
  </si>
  <si>
    <t>Mid-Columbia</t>
  </si>
  <si>
    <t>Palo Verde</t>
  </si>
  <si>
    <t>Electricity Market Prices</t>
  </si>
  <si>
    <t>Company Official Inflation Forecast  - Dated March 2010</t>
  </si>
  <si>
    <t xml:space="preserve">  Plant capacity cost</t>
  </si>
  <si>
    <t xml:space="preserve">  Heat Rate in btu/kWh</t>
  </si>
  <si>
    <t xml:space="preserve">  Energy Weighted Capacity Factor</t>
  </si>
  <si>
    <t>Month</t>
  </si>
  <si>
    <t xml:space="preserve">  Fixed Pipeline</t>
  </si>
  <si>
    <t>Total Resource Energy Cost</t>
  </si>
  <si>
    <t>Total Resource Costs</t>
  </si>
  <si>
    <t>$/MWh</t>
  </si>
  <si>
    <t>(g)</t>
  </si>
  <si>
    <t>(h)</t>
  </si>
  <si>
    <t>(i)</t>
  </si>
  <si>
    <t>Calendar Year</t>
  </si>
  <si>
    <t>Off-Peak Energy Prices (¢/kWh)</t>
  </si>
  <si>
    <t xml:space="preserve">Deliveries During </t>
  </si>
  <si>
    <t>IRP Preferred Portfolio</t>
  </si>
  <si>
    <t xml:space="preserve">  Fixed O&amp;M &amp; Capitalized O&amp;M</t>
  </si>
  <si>
    <t xml:space="preserve">  Fixed O&amp;M including Fixed Pipeline &amp; Capitalized O&amp;M ($/kW-Yr)</t>
  </si>
  <si>
    <t xml:space="preserve">  Variable O&amp;M Costs &amp; Capitalized Variable O&amp;M ($/MWh)</t>
  </si>
  <si>
    <t xml:space="preserve">  Capitalized energy split 50% as ordered in Docket No. 03-035-14</t>
  </si>
  <si>
    <t>Capacity Contribution</t>
  </si>
  <si>
    <t>Wind</t>
  </si>
  <si>
    <t>Avoided Costs for Base Load QF</t>
  </si>
  <si>
    <t>Avoided Costs for Wind QF</t>
  </si>
  <si>
    <t>Inter-hour Wind Integration Costs</t>
  </si>
  <si>
    <t>Integration Costs</t>
  </si>
  <si>
    <t>We therefore directed PacifiCorp to apply a solar integration charge of</t>
  </si>
  <si>
    <t>Tracking Solar ($2.18 /MWh)</t>
  </si>
  <si>
    <t>Fixed Solar ($2.83 /MWh)</t>
  </si>
  <si>
    <t>Total Wind Integration Costs</t>
  </si>
  <si>
    <t>(c) = (a) +(b)</t>
  </si>
  <si>
    <t>Base Load QF</t>
  </si>
  <si>
    <t>Wind QF</t>
  </si>
  <si>
    <t>Solar-Fixed QF</t>
  </si>
  <si>
    <t>Solar-Tracking QF</t>
  </si>
  <si>
    <t>On-Peak Price</t>
  </si>
  <si>
    <t>Off-Peak Price</t>
  </si>
  <si>
    <t>Cost</t>
  </si>
  <si>
    <t xml:space="preserve"> Integration</t>
  </si>
  <si>
    <t>Solar</t>
  </si>
  <si>
    <t>Avoided Cost Prices for Wind QF</t>
  </si>
  <si>
    <t>Avoided Cost Prices for Base Load QF</t>
  </si>
  <si>
    <t>Off-Peak Energy Prices (¢/kWh) (2)</t>
  </si>
  <si>
    <t>Table 2A</t>
  </si>
  <si>
    <t>Table 2B</t>
  </si>
  <si>
    <t>Table 2C</t>
  </si>
  <si>
    <t>Table 2D</t>
  </si>
  <si>
    <t>Base Load - On- &amp; Off- Peak Energy Prices</t>
  </si>
  <si>
    <t>Wind - On- &amp; Off- Peak Energy Prices</t>
  </si>
  <si>
    <t>Solar Fixed - On- &amp; Off- Peak Energy Prices</t>
  </si>
  <si>
    <t>Solar Tracking - On- &amp; Off- Peak Energy Prices</t>
  </si>
  <si>
    <t xml:space="preserve">$2.83 per megawatt hour for Fixed Solar resources and a $2.18 per megawatt </t>
  </si>
  <si>
    <t xml:space="preserve">hour solar integration cost for Tracking Solar resources based on the wind </t>
  </si>
  <si>
    <t>integration charge of $4.35 per megawatt hour levelized starting in 2013.</t>
  </si>
  <si>
    <t>Capacity (MW)</t>
  </si>
  <si>
    <t>Resource</t>
  </si>
  <si>
    <t>East</t>
  </si>
  <si>
    <t>Existing Plant Retirements/Conversions</t>
  </si>
  <si>
    <t>Coal Ret_WY - Gas RePower</t>
  </si>
  <si>
    <t>Expansion Resources</t>
  </si>
  <si>
    <t>DSM, Class 1 Total</t>
  </si>
  <si>
    <t>DSM, Class 2 Total</t>
  </si>
  <si>
    <t>FOT Mona Q3</t>
  </si>
  <si>
    <t>West</t>
  </si>
  <si>
    <t>DSM, Class 1  Total</t>
  </si>
  <si>
    <t>DSM, Class 2  Total</t>
  </si>
  <si>
    <t>FOT COB Q3</t>
  </si>
  <si>
    <t>FOT NOB Q3</t>
  </si>
  <si>
    <t>FOT MidColumbia Q3</t>
  </si>
  <si>
    <t>FOT MidColumbia Q3 - 2</t>
  </si>
  <si>
    <t>Annual Additions, Long Term Resources</t>
  </si>
  <si>
    <t>Annual Additions, Short Term Resources</t>
  </si>
  <si>
    <t>Total Annual Additions</t>
  </si>
  <si>
    <t>Resource Totals 1/</t>
  </si>
  <si>
    <t>10-year</t>
  </si>
  <si>
    <t>20-year</t>
  </si>
  <si>
    <t>Avoided Costs for Fixed Solar QF</t>
  </si>
  <si>
    <t>Avoided Costs for Tracking Solar QF</t>
  </si>
  <si>
    <t>Intra-hour Wind Integration Costs</t>
  </si>
  <si>
    <t>(2): On- and off- peak prices are reduced by integration charges.</t>
  </si>
  <si>
    <t>Avoided Cost Prices for Fixed Solar QF</t>
  </si>
  <si>
    <t>(2): On and off peak prices are reduced by integration charges.</t>
  </si>
  <si>
    <t>Avoided Cost Prices for Tracking Solar QF</t>
  </si>
  <si>
    <t>on-peak Summer</t>
  </si>
  <si>
    <t>on-peak Winter</t>
  </si>
  <si>
    <t>off-peak Summer</t>
  </si>
  <si>
    <t>off-peak Winter</t>
  </si>
  <si>
    <t>Utah Commission Ordered Methodology - Docket 12-035-100</t>
  </si>
  <si>
    <t>Utah Commission Order dated October 4, 2013</t>
  </si>
  <si>
    <t>$ With degradation</t>
  </si>
  <si>
    <t>MWh With degradation</t>
  </si>
  <si>
    <t>Chck $</t>
  </si>
  <si>
    <t>NPV</t>
  </si>
  <si>
    <t>(3): Assuming  annual degradation of 0.7%.</t>
  </si>
  <si>
    <t>Peak Winter</t>
  </si>
  <si>
    <t>Peak Summer</t>
  </si>
  <si>
    <t>Off Peak  Winter</t>
  </si>
  <si>
    <t>Off Peak  Summer</t>
  </si>
  <si>
    <t>0.7 % Degradation</t>
  </si>
  <si>
    <t>hours</t>
  </si>
  <si>
    <t>Generation Profile_Baseload</t>
  </si>
  <si>
    <t>Generation Profile_Wind*</t>
  </si>
  <si>
    <t>Natural Gas Price Delivered to Plant  ($/MMBtu)</t>
  </si>
  <si>
    <t>Market Prices in $/MWH</t>
  </si>
  <si>
    <t>FORWARD PRICE CURVE SUMMARY</t>
  </si>
  <si>
    <t>Quotes Dated:</t>
  </si>
  <si>
    <t>Sample of source data</t>
  </si>
  <si>
    <t>Date</t>
  </si>
  <si>
    <t>Mid C</t>
  </si>
  <si>
    <t>PV</t>
  </si>
  <si>
    <t>Chk Ttl</t>
  </si>
  <si>
    <t>Check Totals</t>
  </si>
  <si>
    <t>PV HLH/Flat Ratio</t>
  </si>
  <si>
    <t>PV Flat</t>
  </si>
  <si>
    <t>PV LLH/Flat Ratio</t>
  </si>
  <si>
    <t>HLH Ratio</t>
  </si>
  <si>
    <t>LLH Ratio</t>
  </si>
  <si>
    <t>On-Peak (1)</t>
  </si>
  <si>
    <t>Off-Peak (2)</t>
  </si>
  <si>
    <t>Combined ( 56% On-Peak 44% Off-Peak) (3)</t>
  </si>
  <si>
    <t>Off-Peak (Average Energy Costs less Integration Costs)(2)</t>
  </si>
  <si>
    <t xml:space="preserve"> </t>
  </si>
  <si>
    <t>On Peak Energy Prices (¢/kWh)</t>
  </si>
  <si>
    <t>On Peak Energy Prices (¢/kWh) (1,2)</t>
  </si>
  <si>
    <t>Avoided Energy Costs (GRID Production Cost Model Study)</t>
  </si>
  <si>
    <t>On-Peak Energy Cost</t>
  </si>
  <si>
    <t>Off-Peak Energy Cost</t>
  </si>
  <si>
    <t>BASE LOAD</t>
  </si>
  <si>
    <t>WIND</t>
  </si>
  <si>
    <t>SOLAR FIXED</t>
  </si>
  <si>
    <t>SOLAR TRACKING</t>
  </si>
  <si>
    <t>Proposed (1)</t>
  </si>
  <si>
    <t>Hayden 1</t>
  </si>
  <si>
    <t>Hayden 2</t>
  </si>
  <si>
    <t>Hunter 2  (Coal Early Retirement/Conversions)</t>
  </si>
  <si>
    <t>Huntington 2  (Coal Early Retirement/Conversions)</t>
  </si>
  <si>
    <t>Carbon 1  (Coal Early Retirement/Conversions)</t>
  </si>
  <si>
    <t>Carbon 2  (Coal Early Retirement/Conversions)</t>
  </si>
  <si>
    <t>Cholla 4  (Coal Early Retirement/Conversions)</t>
  </si>
  <si>
    <t>DaveJohnston 1</t>
  </si>
  <si>
    <t>DaveJohnston 2</t>
  </si>
  <si>
    <t>DaveJohnston 3</t>
  </si>
  <si>
    <t>DaveJohnston 4</t>
  </si>
  <si>
    <t>Naughton 1</t>
  </si>
  <si>
    <t>Naughton 2</t>
  </si>
  <si>
    <t>Naughton 3  (Coal Early Retirement/Conversions)</t>
  </si>
  <si>
    <t>Gadsby 1-6</t>
  </si>
  <si>
    <t>Total CCCT</t>
  </si>
  <si>
    <t>DSM, Class 1, UT-DLC-RES</t>
  </si>
  <si>
    <t>DSM, Class 2, ID</t>
  </si>
  <si>
    <t>DSM, Class 2, UT</t>
  </si>
  <si>
    <t>DSM, Class 2, WY</t>
  </si>
  <si>
    <t>DSM, Class 1, OR-Curtail</t>
  </si>
  <si>
    <t>DSM, Class 1, OR-Irrigate</t>
  </si>
  <si>
    <t>DSM, Class 2, CA</t>
  </si>
  <si>
    <t>DSM, Class 2, OR</t>
  </si>
  <si>
    <t>DSM, Class 2, WA</t>
  </si>
  <si>
    <t>SCCT Frame "F" x1 - East Side Resource (5,550')</t>
  </si>
  <si>
    <t>Generation Profile_Solar Fixed</t>
  </si>
  <si>
    <t>Generation Profile_Solar Tracking</t>
  </si>
  <si>
    <t>Plant Costs  - 2015 IRP - Table 6.2</t>
  </si>
  <si>
    <t>Discount Rate - 2015 IRP Page 141</t>
  </si>
  <si>
    <t>Table 5a</t>
  </si>
  <si>
    <t>Table 5b</t>
  </si>
  <si>
    <t>Table 5c</t>
  </si>
  <si>
    <t>Table 5d</t>
  </si>
  <si>
    <t>Table 6</t>
  </si>
  <si>
    <t>CCCT - DJohns - F 2x1</t>
  </si>
  <si>
    <t>CCCT - Utah-N - J 1x1</t>
  </si>
  <si>
    <t>CCCT - Utah-S - F 2x1</t>
  </si>
  <si>
    <t>DSM, Class 1, ID-Curtail</t>
  </si>
  <si>
    <t>DSM, Class 1, ID-Irrigate</t>
  </si>
  <si>
    <t>DSM, Class 1, UT-Curtail</t>
  </si>
  <si>
    <t>DSM, Class 1, UT-Irrigate</t>
  </si>
  <si>
    <t>DSM, Class 1, WY-Curtail</t>
  </si>
  <si>
    <t>DSM, Class 1, WY-Irrigate</t>
  </si>
  <si>
    <t>CCCT - SOregonCal - J 1x1</t>
  </si>
  <si>
    <t>CCCT - WillamValcc - J 1x1</t>
  </si>
  <si>
    <t>DSM, Class 1, CA-Irrigate</t>
  </si>
  <si>
    <t>DSM, Class 1, WA-Curtail</t>
  </si>
  <si>
    <t>DSM, Class 1, WA-Irrigate</t>
  </si>
  <si>
    <t>Excerpt from 2015 IRP Update Table 5.3</t>
  </si>
  <si>
    <t>2014 $</t>
  </si>
  <si>
    <t>15-year (2017-2031) Nominal Levelized</t>
  </si>
  <si>
    <t>15 year Levelized</t>
  </si>
  <si>
    <t>Integration costs - Utah 2015.Q2 Sch 38 Compliance Filing</t>
  </si>
  <si>
    <t>15-year (2017-2031) Nominal Levelized with degradation (3)</t>
  </si>
  <si>
    <t xml:space="preserve">                           / [Monthly Palo Verde Market Price]</t>
  </si>
  <si>
    <t xml:space="preserve">(1):  On-peak prices have been shaped by the relationship of Palo Verde  On-peak market price to Palo Verde market price. </t>
  </si>
  <si>
    <t xml:space="preserve">       On-Peak Price = [GRID Production Cost Model Avoided Cost Price] x [Monthly On-Peak Palo Verde Market Price] / </t>
  </si>
  <si>
    <t xml:space="preserve">(2):  Off-peak Prices have been shaped by the relationship of Palo Verde  Off-peak market price to Palo Verde market price. </t>
  </si>
  <si>
    <t xml:space="preserve">       Off-Peak Price = [GRID Production Cost Model Avoided Cost Price] x [Monthly Off-Peak Palo Verde Market Price] /</t>
  </si>
  <si>
    <t>(3):  Combined = On-Peak x 56%  + Off-Peak x 44%</t>
  </si>
  <si>
    <t>Solar Integration</t>
  </si>
  <si>
    <t>Wind Integration</t>
  </si>
  <si>
    <t xml:space="preserve">(1):  On-peak prices have been shaped by the relationship of Palo Verde  On-peak market price to Palo Verde market price, </t>
  </si>
  <si>
    <t xml:space="preserve">       and reduced by integration costs. </t>
  </si>
  <si>
    <t xml:space="preserve">                           / [Monthly Palo Verde Market Price] - Solar Integration</t>
  </si>
  <si>
    <t xml:space="preserve">                           / [Monthly Palo Verde Market Price] - Wind Integration</t>
  </si>
  <si>
    <t>/MWh</t>
  </si>
  <si>
    <t xml:space="preserve"> Capitalized energy is zero if (a) is greater than (b)</t>
  </si>
  <si>
    <t xml:space="preserve">West side, CCCT Dry "J", Adv 1x1 </t>
  </si>
  <si>
    <t>East Side,  CCCT - DJohns Dry "F", 2x1</t>
  </si>
  <si>
    <t>Blended 635 MW East Side - 477 MW West Side - CCCT</t>
  </si>
  <si>
    <t>IRP - Wyo NE</t>
  </si>
  <si>
    <t>West Side</t>
  </si>
  <si>
    <t>Burnertip Annual Average Price</t>
  </si>
  <si>
    <t>Blended</t>
  </si>
  <si>
    <t>(1): On Peak Prices reflect 34.1% capacity contribution of Fixed Solar QF.</t>
  </si>
  <si>
    <t>(1): On Peak Prices reflect 39.1% capacity contribution of Tracking Solar QF.</t>
  </si>
  <si>
    <t>(1): On Peak Prices reflect 14.5% capacity contribution of wind QF.</t>
  </si>
  <si>
    <t xml:space="preserve"> The 2015 IRP update was prepared using a 13% planning reserve margin.  See 2015 IRP Update, page 39.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</si>
</sst>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5">
    <numFmt numFmtId="6" formatCode="&quot;$&quot;#,##0_);[Red]\(&quot;$&quot;#,##0\)"/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"/>
    <numFmt numFmtId="166" formatCode="&quot;$&quot;#,##0"/>
    <numFmt numFmtId="167" formatCode="&quot;$&quot;#,##0.00"/>
    <numFmt numFmtId="168" formatCode="_(&quot;$&quot;* #,##0.00_);_(&quot;$&quot;* \(#,##0.00\);_(&quot;$&quot;* &quot;-&quot;?_);_(@_)"/>
    <numFmt numFmtId="169" formatCode="0.0%"/>
    <numFmt numFmtId="170" formatCode="_(* #,##0.0_);_(* \(#,##0.0\);_(* &quot;-&quot;??_);_(@_)"/>
    <numFmt numFmtId="171" formatCode="&quot;$&quot;###0;[Red]\(&quot;$&quot;###0\)"/>
    <numFmt numFmtId="172" formatCode="_(&quot;$&quot;* #,##0_);_(&quot;$&quot;* \(#,##0\);_(&quot;$&quot;* &quot;-&quot;??_);_(@_)"/>
    <numFmt numFmtId="173" formatCode="_(* #,##0.000_);_(* \(#,##0.000\);_(* &quot;-&quot;_);_(@_)"/>
    <numFmt numFmtId="174" formatCode="&quot;$&quot;#,##0.000_);[Red]\(&quot;$&quot;#,##0.000\)"/>
    <numFmt numFmtId="175" formatCode="_(* #,##0_);[Red]_(* \(#,##0\);_(* &quot;-&quot;_);_(@_)"/>
    <numFmt numFmtId="176" formatCode="0.000"/>
    <numFmt numFmtId="177" formatCode="0.000%"/>
    <numFmt numFmtId="178" formatCode="#,##0.000_);\(#,##0.000\)"/>
    <numFmt numFmtId="179" formatCode="_(* #,##0.000_);[Red]_(* \(#,##0.000\);_(* &quot;-&quot;_);_(@_)"/>
    <numFmt numFmtId="180" formatCode="_(* #,##0.00_);[Red]_(* \(#,##0.00\);_(* &quot;-&quot;_);_(@_)"/>
    <numFmt numFmtId="181" formatCode="_(* #,##0.000_);_(* \(#,##0.000\);_(* &quot;-&quot;??_);_(@_)"/>
    <numFmt numFmtId="182" formatCode="_(* #,##0.0000_);_(* \(#,##0.0000\);_(* &quot;-&quot;??_);_(@_)"/>
    <numFmt numFmtId="183" formatCode="[$-409]mmmm\ d\,\ yyyy;@"/>
  </numFmts>
  <fonts count="40" x14ac:knownFonts="1">
    <font>
      <sz val="10"/>
      <name val="Times New Roman"/>
      <family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sz val="12"/>
      <name val="Arial"/>
      <family val="2"/>
    </font>
    <font>
      <b/>
      <i/>
      <sz val="8"/>
      <color indexed="18"/>
      <name val="Helv"/>
    </font>
    <font>
      <sz val="8"/>
      <name val="Helv"/>
    </font>
    <font>
      <b/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color indexed="12"/>
      <name val="Arial"/>
      <family val="2"/>
    </font>
    <font>
      <b/>
      <sz val="8"/>
      <name val="Times New Roman"/>
      <family val="1"/>
    </font>
    <font>
      <b/>
      <u/>
      <sz val="10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u/>
      <sz val="9"/>
      <name val="Times New Roman"/>
      <family val="1"/>
    </font>
    <font>
      <u val="singleAccounting"/>
      <sz val="9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0"/>
      <name val="Arial"/>
      <family val="2"/>
    </font>
    <font>
      <b/>
      <u/>
      <sz val="10"/>
      <name val="Arial"/>
      <family val="2"/>
    </font>
    <font>
      <sz val="10"/>
      <color indexed="10"/>
      <name val="Times New Roman"/>
      <family val="1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name val="Calibri"/>
      <family val="2"/>
      <scheme val="minor"/>
    </font>
    <font>
      <sz val="8"/>
      <name val="Calibri"/>
      <family val="2"/>
      <scheme val="minor"/>
    </font>
    <font>
      <b/>
      <u/>
      <sz val="12"/>
      <name val="Calibri"/>
      <family val="2"/>
      <scheme val="minor"/>
    </font>
    <font>
      <u/>
      <sz val="10"/>
      <name val="Calibri"/>
      <family val="2"/>
      <scheme val="minor"/>
    </font>
    <font>
      <b/>
      <sz val="11"/>
      <name val="Calibri"/>
      <family val="2"/>
      <scheme val="minor"/>
    </font>
    <font>
      <u/>
      <sz val="10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4.9989318521683403E-2"/>
        <bgColor indexed="64"/>
      </patternFill>
    </fill>
  </fills>
  <borders count="48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6">
    <xf numFmtId="175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71" fontId="15" fillId="0" borderId="0" applyFont="0" applyFill="0" applyBorder="0" applyProtection="0">
      <alignment horizontal="right"/>
    </xf>
    <xf numFmtId="0" fontId="14" fillId="0" borderId="0" applyNumberFormat="0" applyFill="0" applyBorder="0" applyAlignment="0">
      <protection locked="0"/>
    </xf>
    <xf numFmtId="165" fontId="16" fillId="0" borderId="0" applyNumberFormat="0" applyFill="0" applyBorder="0" applyAlignment="0" applyProtection="0"/>
    <xf numFmtId="0" fontId="17" fillId="0" borderId="1" applyNumberFormat="0" applyBorder="0" applyAlignment="0"/>
    <xf numFmtId="41" fontId="5" fillId="0" borderId="0"/>
    <xf numFmtId="0" fontId="5" fillId="0" borderId="0"/>
    <xf numFmtId="175" fontId="5" fillId="0" borderId="0"/>
    <xf numFmtId="0" fontId="3" fillId="0" borderId="0"/>
    <xf numFmtId="175" fontId="3" fillId="0" borderId="0"/>
    <xf numFmtId="12" fontId="13" fillId="2" borderId="2">
      <alignment horizontal="left"/>
    </xf>
    <xf numFmtId="9" fontId="3" fillId="0" borderId="0" applyFont="0" applyFill="0" applyBorder="0" applyAlignment="0" applyProtection="0"/>
    <xf numFmtId="37" fontId="17" fillId="3" borderId="0" applyNumberFormat="0" applyBorder="0" applyAlignment="0" applyProtection="0"/>
    <xf numFmtId="37" fontId="18" fillId="0" borderId="0"/>
    <xf numFmtId="3" fontId="19" fillId="4" borderId="3" applyProtection="0"/>
    <xf numFmtId="175" fontId="3" fillId="0" borderId="0"/>
    <xf numFmtId="175" fontId="5" fillId="0" borderId="0"/>
    <xf numFmtId="0" fontId="3" fillId="0" borderId="0"/>
    <xf numFmtId="0" fontId="2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1" fillId="0" borderId="0"/>
    <xf numFmtId="44" fontId="3" fillId="0" borderId="0" applyFont="0" applyFill="0" applyBorder="0" applyAlignment="0" applyProtection="0"/>
  </cellStyleXfs>
  <cellXfs count="477">
    <xf numFmtId="175" fontId="0" fillId="0" borderId="0" xfId="0"/>
    <xf numFmtId="175" fontId="6" fillId="0" borderId="0" xfId="0" applyFont="1" applyFill="1" applyAlignment="1">
      <alignment horizontal="centerContinuous"/>
    </xf>
    <xf numFmtId="175" fontId="12" fillId="0" borderId="0" xfId="0" applyFont="1" applyFill="1" applyAlignment="1">
      <alignment horizontal="centerContinuous"/>
    </xf>
    <xf numFmtId="175" fontId="7" fillId="0" borderId="0" xfId="0" applyFont="1" applyFill="1" applyAlignment="1">
      <alignment horizontal="centerContinuous"/>
    </xf>
    <xf numFmtId="8" fontId="9" fillId="0" borderId="0" xfId="0" applyNumberFormat="1" applyFont="1" applyFill="1" applyAlignment="1">
      <alignment horizontal="center"/>
    </xf>
    <xf numFmtId="175" fontId="10" fillId="0" borderId="0" xfId="0" applyFont="1" applyFill="1"/>
    <xf numFmtId="175" fontId="10" fillId="0" borderId="0" xfId="0" applyFont="1" applyFill="1" applyAlignment="1">
      <alignment horizontal="centerContinuous"/>
    </xf>
    <xf numFmtId="175" fontId="11" fillId="0" borderId="0" xfId="0" applyFont="1" applyFill="1"/>
    <xf numFmtId="175" fontId="6" fillId="0" borderId="0" xfId="0" applyFont="1" applyFill="1" applyBorder="1" applyAlignment="1">
      <alignment horizontal="center"/>
    </xf>
    <xf numFmtId="175" fontId="7" fillId="0" borderId="0" xfId="0" applyFont="1" applyFill="1" applyBorder="1" applyAlignment="1">
      <alignment horizontal="center"/>
    </xf>
    <xf numFmtId="8" fontId="9" fillId="0" borderId="0" xfId="0" applyNumberFormat="1" applyFont="1" applyFill="1" applyAlignment="1">
      <alignment horizontal="centerContinuous"/>
    </xf>
    <xf numFmtId="175" fontId="9" fillId="0" borderId="0" xfId="0" quotePrefix="1" applyFont="1" applyFill="1" applyAlignment="1">
      <alignment horizontal="center"/>
    </xf>
    <xf numFmtId="175" fontId="4" fillId="0" borderId="0" xfId="0" applyFont="1" applyFill="1" applyBorder="1" applyAlignment="1">
      <alignment horizontal="left"/>
    </xf>
    <xf numFmtId="175" fontId="11" fillId="0" borderId="0" xfId="0" applyFont="1" applyFill="1" applyAlignment="1">
      <alignment horizontal="centerContinuous"/>
    </xf>
    <xf numFmtId="175" fontId="6" fillId="0" borderId="0" xfId="0" applyFont="1" applyFill="1" applyBorder="1" applyAlignment="1">
      <alignment horizontal="centerContinuous"/>
    </xf>
    <xf numFmtId="175" fontId="7" fillId="0" borderId="0" xfId="0" applyFont="1" applyFill="1" applyBorder="1" applyAlignment="1">
      <alignment horizontal="centerContinuous"/>
    </xf>
    <xf numFmtId="8" fontId="9" fillId="0" borderId="0" xfId="0" applyNumberFormat="1" applyFont="1" applyFill="1" applyBorder="1" applyAlignment="1">
      <alignment horizontal="left"/>
    </xf>
    <xf numFmtId="175" fontId="8" fillId="0" borderId="0" xfId="0" applyFont="1" applyFill="1" applyBorder="1" applyAlignment="1">
      <alignment horizontal="center"/>
    </xf>
    <xf numFmtId="175" fontId="8" fillId="0" borderId="0" xfId="0" quotePrefix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left"/>
    </xf>
    <xf numFmtId="175" fontId="6" fillId="0" borderId="0" xfId="9" applyFont="1" applyFill="1" applyAlignment="1">
      <alignment horizontal="centerContinuous"/>
    </xf>
    <xf numFmtId="175" fontId="4" fillId="0" borderId="4" xfId="9" applyFont="1" applyFill="1" applyBorder="1" applyAlignment="1">
      <alignment horizontal="center"/>
    </xf>
    <xf numFmtId="175" fontId="8" fillId="0" borderId="0" xfId="9" quotePrefix="1" applyFont="1" applyFill="1" applyBorder="1" applyAlignment="1">
      <alignment horizontal="center"/>
    </xf>
    <xf numFmtId="175" fontId="7" fillId="0" borderId="0" xfId="9" applyFont="1" applyFill="1" applyAlignment="1">
      <alignment horizontal="centerContinuous"/>
    </xf>
    <xf numFmtId="175" fontId="4" fillId="0" borderId="11" xfId="9" applyFont="1" applyFill="1" applyBorder="1" applyAlignment="1">
      <alignment horizontal="centerContinuous"/>
    </xf>
    <xf numFmtId="175" fontId="4" fillId="0" borderId="6" xfId="9" applyFont="1" applyFill="1" applyBorder="1" applyAlignment="1">
      <alignment horizontal="center"/>
    </xf>
    <xf numFmtId="175" fontId="4" fillId="0" borderId="10" xfId="9" applyFont="1" applyFill="1" applyBorder="1" applyAlignment="1">
      <alignment horizontal="center"/>
    </xf>
    <xf numFmtId="175" fontId="21" fillId="0" borderId="0" xfId="9" applyFont="1" applyFill="1" applyAlignment="1">
      <alignment horizontal="left"/>
    </xf>
    <xf numFmtId="167" fontId="9" fillId="0" borderId="0" xfId="0" applyNumberFormat="1" applyFont="1" applyFill="1" applyBorder="1" applyAlignment="1">
      <alignment horizontal="center"/>
    </xf>
    <xf numFmtId="175" fontId="6" fillId="0" borderId="0" xfId="11" applyFont="1" applyAlignment="1">
      <alignment horizontal="centerContinuous"/>
    </xf>
    <xf numFmtId="175" fontId="5" fillId="0" borderId="0" xfId="11" applyFont="1"/>
    <xf numFmtId="175" fontId="8" fillId="0" borderId="10" xfId="0" quotePrefix="1" applyFont="1" applyFill="1" applyBorder="1" applyAlignment="1">
      <alignment horizontal="center"/>
    </xf>
    <xf numFmtId="175" fontId="0" fillId="0" borderId="0" xfId="9" applyFont="1" applyFill="1"/>
    <xf numFmtId="175" fontId="0" fillId="0" borderId="5" xfId="0" applyFont="1" applyFill="1" applyBorder="1" applyAlignment="1">
      <alignment horizontal="centerContinuous"/>
    </xf>
    <xf numFmtId="175" fontId="0" fillId="0" borderId="17" xfId="0" applyFont="1" applyFill="1" applyBorder="1" applyAlignment="1">
      <alignment horizontal="centerContinuous"/>
    </xf>
    <xf numFmtId="175" fontId="0" fillId="0" borderId="0" xfId="0" applyFont="1" applyFill="1"/>
    <xf numFmtId="169" fontId="0" fillId="0" borderId="0" xfId="13" applyNumberFormat="1" applyFont="1" applyFill="1"/>
    <xf numFmtId="175" fontId="0" fillId="0" borderId="0" xfId="0" applyFont="1" applyFill="1" applyBorder="1"/>
    <xf numFmtId="8" fontId="0" fillId="0" borderId="0" xfId="0" applyNumberFormat="1" applyFont="1" applyFill="1" applyBorder="1"/>
    <xf numFmtId="8" fontId="9" fillId="0" borderId="0" xfId="0" applyNumberFormat="1" applyFont="1" applyFill="1" applyBorder="1" applyAlignment="1">
      <alignment horizontal="center"/>
    </xf>
    <xf numFmtId="175" fontId="0" fillId="0" borderId="0" xfId="0" quotePrefix="1" applyFont="1" applyFill="1" applyBorder="1" applyAlignment="1">
      <alignment horizontal="center"/>
    </xf>
    <xf numFmtId="175" fontId="0" fillId="0" borderId="4" xfId="0" applyFont="1" applyFill="1" applyBorder="1" applyAlignment="1">
      <alignment horizontal="center"/>
    </xf>
    <xf numFmtId="175" fontId="0" fillId="0" borderId="11" xfId="0" applyFont="1" applyFill="1" applyBorder="1" applyAlignment="1">
      <alignment horizontal="centerContinuous"/>
    </xf>
    <xf numFmtId="175" fontId="0" fillId="0" borderId="11" xfId="0" quotePrefix="1" applyFont="1" applyFill="1" applyBorder="1" applyAlignment="1">
      <alignment horizontal="centerContinuous"/>
    </xf>
    <xf numFmtId="175" fontId="0" fillId="0" borderId="10" xfId="0" applyFont="1" applyFill="1" applyBorder="1" applyAlignment="1">
      <alignment horizontal="center"/>
    </xf>
    <xf numFmtId="175" fontId="0" fillId="0" borderId="9" xfId="0" applyFont="1" applyFill="1" applyBorder="1" applyAlignment="1">
      <alignment horizontal="center"/>
    </xf>
    <xf numFmtId="175" fontId="0" fillId="0" borderId="16" xfId="0" applyFont="1" applyFill="1" applyBorder="1" applyAlignment="1">
      <alignment horizontal="center"/>
    </xf>
    <xf numFmtId="175" fontId="0" fillId="0" borderId="0" xfId="0" applyFont="1" applyFill="1" applyBorder="1" applyAlignment="1">
      <alignment horizontal="center"/>
    </xf>
    <xf numFmtId="175" fontId="0" fillId="0" borderId="0" xfId="0" quotePrefix="1" applyFont="1" applyFill="1" applyBorder="1" applyAlignment="1">
      <alignment horizontal="left"/>
    </xf>
    <xf numFmtId="1" fontId="0" fillId="0" borderId="13" xfId="0" applyNumberFormat="1" applyFont="1" applyFill="1" applyBorder="1" applyAlignment="1">
      <alignment horizontal="center"/>
    </xf>
    <xf numFmtId="8" fontId="0" fillId="0" borderId="13" xfId="0" applyNumberFormat="1" applyFont="1" applyFill="1" applyBorder="1" applyAlignment="1">
      <alignment horizontal="center"/>
    </xf>
    <xf numFmtId="8" fontId="0" fillId="0" borderId="18" xfId="0" applyNumberFormat="1" applyFont="1" applyFill="1" applyBorder="1" applyAlignment="1">
      <alignment horizontal="center"/>
    </xf>
    <xf numFmtId="8" fontId="0" fillId="0" borderId="14" xfId="0" applyNumberFormat="1" applyFont="1" applyFill="1" applyBorder="1" applyAlignment="1">
      <alignment horizontal="center"/>
    </xf>
    <xf numFmtId="0" fontId="0" fillId="0" borderId="12" xfId="0" applyNumberFormat="1" applyFont="1" applyFill="1" applyBorder="1" applyAlignment="1">
      <alignment horizontal="center"/>
    </xf>
    <xf numFmtId="8" fontId="0" fillId="0" borderId="12" xfId="0" applyNumberFormat="1" applyFont="1" applyFill="1" applyBorder="1" applyAlignment="1">
      <alignment horizontal="center"/>
    </xf>
    <xf numFmtId="8" fontId="0" fillId="0" borderId="0" xfId="0" applyNumberFormat="1" applyFont="1" applyFill="1" applyBorder="1" applyAlignment="1">
      <alignment horizontal="center"/>
    </xf>
    <xf numFmtId="8" fontId="0" fillId="0" borderId="7" xfId="0" applyNumberFormat="1" applyFont="1" applyFill="1" applyBorder="1" applyAlignment="1">
      <alignment horizontal="center"/>
    </xf>
    <xf numFmtId="0" fontId="0" fillId="0" borderId="15" xfId="0" applyNumberFormat="1" applyFont="1" applyFill="1" applyBorder="1" applyAlignment="1">
      <alignment horizontal="center"/>
    </xf>
    <xf numFmtId="8" fontId="0" fillId="0" borderId="15" xfId="0" applyNumberFormat="1" applyFont="1" applyFill="1" applyBorder="1" applyAlignment="1">
      <alignment horizontal="center"/>
    </xf>
    <xf numFmtId="8" fontId="0" fillId="0" borderId="9" xfId="0" applyNumberFormat="1" applyFont="1" applyFill="1" applyBorder="1" applyAlignment="1">
      <alignment horizontal="center"/>
    </xf>
    <xf numFmtId="8" fontId="0" fillId="0" borderId="16" xfId="0" applyNumberFormat="1" applyFont="1" applyFill="1" applyBorder="1" applyAlignment="1">
      <alignment horizontal="center"/>
    </xf>
    <xf numFmtId="175" fontId="0" fillId="0" borderId="0" xfId="0" applyFont="1" applyFill="1" applyBorder="1" applyAlignment="1">
      <alignment horizontal="left"/>
    </xf>
    <xf numFmtId="175" fontId="0" fillId="0" borderId="0" xfId="0" quotePrefix="1" applyFont="1" applyFill="1"/>
    <xf numFmtId="175" fontId="0" fillId="0" borderId="11" xfId="0" applyFont="1" applyFill="1" applyBorder="1" applyAlignment="1">
      <alignment horizontal="center"/>
    </xf>
    <xf numFmtId="175" fontId="0" fillId="0" borderId="8" xfId="0" applyFont="1" applyFill="1" applyBorder="1" applyAlignment="1">
      <alignment horizontal="centerContinuous"/>
    </xf>
    <xf numFmtId="0" fontId="0" fillId="0" borderId="0" xfId="0" applyNumberFormat="1" applyFont="1" applyFill="1" applyAlignment="1">
      <alignment horizontal="center"/>
    </xf>
    <xf numFmtId="17" fontId="0" fillId="0" borderId="0" xfId="0" applyNumberFormat="1" applyFont="1" applyFill="1" applyBorder="1" applyAlignment="1">
      <alignment horizontal="center"/>
    </xf>
    <xf numFmtId="164" fontId="0" fillId="0" borderId="0" xfId="0" applyNumberFormat="1" applyFont="1" applyFill="1" applyBorder="1"/>
    <xf numFmtId="175" fontId="0" fillId="0" borderId="0" xfId="9" applyFont="1" applyFill="1" applyAlignment="1">
      <alignment horizontal="centerContinuous"/>
    </xf>
    <xf numFmtId="175" fontId="0" fillId="0" borderId="10" xfId="9" applyFont="1" applyFill="1" applyBorder="1"/>
    <xf numFmtId="175" fontId="0" fillId="0" borderId="0" xfId="9" quotePrefix="1" applyFont="1" applyFill="1" applyBorder="1" applyAlignment="1">
      <alignment horizontal="center"/>
    </xf>
    <xf numFmtId="0" fontId="0" fillId="0" borderId="0" xfId="9" applyNumberFormat="1" applyFont="1" applyFill="1" applyAlignment="1">
      <alignment horizontal="center"/>
    </xf>
    <xf numFmtId="167" fontId="0" fillId="0" borderId="0" xfId="9" applyNumberFormat="1" applyFont="1" applyFill="1" applyBorder="1" applyAlignment="1">
      <alignment horizontal="center"/>
    </xf>
    <xf numFmtId="175" fontId="0" fillId="0" borderId="0" xfId="9" applyFont="1" applyFill="1" applyAlignment="1">
      <alignment horizontal="right"/>
    </xf>
    <xf numFmtId="175" fontId="0" fillId="0" borderId="0" xfId="9" applyFont="1" applyFill="1" applyBorder="1" applyAlignment="1">
      <alignment horizontal="center"/>
    </xf>
    <xf numFmtId="175" fontId="0" fillId="0" borderId="4" xfId="0" applyFont="1" applyFill="1" applyBorder="1"/>
    <xf numFmtId="175" fontId="0" fillId="0" borderId="4" xfId="0" applyFont="1" applyFill="1" applyBorder="1" applyAlignment="1">
      <alignment horizontal="centerContinuous"/>
    </xf>
    <xf numFmtId="175" fontId="0" fillId="0" borderId="12" xfId="0" applyFont="1" applyFill="1" applyBorder="1" applyAlignment="1">
      <alignment horizontal="center"/>
    </xf>
    <xf numFmtId="175" fontId="0" fillId="0" borderId="13" xfId="0" applyFont="1" applyFill="1" applyBorder="1" applyAlignment="1">
      <alignment horizontal="centerContinuous"/>
    </xf>
    <xf numFmtId="175" fontId="0" fillId="0" borderId="7" xfId="0" applyFont="1" applyFill="1" applyBorder="1" applyAlignment="1">
      <alignment horizontal="center"/>
    </xf>
    <xf numFmtId="175" fontId="0" fillId="0" borderId="6" xfId="0" applyFont="1" applyFill="1" applyBorder="1" applyAlignment="1">
      <alignment horizontal="center"/>
    </xf>
    <xf numFmtId="175" fontId="0" fillId="0" borderId="12" xfId="0" applyFont="1" applyFill="1" applyBorder="1"/>
    <xf numFmtId="175" fontId="0" fillId="0" borderId="0" xfId="0" quotePrefix="1" applyFont="1" applyFill="1" applyBorder="1" applyAlignment="1">
      <alignment horizontal="centerContinuous"/>
    </xf>
    <xf numFmtId="167" fontId="0" fillId="0" borderId="0" xfId="0" applyNumberFormat="1" applyFont="1" applyFill="1" applyBorder="1" applyAlignment="1">
      <alignment horizontal="center"/>
    </xf>
    <xf numFmtId="175" fontId="0" fillId="0" borderId="0" xfId="0" applyFont="1" applyFill="1" applyAlignment="1">
      <alignment horizontal="right"/>
    </xf>
    <xf numFmtId="177" fontId="0" fillId="0" borderId="0" xfId="0" applyNumberFormat="1" applyFont="1" applyFill="1" applyAlignment="1">
      <alignment horizontal="center"/>
    </xf>
    <xf numFmtId="175" fontId="0" fillId="0" borderId="0" xfId="0" quotePrefix="1" applyFont="1" applyFill="1" applyAlignment="1">
      <alignment horizontal="right"/>
    </xf>
    <xf numFmtId="175" fontId="0" fillId="0" borderId="13" xfId="0" applyFont="1" applyFill="1" applyBorder="1" applyAlignment="1">
      <alignment horizontal="center"/>
    </xf>
    <xf numFmtId="175" fontId="0" fillId="0" borderId="14" xfId="0" applyFont="1" applyFill="1" applyBorder="1" applyAlignment="1">
      <alignment horizontal="center"/>
    </xf>
    <xf numFmtId="175" fontId="0" fillId="0" borderId="13" xfId="0" applyFont="1" applyFill="1" applyBorder="1"/>
    <xf numFmtId="175" fontId="0" fillId="0" borderId="12" xfId="0" applyFont="1" applyFill="1" applyBorder="1" applyAlignment="1">
      <alignment horizontal="centerContinuous"/>
    </xf>
    <xf numFmtId="175" fontId="0" fillId="0" borderId="6" xfId="0" applyFont="1" applyFill="1" applyBorder="1" applyAlignment="1">
      <alignment horizontal="centerContinuous"/>
    </xf>
    <xf numFmtId="175" fontId="0" fillId="0" borderId="6" xfId="0" applyFont="1" applyFill="1" applyBorder="1"/>
    <xf numFmtId="175" fontId="0" fillId="0" borderId="7" xfId="0" quotePrefix="1" applyFont="1" applyFill="1" applyBorder="1" applyAlignment="1">
      <alignment horizontal="center"/>
    </xf>
    <xf numFmtId="175" fontId="0" fillId="0" borderId="10" xfId="0" applyFont="1" applyFill="1" applyBorder="1"/>
    <xf numFmtId="175" fontId="0" fillId="0" borderId="10" xfId="0" quotePrefix="1" applyFont="1" applyFill="1" applyBorder="1" applyAlignment="1">
      <alignment horizontal="center"/>
    </xf>
    <xf numFmtId="175" fontId="0" fillId="0" borderId="8" xfId="0" quotePrefix="1" applyFont="1" applyFill="1" applyBorder="1" applyAlignment="1">
      <alignment horizontal="centerContinuous"/>
    </xf>
    <xf numFmtId="8" fontId="0" fillId="0" borderId="0" xfId="0" applyNumberFormat="1" applyFont="1" applyFill="1" applyBorder="1" applyAlignment="1">
      <alignment horizontal="centerContinuous"/>
    </xf>
    <xf numFmtId="0" fontId="0" fillId="0" borderId="13" xfId="0" applyNumberFormat="1" applyFont="1" applyFill="1" applyBorder="1" applyAlignment="1">
      <alignment horizontal="center"/>
    </xf>
    <xf numFmtId="167" fontId="0" fillId="0" borderId="18" xfId="0" applyNumberFormat="1" applyFont="1" applyFill="1" applyBorder="1" applyAlignment="1">
      <alignment horizontal="center"/>
    </xf>
    <xf numFmtId="167" fontId="0" fillId="0" borderId="14" xfId="0" applyNumberFormat="1" applyFont="1" applyFill="1" applyBorder="1" applyAlignment="1">
      <alignment horizontal="center"/>
    </xf>
    <xf numFmtId="167" fontId="0" fillId="0" borderId="7" xfId="0" applyNumberFormat="1" applyFont="1" applyFill="1" applyBorder="1" applyAlignment="1">
      <alignment horizontal="center"/>
    </xf>
    <xf numFmtId="167" fontId="0" fillId="0" borderId="9" xfId="0" applyNumberFormat="1" applyFont="1" applyFill="1" applyBorder="1" applyAlignment="1">
      <alignment horizontal="center"/>
    </xf>
    <xf numFmtId="167" fontId="0" fillId="0" borderId="16" xfId="0" applyNumberFormat="1" applyFont="1" applyFill="1" applyBorder="1" applyAlignment="1">
      <alignment horizontal="center"/>
    </xf>
    <xf numFmtId="8" fontId="0" fillId="0" borderId="0" xfId="0" applyNumberFormat="1" applyFont="1" applyFill="1" applyAlignment="1">
      <alignment horizontal="center"/>
    </xf>
    <xf numFmtId="175" fontId="0" fillId="0" borderId="0" xfId="0" applyFont="1" applyFill="1" applyBorder="1" applyAlignment="1">
      <alignment horizontal="right"/>
    </xf>
    <xf numFmtId="8" fontId="0" fillId="0" borderId="0" xfId="0" applyNumberFormat="1" applyFont="1" applyFill="1"/>
    <xf numFmtId="175" fontId="0" fillId="0" borderId="17" xfId="0" applyFont="1" applyFill="1" applyBorder="1" applyAlignment="1">
      <alignment horizontal="center"/>
    </xf>
    <xf numFmtId="175" fontId="0" fillId="0" borderId="18" xfId="0" applyFont="1" applyFill="1" applyBorder="1"/>
    <xf numFmtId="175" fontId="0" fillId="0" borderId="18" xfId="0" quotePrefix="1" applyFont="1" applyFill="1" applyBorder="1"/>
    <xf numFmtId="175" fontId="0" fillId="0" borderId="18" xfId="0" applyFont="1" applyFill="1" applyBorder="1" applyAlignment="1">
      <alignment horizontal="left"/>
    </xf>
    <xf numFmtId="175" fontId="0" fillId="0" borderId="18" xfId="0" applyFont="1" applyFill="1" applyBorder="1" applyAlignment="1">
      <alignment horizontal="center"/>
    </xf>
    <xf numFmtId="175" fontId="6" fillId="0" borderId="0" xfId="11" applyFont="1" applyFill="1" applyAlignment="1">
      <alignment horizontal="centerContinuous"/>
    </xf>
    <xf numFmtId="175" fontId="9" fillId="0" borderId="0" xfId="0" applyNumberFormat="1" applyFont="1" applyFill="1" applyAlignment="1">
      <alignment horizontal="center"/>
    </xf>
    <xf numFmtId="175" fontId="23" fillId="0" borderId="0" xfId="0" applyFont="1" applyFill="1"/>
    <xf numFmtId="175" fontId="23" fillId="0" borderId="0" xfId="0" applyFont="1" applyFill="1" applyBorder="1" applyAlignment="1">
      <alignment horizontal="center"/>
    </xf>
    <xf numFmtId="175" fontId="23" fillId="0" borderId="0" xfId="0" applyFont="1" applyFill="1" applyAlignment="1">
      <alignment horizontal="center"/>
    </xf>
    <xf numFmtId="175" fontId="24" fillId="0" borderId="0" xfId="0" applyFont="1" applyFill="1" applyBorder="1" applyAlignment="1">
      <alignment horizontal="centerContinuous"/>
    </xf>
    <xf numFmtId="175" fontId="25" fillId="0" borderId="0" xfId="0" applyFont="1" applyFill="1" applyBorder="1" applyAlignment="1">
      <alignment horizontal="center"/>
    </xf>
    <xf numFmtId="2" fontId="23" fillId="0" borderId="0" xfId="0" applyNumberFormat="1" applyFont="1" applyFill="1" applyAlignment="1">
      <alignment horizontal="center"/>
    </xf>
    <xf numFmtId="0" fontId="23" fillId="0" borderId="0" xfId="0" applyNumberFormat="1" applyFont="1" applyFill="1" applyAlignment="1">
      <alignment horizontal="center"/>
    </xf>
    <xf numFmtId="176" fontId="23" fillId="0" borderId="0" xfId="0" applyNumberFormat="1" applyFont="1" applyFill="1" applyAlignment="1">
      <alignment horizontal="center"/>
    </xf>
    <xf numFmtId="176" fontId="23" fillId="0" borderId="0" xfId="0" applyNumberFormat="1" applyFont="1" applyFill="1" applyBorder="1" applyAlignment="1">
      <alignment horizontal="center"/>
    </xf>
    <xf numFmtId="8" fontId="23" fillId="0" borderId="0" xfId="0" applyNumberFormat="1" applyFont="1" applyFill="1" applyAlignment="1">
      <alignment horizontal="left"/>
    </xf>
    <xf numFmtId="177" fontId="23" fillId="0" borderId="0" xfId="0" applyNumberFormat="1" applyFont="1" applyFill="1" applyAlignment="1">
      <alignment horizontal="center"/>
    </xf>
    <xf numFmtId="175" fontId="23" fillId="0" borderId="0" xfId="0" applyFont="1" applyFill="1" applyAlignment="1">
      <alignment horizontal="right"/>
    </xf>
    <xf numFmtId="175" fontId="23" fillId="0" borderId="0" xfId="0" applyFont="1" applyFill="1" applyBorder="1" applyAlignment="1">
      <alignment horizontal="right" vertical="center" wrapText="1"/>
    </xf>
    <xf numFmtId="178" fontId="23" fillId="0" borderId="0" xfId="0" applyNumberFormat="1" applyFont="1" applyFill="1" applyBorder="1" applyAlignment="1">
      <alignment horizontal="center" vertical="center"/>
    </xf>
    <xf numFmtId="1" fontId="23" fillId="0" borderId="0" xfId="0" applyNumberFormat="1" applyFont="1" applyFill="1" applyAlignment="1">
      <alignment horizontal="center"/>
    </xf>
    <xf numFmtId="39" fontId="23" fillId="0" borderId="0" xfId="0" applyNumberFormat="1" applyFont="1" applyFill="1" applyBorder="1" applyAlignment="1">
      <alignment horizontal="center"/>
    </xf>
    <xf numFmtId="39" fontId="23" fillId="0" borderId="0" xfId="0" applyNumberFormat="1" applyFont="1" applyFill="1" applyBorder="1" applyAlignment="1">
      <alignment horizontal="center" vertical="center"/>
    </xf>
    <xf numFmtId="175" fontId="5" fillId="0" borderId="0" xfId="11" applyFont="1" applyAlignment="1">
      <alignment horizontal="centerContinuous"/>
    </xf>
    <xf numFmtId="175" fontId="5" fillId="0" borderId="0" xfId="0" applyFont="1" applyFill="1" applyBorder="1"/>
    <xf numFmtId="9" fontId="0" fillId="0" borderId="0" xfId="13" applyFont="1" applyFill="1"/>
    <xf numFmtId="9" fontId="4" fillId="0" borderId="0" xfId="13" applyFont="1" applyFill="1"/>
    <xf numFmtId="175" fontId="4" fillId="0" borderId="4" xfId="18" applyFont="1" applyFill="1" applyBorder="1" applyAlignment="1">
      <alignment horizontal="center" wrapText="1"/>
    </xf>
    <xf numFmtId="175" fontId="20" fillId="0" borderId="10" xfId="18" quotePrefix="1" applyFont="1" applyFill="1" applyBorder="1" applyAlignment="1">
      <alignment horizontal="center" wrapText="1"/>
    </xf>
    <xf numFmtId="175" fontId="5" fillId="0" borderId="0" xfId="18" applyFont="1" applyFill="1"/>
    <xf numFmtId="0" fontId="3" fillId="0" borderId="0" xfId="19"/>
    <xf numFmtId="8" fontId="5" fillId="0" borderId="0" xfId="18" applyNumberFormat="1" applyFont="1" applyFill="1" applyAlignment="1">
      <alignment horizontal="right"/>
    </xf>
    <xf numFmtId="175" fontId="0" fillId="0" borderId="8" xfId="0" applyFont="1" applyFill="1" applyBorder="1"/>
    <xf numFmtId="175" fontId="0" fillId="0" borderId="5" xfId="0" applyFont="1" applyFill="1" applyBorder="1"/>
    <xf numFmtId="175" fontId="6" fillId="0" borderId="0" xfId="0" applyFont="1" applyFill="1" applyAlignment="1">
      <alignment horizontal="left" vertical="top"/>
    </xf>
    <xf numFmtId="175" fontId="7" fillId="0" borderId="0" xfId="0" applyFont="1" applyFill="1" applyAlignment="1">
      <alignment horizontal="left" vertical="top"/>
    </xf>
    <xf numFmtId="175" fontId="12" fillId="0" borderId="0" xfId="0" applyFont="1" applyFill="1"/>
    <xf numFmtId="0" fontId="23" fillId="0" borderId="0" xfId="0" applyNumberFormat="1" applyFont="1" applyFill="1" applyAlignment="1">
      <alignment horizontal="left" vertical="top"/>
    </xf>
    <xf numFmtId="175" fontId="0" fillId="0" borderId="0" xfId="0" applyAlignment="1">
      <alignment horizontal="centerContinuous"/>
    </xf>
    <xf numFmtId="175" fontId="6" fillId="0" borderId="0" xfId="0" applyFont="1" applyFill="1" applyAlignment="1">
      <alignment horizontal="centerContinuous" vertical="center"/>
    </xf>
    <xf numFmtId="175" fontId="0" fillId="0" borderId="0" xfId="0" applyFill="1" applyAlignment="1">
      <alignment horizontal="centerContinuous" vertical="center"/>
    </xf>
    <xf numFmtId="175" fontId="7" fillId="0" borderId="0" xfId="0" applyFont="1" applyFill="1" applyAlignment="1">
      <alignment horizontal="centerContinuous" vertical="center"/>
    </xf>
    <xf numFmtId="175" fontId="6" fillId="0" borderId="0" xfId="0" applyFont="1" applyFill="1" applyAlignment="1">
      <alignment horizontal="centerContinuous" vertical="top"/>
    </xf>
    <xf numFmtId="175" fontId="7" fillId="0" borderId="0" xfId="0" applyFont="1" applyFill="1" applyAlignment="1">
      <alignment horizontal="centerContinuous" vertical="top"/>
    </xf>
    <xf numFmtId="175" fontId="26" fillId="0" borderId="0" xfId="0" applyFont="1" applyAlignment="1">
      <alignment horizontal="right" vertical="center"/>
    </xf>
    <xf numFmtId="166" fontId="27" fillId="0" borderId="0" xfId="0" applyNumberFormat="1" applyFont="1" applyAlignment="1">
      <alignment horizontal="left" vertical="center"/>
    </xf>
    <xf numFmtId="175" fontId="10" fillId="5" borderId="11" xfId="0" applyFont="1" applyFill="1" applyBorder="1" applyAlignment="1">
      <alignment horizontal="centerContinuous" vertical="center"/>
    </xf>
    <xf numFmtId="175" fontId="10" fillId="5" borderId="11" xfId="0" applyFont="1" applyFill="1" applyBorder="1" applyAlignment="1">
      <alignment horizontal="centerContinuous"/>
    </xf>
    <xf numFmtId="175" fontId="10" fillId="0" borderId="16" xfId="0" applyFont="1" applyBorder="1" applyAlignment="1"/>
    <xf numFmtId="175" fontId="4" fillId="5" borderId="6" xfId="0" applyFont="1" applyFill="1" applyBorder="1" applyAlignment="1">
      <alignment horizontal="center" vertical="top"/>
    </xf>
    <xf numFmtId="175" fontId="5" fillId="5" borderId="6" xfId="0" applyFont="1" applyFill="1" applyBorder="1" applyAlignment="1">
      <alignment horizontal="center" vertical="top"/>
    </xf>
    <xf numFmtId="175" fontId="5" fillId="5" borderId="24" xfId="0" applyFont="1" applyFill="1" applyBorder="1" applyAlignment="1">
      <alignment horizontal="center" vertical="top"/>
    </xf>
    <xf numFmtId="175" fontId="5" fillId="0" borderId="7" xfId="0" applyFont="1" applyBorder="1" applyAlignment="1"/>
    <xf numFmtId="175" fontId="5" fillId="5" borderId="25" xfId="0" applyFont="1" applyFill="1" applyBorder="1" applyAlignment="1">
      <alignment horizontal="right"/>
    </xf>
    <xf numFmtId="175" fontId="5" fillId="0" borderId="0" xfId="0" applyFont="1" applyAlignment="1"/>
    <xf numFmtId="175" fontId="5" fillId="6" borderId="12" xfId="0" applyFont="1" applyFill="1" applyBorder="1" applyAlignment="1"/>
    <xf numFmtId="175" fontId="5" fillId="6" borderId="7" xfId="0" applyFont="1" applyFill="1" applyBorder="1" applyAlignment="1"/>
    <xf numFmtId="175" fontId="0" fillId="0" borderId="0" xfId="0" applyFill="1"/>
    <xf numFmtId="2" fontId="23" fillId="0" borderId="0" xfId="0" applyNumberFormat="1" applyFont="1" applyFill="1" applyBorder="1" applyAlignment="1">
      <alignment horizontal="center"/>
    </xf>
    <xf numFmtId="175" fontId="24" fillId="0" borderId="0" xfId="0" applyFont="1" applyFill="1" applyBorder="1" applyAlignment="1">
      <alignment horizontal="left"/>
    </xf>
    <xf numFmtId="175" fontId="25" fillId="0" borderId="0" xfId="0" applyFont="1" applyFill="1" applyBorder="1" applyAlignment="1">
      <alignment horizontal="left" vertical="top"/>
    </xf>
    <xf numFmtId="175" fontId="23" fillId="0" borderId="0" xfId="0" applyFont="1" applyFill="1" applyBorder="1"/>
    <xf numFmtId="175" fontId="23" fillId="0" borderId="0" xfId="0" applyFont="1" applyFill="1" applyBorder="1" applyAlignment="1">
      <alignment horizontal="right"/>
    </xf>
    <xf numFmtId="164" fontId="23" fillId="0" borderId="0" xfId="1" applyNumberFormat="1" applyFont="1" applyFill="1" applyBorder="1" applyAlignment="1">
      <alignment horizontal="left" vertical="top"/>
    </xf>
    <xf numFmtId="172" fontId="23" fillId="0" borderId="0" xfId="2" applyNumberFormat="1" applyFont="1" applyFill="1" applyBorder="1" applyAlignment="1">
      <alignment horizontal="left" vertical="top"/>
    </xf>
    <xf numFmtId="181" fontId="23" fillId="0" borderId="0" xfId="1" applyNumberFormat="1" applyFont="1" applyFill="1" applyBorder="1" applyAlignment="1">
      <alignment horizontal="left" vertical="top"/>
    </xf>
    <xf numFmtId="178" fontId="23" fillId="0" borderId="0" xfId="0" applyNumberFormat="1" applyFont="1" applyFill="1" applyBorder="1" applyAlignment="1">
      <alignment horizontal="left" vertical="top"/>
    </xf>
    <xf numFmtId="175" fontId="12" fillId="0" borderId="0" xfId="0" applyFont="1" applyFill="1" applyBorder="1" applyAlignment="1">
      <alignment horizontal="centerContinuous"/>
    </xf>
    <xf numFmtId="178" fontId="23" fillId="0" borderId="0" xfId="0" applyNumberFormat="1" applyFont="1" applyFill="1" applyBorder="1" applyAlignment="1">
      <alignment horizontal="right" vertical="top"/>
    </xf>
    <xf numFmtId="10" fontId="23" fillId="0" borderId="0" xfId="13" applyNumberFormat="1" applyFont="1" applyFill="1" applyBorder="1" applyAlignment="1">
      <alignment horizontal="center"/>
    </xf>
    <xf numFmtId="180" fontId="23" fillId="0" borderId="0" xfId="0" applyNumberFormat="1" applyFont="1" applyFill="1" applyBorder="1"/>
    <xf numFmtId="179" fontId="23" fillId="0" borderId="0" xfId="0" applyNumberFormat="1" applyFont="1" applyFill="1" applyBorder="1"/>
    <xf numFmtId="172" fontId="23" fillId="0" borderId="0" xfId="2" applyNumberFormat="1" applyFont="1" applyFill="1" applyBorder="1"/>
    <xf numFmtId="164" fontId="23" fillId="0" borderId="0" xfId="1" applyNumberFormat="1" applyFont="1" applyFill="1" applyBorder="1"/>
    <xf numFmtId="175" fontId="23" fillId="0" borderId="0" xfId="0" applyFont="1" applyFill="1" applyBorder="1" applyAlignment="1">
      <alignment horizontal="left" vertical="top"/>
    </xf>
    <xf numFmtId="10" fontId="23" fillId="0" borderId="0" xfId="13" applyNumberFormat="1" applyFont="1" applyFill="1" applyBorder="1" applyAlignment="1">
      <alignment horizontal="left" vertical="top"/>
    </xf>
    <xf numFmtId="175" fontId="23" fillId="7" borderId="0" xfId="0" applyFont="1" applyFill="1" applyAlignment="1">
      <alignment horizontal="center"/>
    </xf>
    <xf numFmtId="175" fontId="23" fillId="7" borderId="0" xfId="0" applyFont="1" applyFill="1"/>
    <xf numFmtId="10" fontId="23" fillId="7" borderId="0" xfId="13" applyNumberFormat="1" applyFont="1" applyFill="1" applyAlignment="1">
      <alignment horizontal="center"/>
    </xf>
    <xf numFmtId="9" fontId="23" fillId="7" borderId="0" xfId="13" applyFont="1" applyFill="1"/>
    <xf numFmtId="175" fontId="24" fillId="7" borderId="0" xfId="0" applyFont="1" applyFill="1" applyBorder="1" applyAlignment="1">
      <alignment horizontal="centerContinuous"/>
    </xf>
    <xf numFmtId="175" fontId="23" fillId="7" borderId="9" xfId="0" applyFont="1" applyFill="1" applyBorder="1"/>
    <xf numFmtId="175" fontId="25" fillId="7" borderId="0" xfId="0" applyFont="1" applyFill="1" applyBorder="1" applyAlignment="1">
      <alignment horizontal="center"/>
    </xf>
    <xf numFmtId="175" fontId="25" fillId="7" borderId="0" xfId="0" applyFont="1" applyFill="1" applyBorder="1" applyAlignment="1">
      <alignment horizontal="left" vertical="top"/>
    </xf>
    <xf numFmtId="180" fontId="23" fillId="7" borderId="0" xfId="0" applyNumberFormat="1" applyFont="1" applyFill="1"/>
    <xf numFmtId="179" fontId="23" fillId="7" borderId="0" xfId="0" applyNumberFormat="1" applyFont="1" applyFill="1"/>
    <xf numFmtId="172" fontId="23" fillId="7" borderId="0" xfId="2" applyNumberFormat="1" applyFont="1" applyFill="1"/>
    <xf numFmtId="8" fontId="23" fillId="7" borderId="0" xfId="0" applyNumberFormat="1" applyFont="1" applyFill="1" applyAlignment="1">
      <alignment horizontal="left"/>
    </xf>
    <xf numFmtId="177" fontId="23" fillId="7" borderId="0" xfId="0" applyNumberFormat="1" applyFont="1" applyFill="1" applyAlignment="1">
      <alignment horizontal="center"/>
    </xf>
    <xf numFmtId="43" fontId="23" fillId="7" borderId="0" xfId="1" applyFont="1" applyFill="1" applyAlignment="1">
      <alignment horizontal="right"/>
    </xf>
    <xf numFmtId="175" fontId="23" fillId="7" borderId="0" xfId="0" applyFont="1" applyFill="1" applyAlignment="1">
      <alignment horizontal="right"/>
    </xf>
    <xf numFmtId="164" fontId="23" fillId="7" borderId="0" xfId="1" applyNumberFormat="1" applyFont="1" applyFill="1" applyAlignment="1">
      <alignment horizontal="right"/>
    </xf>
    <xf numFmtId="175" fontId="23" fillId="7" borderId="0" xfId="0" applyFont="1" applyFill="1" applyBorder="1" applyAlignment="1">
      <alignment horizontal="right"/>
    </xf>
    <xf numFmtId="178" fontId="23" fillId="7" borderId="0" xfId="0" applyNumberFormat="1" applyFont="1" applyFill="1" applyBorder="1" applyAlignment="1">
      <alignment horizontal="right"/>
    </xf>
    <xf numFmtId="164" fontId="23" fillId="7" borderId="0" xfId="1" applyNumberFormat="1" applyFont="1" applyFill="1" applyBorder="1" applyAlignment="1">
      <alignment horizontal="right"/>
    </xf>
    <xf numFmtId="172" fontId="23" fillId="7" borderId="0" xfId="2" applyNumberFormat="1" applyFont="1" applyFill="1" applyBorder="1" applyAlignment="1">
      <alignment horizontal="left" vertical="top"/>
    </xf>
    <xf numFmtId="181" fontId="23" fillId="7" borderId="0" xfId="1" applyNumberFormat="1" applyFont="1" applyFill="1" applyBorder="1" applyAlignment="1">
      <alignment horizontal="left" vertical="top"/>
    </xf>
    <xf numFmtId="175" fontId="23" fillId="7" borderId="0" xfId="0" applyFont="1" applyFill="1" applyAlignment="1">
      <alignment horizontal="left" vertical="top"/>
    </xf>
    <xf numFmtId="178" fontId="23" fillId="7" borderId="0" xfId="0" applyNumberFormat="1" applyFont="1" applyFill="1" applyBorder="1" applyAlignment="1">
      <alignment horizontal="left" vertical="top"/>
    </xf>
    <xf numFmtId="182" fontId="23" fillId="7" borderId="0" xfId="1" applyNumberFormat="1" applyFont="1" applyFill="1" applyAlignment="1">
      <alignment horizontal="left" vertical="top"/>
    </xf>
    <xf numFmtId="10" fontId="23" fillId="7" borderId="0" xfId="13" applyNumberFormat="1" applyFont="1" applyFill="1" applyAlignment="1">
      <alignment horizontal="right"/>
    </xf>
    <xf numFmtId="175" fontId="23" fillId="7" borderId="0" xfId="0" applyFont="1" applyFill="1" applyBorder="1"/>
    <xf numFmtId="175" fontId="0" fillId="0" borderId="0" xfId="0" applyBorder="1"/>
    <xf numFmtId="175" fontId="0" fillId="0" borderId="0" xfId="0" applyFill="1" applyBorder="1"/>
    <xf numFmtId="175" fontId="5" fillId="0" borderId="0" xfId="0" applyFont="1" applyFill="1" applyAlignment="1">
      <alignment horizontal="centerContinuous"/>
    </xf>
    <xf numFmtId="175" fontId="5" fillId="0" borderId="0" xfId="0" applyFont="1" applyFill="1"/>
    <xf numFmtId="175" fontId="13" fillId="0" borderId="18" xfId="0" applyFont="1" applyFill="1" applyBorder="1" applyAlignment="1">
      <alignment horizontal="centerContinuous"/>
    </xf>
    <xf numFmtId="175" fontId="13" fillId="0" borderId="14" xfId="0" applyFont="1" applyFill="1" applyBorder="1" applyAlignment="1">
      <alignment horizontal="centerContinuous"/>
    </xf>
    <xf numFmtId="175" fontId="13" fillId="0" borderId="0" xfId="0" applyFont="1" applyFill="1" applyAlignment="1">
      <alignment horizontal="centerContinuous"/>
    </xf>
    <xf numFmtId="0" fontId="13" fillId="0" borderId="0" xfId="22" applyFont="1" applyFill="1" applyAlignment="1">
      <alignment horizontal="centerContinuous"/>
    </xf>
    <xf numFmtId="175" fontId="22" fillId="0" borderId="0" xfId="0" applyFont="1" applyFill="1" applyAlignment="1">
      <alignment horizontal="centerContinuous"/>
    </xf>
    <xf numFmtId="175" fontId="0" fillId="0" borderId="0" xfId="9" quotePrefix="1" applyFont="1" applyFill="1"/>
    <xf numFmtId="175" fontId="3" fillId="0" borderId="0" xfId="0" applyFont="1" applyFill="1" applyBorder="1" applyAlignment="1">
      <alignment horizontal="center"/>
    </xf>
    <xf numFmtId="175" fontId="4" fillId="0" borderId="0" xfId="0" applyFont="1" applyFill="1" applyAlignment="1">
      <alignment horizontal="right"/>
    </xf>
    <xf numFmtId="183" fontId="5" fillId="0" borderId="0" xfId="0" applyNumberFormat="1" applyFont="1" applyFill="1"/>
    <xf numFmtId="175" fontId="5" fillId="0" borderId="0" xfId="0" applyFont="1" applyFill="1" applyAlignment="1">
      <alignment horizontal="left"/>
    </xf>
    <xf numFmtId="0" fontId="22" fillId="0" borderId="0" xfId="22" applyFont="1" applyFill="1" applyBorder="1" applyAlignment="1">
      <alignment horizontal="center"/>
    </xf>
    <xf numFmtId="175" fontId="22" fillId="0" borderId="0" xfId="0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left"/>
    </xf>
    <xf numFmtId="0" fontId="28" fillId="0" borderId="13" xfId="22" applyFont="1" applyFill="1" applyBorder="1" applyAlignment="1">
      <alignment horizontal="center"/>
    </xf>
    <xf numFmtId="175" fontId="22" fillId="0" borderId="11" xfId="0" applyFont="1" applyFill="1" applyBorder="1" applyAlignment="1">
      <alignment horizontal="centerContinuous"/>
    </xf>
    <xf numFmtId="175" fontId="4" fillId="0" borderId="0" xfId="0" applyFont="1" applyFill="1"/>
    <xf numFmtId="175" fontId="4" fillId="0" borderId="28" xfId="0" applyFont="1" applyFill="1" applyBorder="1" applyAlignment="1">
      <alignment horizontal="center"/>
    </xf>
    <xf numFmtId="175" fontId="4" fillId="0" borderId="29" xfId="0" applyFont="1" applyFill="1" applyBorder="1" applyAlignment="1">
      <alignment horizontal="center"/>
    </xf>
    <xf numFmtId="0" fontId="22" fillId="0" borderId="15" xfId="22" applyFont="1" applyFill="1" applyBorder="1" applyAlignment="1">
      <alignment horizontal="center"/>
    </xf>
    <xf numFmtId="175" fontId="4" fillId="0" borderId="8" xfId="0" applyFont="1" applyFill="1" applyBorder="1" applyAlignment="1">
      <alignment horizontal="center"/>
    </xf>
    <xf numFmtId="175" fontId="4" fillId="0" borderId="5" xfId="0" applyFont="1" applyFill="1" applyBorder="1" applyAlignment="1">
      <alignment horizontal="center"/>
    </xf>
    <xf numFmtId="175" fontId="4" fillId="0" borderId="17" xfId="0" applyFont="1" applyFill="1" applyBorder="1" applyAlignment="1">
      <alignment horizontal="center"/>
    </xf>
    <xf numFmtId="175" fontId="5" fillId="0" borderId="30" xfId="0" applyFont="1" applyFill="1" applyBorder="1"/>
    <xf numFmtId="175" fontId="4" fillId="0" borderId="31" xfId="0" quotePrefix="1" applyFont="1" applyFill="1" applyBorder="1" applyAlignment="1">
      <alignment horizontal="center"/>
    </xf>
    <xf numFmtId="0" fontId="29" fillId="0" borderId="8" xfId="22" applyFont="1" applyFill="1" applyBorder="1" applyAlignment="1">
      <alignment horizontal="center"/>
    </xf>
    <xf numFmtId="175" fontId="29" fillId="0" borderId="15" xfId="0" applyFont="1" applyFill="1" applyBorder="1" applyAlignment="1">
      <alignment horizontal="center"/>
    </xf>
    <xf numFmtId="175" fontId="29" fillId="0" borderId="11" xfId="0" applyFont="1" applyFill="1" applyBorder="1" applyAlignment="1">
      <alignment horizontal="center"/>
    </xf>
    <xf numFmtId="17" fontId="5" fillId="0" borderId="13" xfId="0" applyNumberFormat="1" applyFont="1" applyFill="1" applyBorder="1" applyAlignment="1">
      <alignment horizontal="center"/>
    </xf>
    <xf numFmtId="176" fontId="5" fillId="0" borderId="0" xfId="2" applyNumberFormat="1" applyFont="1" applyFill="1" applyBorder="1" applyAlignment="1">
      <alignment horizontal="center"/>
    </xf>
    <xf numFmtId="0" fontId="5" fillId="0" borderId="14" xfId="0" applyNumberFormat="1" applyFont="1" applyFill="1" applyBorder="1" applyAlignment="1">
      <alignment horizontal="center"/>
    </xf>
    <xf numFmtId="0" fontId="5" fillId="0" borderId="0" xfId="0" applyNumberFormat="1" applyFont="1" applyFill="1" applyAlignment="1">
      <alignment horizontal="center"/>
    </xf>
    <xf numFmtId="39" fontId="5" fillId="0" borderId="0" xfId="1" applyNumberFormat="1" applyFont="1" applyFill="1" applyAlignment="1">
      <alignment horizontal="center"/>
    </xf>
    <xf numFmtId="17" fontId="3" fillId="0" borderId="12" xfId="0" applyNumberFormat="1" applyFont="1" applyFill="1" applyBorder="1" applyAlignment="1">
      <alignment horizontal="center"/>
    </xf>
    <xf numFmtId="4" fontId="3" fillId="0" borderId="12" xfId="2" applyNumberFormat="1" applyFont="1" applyFill="1" applyBorder="1" applyAlignment="1">
      <alignment horizontal="center"/>
    </xf>
    <xf numFmtId="4" fontId="3" fillId="0" borderId="6" xfId="2" applyNumberFormat="1" applyFont="1" applyFill="1" applyBorder="1" applyAlignment="1">
      <alignment horizontal="center"/>
    </xf>
    <xf numFmtId="43" fontId="5" fillId="0" borderId="0" xfId="1" applyFont="1" applyFill="1" applyAlignment="1">
      <alignment horizontal="center"/>
    </xf>
    <xf numFmtId="17" fontId="5" fillId="0" borderId="12" xfId="0" applyNumberFormat="1" applyFont="1" applyFill="1" applyBorder="1" applyAlignment="1">
      <alignment horizontal="center"/>
    </xf>
    <xf numFmtId="0" fontId="5" fillId="0" borderId="7" xfId="0" applyNumberFormat="1" applyFont="1" applyFill="1" applyBorder="1" applyAlignment="1">
      <alignment horizontal="center"/>
    </xf>
    <xf numFmtId="17" fontId="5" fillId="0" borderId="15" xfId="0" applyNumberFormat="1" applyFont="1" applyFill="1" applyBorder="1" applyAlignment="1">
      <alignment horizontal="center"/>
    </xf>
    <xf numFmtId="176" fontId="5" fillId="0" borderId="9" xfId="2" applyNumberFormat="1" applyFont="1" applyFill="1" applyBorder="1" applyAlignment="1">
      <alignment horizontal="center"/>
    </xf>
    <xf numFmtId="0" fontId="5" fillId="0" borderId="16" xfId="0" applyNumberFormat="1" applyFont="1" applyFill="1" applyBorder="1" applyAlignment="1">
      <alignment horizontal="center"/>
    </xf>
    <xf numFmtId="17" fontId="3" fillId="0" borderId="15" xfId="0" applyNumberFormat="1" applyFont="1" applyFill="1" applyBorder="1" applyAlignment="1">
      <alignment horizontal="center"/>
    </xf>
    <xf numFmtId="4" fontId="3" fillId="0" borderId="15" xfId="2" applyNumberFormat="1" applyFont="1" applyFill="1" applyBorder="1" applyAlignment="1">
      <alignment horizontal="center"/>
    </xf>
    <xf numFmtId="4" fontId="3" fillId="0" borderId="10" xfId="2" applyNumberFormat="1" applyFont="1" applyFill="1" applyBorder="1" applyAlignment="1">
      <alignment horizontal="center"/>
    </xf>
    <xf numFmtId="4" fontId="3" fillId="0" borderId="13" xfId="2" applyNumberFormat="1" applyFont="1" applyFill="1" applyBorder="1" applyAlignment="1">
      <alignment horizontal="center"/>
    </xf>
    <xf numFmtId="4" fontId="3" fillId="0" borderId="4" xfId="2" applyNumberFormat="1" applyFont="1" applyFill="1" applyBorder="1" applyAlignment="1">
      <alignment horizontal="center"/>
    </xf>
    <xf numFmtId="43" fontId="5" fillId="0" borderId="0" xfId="1" applyFont="1" applyFill="1"/>
    <xf numFmtId="39" fontId="5" fillId="0" borderId="11" xfId="1" applyNumberFormat="1" applyFont="1" applyFill="1" applyBorder="1" applyAlignment="1">
      <alignment horizontal="center"/>
    </xf>
    <xf numFmtId="175" fontId="5" fillId="0" borderId="11" xfId="0" applyFont="1" applyFill="1" applyBorder="1" applyAlignment="1">
      <alignment horizontal="centerContinuous"/>
    </xf>
    <xf numFmtId="43" fontId="5" fillId="0" borderId="11" xfId="1" applyNumberFormat="1" applyFont="1" applyFill="1" applyBorder="1" applyAlignment="1">
      <alignment horizontal="center"/>
    </xf>
    <xf numFmtId="175" fontId="5" fillId="0" borderId="0" xfId="0" applyFont="1" applyFill="1" applyAlignment="1">
      <alignment horizontal="center"/>
    </xf>
    <xf numFmtId="0" fontId="3" fillId="0" borderId="0" xfId="22" applyFont="1" applyFill="1" applyAlignment="1">
      <alignment horizontal="center"/>
    </xf>
    <xf numFmtId="175" fontId="5" fillId="9" borderId="0" xfId="0" applyFont="1" applyFill="1"/>
    <xf numFmtId="175" fontId="3" fillId="0" borderId="0" xfId="0" applyFont="1" applyFill="1"/>
    <xf numFmtId="175" fontId="3" fillId="0" borderId="0" xfId="0" applyFont="1" applyFill="1" applyAlignment="1">
      <alignment horizontal="center"/>
    </xf>
    <xf numFmtId="0" fontId="5" fillId="0" borderId="0" xfId="22" applyFont="1" applyFill="1" applyAlignment="1">
      <alignment horizontal="center"/>
    </xf>
    <xf numFmtId="175" fontId="3" fillId="0" borderId="11" xfId="0" applyFont="1" applyFill="1" applyBorder="1" applyAlignment="1">
      <alignment horizontal="center"/>
    </xf>
    <xf numFmtId="4" fontId="3" fillId="0" borderId="0" xfId="2" applyNumberFormat="1" applyFont="1" applyFill="1" applyBorder="1" applyAlignment="1">
      <alignment horizontal="center"/>
    </xf>
    <xf numFmtId="175" fontId="5" fillId="0" borderId="0" xfId="0" applyFont="1" applyFill="1" applyAlignment="1">
      <alignment wrapText="1"/>
    </xf>
    <xf numFmtId="180" fontId="5" fillId="0" borderId="0" xfId="0" applyNumberFormat="1" applyFont="1" applyFill="1"/>
    <xf numFmtId="0" fontId="5" fillId="0" borderId="0" xfId="0" applyNumberFormat="1" applyFont="1" applyFill="1"/>
    <xf numFmtId="1" fontId="5" fillId="0" borderId="0" xfId="0" applyNumberFormat="1" applyFont="1" applyFill="1" applyAlignment="1">
      <alignment vertical="top"/>
    </xf>
    <xf numFmtId="175" fontId="0" fillId="0" borderId="12" xfId="0" applyFont="1" applyFill="1" applyBorder="1" applyAlignment="1">
      <alignment horizontal="centerContinuous" wrapText="1"/>
    </xf>
    <xf numFmtId="167" fontId="0" fillId="0" borderId="18" xfId="0" quotePrefix="1" applyNumberFormat="1" applyFont="1" applyFill="1" applyBorder="1" applyAlignment="1">
      <alignment horizontal="center"/>
    </xf>
    <xf numFmtId="175" fontId="5" fillId="0" borderId="12" xfId="0" applyFont="1" applyFill="1" applyBorder="1" applyAlignment="1">
      <alignment horizontal="center"/>
    </xf>
    <xf numFmtId="175" fontId="5" fillId="0" borderId="6" xfId="0" applyFont="1" applyFill="1" applyBorder="1" applyAlignment="1">
      <alignment horizontal="center"/>
    </xf>
    <xf numFmtId="17" fontId="5" fillId="0" borderId="12" xfId="0" applyNumberFormat="1" applyFont="1" applyFill="1" applyBorder="1" applyAlignment="1">
      <alignment horizontal="centerContinuous"/>
    </xf>
    <xf numFmtId="17" fontId="5" fillId="0" borderId="7" xfId="0" applyNumberFormat="1" applyFont="1" applyFill="1" applyBorder="1" applyAlignment="1">
      <alignment horizontal="center"/>
    </xf>
    <xf numFmtId="175" fontId="5" fillId="0" borderId="15" xfId="0" applyFont="1" applyFill="1" applyBorder="1"/>
    <xf numFmtId="175" fontId="5" fillId="0" borderId="15" xfId="0" applyFont="1" applyFill="1" applyBorder="1" applyAlignment="1">
      <alignment horizontal="centerContinuous"/>
    </xf>
    <xf numFmtId="175" fontId="5" fillId="0" borderId="16" xfId="0" applyFont="1" applyFill="1" applyBorder="1" applyAlignment="1">
      <alignment horizontal="center"/>
    </xf>
    <xf numFmtId="175" fontId="5" fillId="0" borderId="10" xfId="0" applyFont="1" applyFill="1" applyBorder="1" applyAlignment="1">
      <alignment horizontal="center"/>
    </xf>
    <xf numFmtId="175" fontId="5" fillId="0" borderId="0" xfId="0" quotePrefix="1" applyFont="1" applyFill="1" applyBorder="1" applyAlignment="1">
      <alignment horizontal="centerContinuous"/>
    </xf>
    <xf numFmtId="175" fontId="5" fillId="0" borderId="0" xfId="0" quotePrefix="1" applyFont="1" applyFill="1" applyBorder="1" applyAlignment="1">
      <alignment horizontal="center"/>
    </xf>
    <xf numFmtId="175" fontId="5" fillId="0" borderId="13" xfId="0" quotePrefix="1" applyFont="1" applyFill="1" applyBorder="1" applyAlignment="1">
      <alignment horizontal="centerContinuous"/>
    </xf>
    <xf numFmtId="175" fontId="5" fillId="0" borderId="12" xfId="0" quotePrefix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167" fontId="5" fillId="0" borderId="0" xfId="0" applyNumberFormat="1" applyFont="1" applyFill="1" applyBorder="1" applyAlignment="1">
      <alignment horizontal="center"/>
    </xf>
    <xf numFmtId="8" fontId="5" fillId="0" borderId="0" xfId="0" applyNumberFormat="1" applyFont="1" applyFill="1" applyBorder="1" applyAlignment="1">
      <alignment horizontal="center"/>
    </xf>
    <xf numFmtId="167" fontId="5" fillId="0" borderId="12" xfId="0" applyNumberFormat="1" applyFont="1" applyFill="1" applyBorder="1" applyAlignment="1">
      <alignment horizontal="center"/>
    </xf>
    <xf numFmtId="180" fontId="5" fillId="0" borderId="0" xfId="0" applyNumberFormat="1" applyFont="1" applyFill="1" applyBorder="1"/>
    <xf numFmtId="10" fontId="5" fillId="0" borderId="0" xfId="0" applyNumberFormat="1" applyFont="1" applyFill="1" applyAlignment="1">
      <alignment horizontal="center"/>
    </xf>
    <xf numFmtId="175" fontId="5" fillId="0" borderId="0" xfId="0" applyFont="1" applyFill="1" applyAlignment="1">
      <alignment horizontal="right"/>
    </xf>
    <xf numFmtId="39" fontId="5" fillId="0" borderId="0" xfId="0" applyNumberFormat="1" applyFont="1" applyFill="1" applyBorder="1" applyAlignment="1">
      <alignment horizontal="center"/>
    </xf>
    <xf numFmtId="2" fontId="5" fillId="0" borderId="0" xfId="0" applyNumberFormat="1" applyFont="1" applyFill="1" applyAlignment="1">
      <alignment horizontal="center"/>
    </xf>
    <xf numFmtId="0" fontId="5" fillId="0" borderId="0" xfId="8" applyFont="1"/>
    <xf numFmtId="179" fontId="5" fillId="0" borderId="0" xfId="0" applyNumberFormat="1" applyFont="1" applyFill="1"/>
    <xf numFmtId="175" fontId="6" fillId="0" borderId="0" xfId="0" applyFont="1" applyAlignment="1">
      <alignment vertical="top"/>
    </xf>
    <xf numFmtId="175" fontId="10" fillId="0" borderId="0" xfId="0" applyFont="1" applyAlignment="1">
      <alignment vertical="top" wrapText="1"/>
    </xf>
    <xf numFmtId="175" fontId="5" fillId="0" borderId="0" xfId="0" applyFont="1"/>
    <xf numFmtId="1" fontId="5" fillId="0" borderId="0" xfId="0" applyNumberFormat="1" applyFont="1"/>
    <xf numFmtId="1" fontId="30" fillId="0" borderId="0" xfId="0" applyNumberFormat="1" applyFont="1"/>
    <xf numFmtId="164" fontId="10" fillId="0" borderId="11" xfId="23" applyNumberFormat="1" applyFont="1" applyBorder="1" applyAlignment="1">
      <alignment horizontal="center"/>
    </xf>
    <xf numFmtId="164" fontId="10" fillId="0" borderId="10" xfId="23" applyNumberFormat="1" applyFont="1" applyBorder="1" applyAlignment="1">
      <alignment horizontal="center"/>
    </xf>
    <xf numFmtId="175" fontId="5" fillId="0" borderId="32" xfId="0" applyFont="1" applyBorder="1" applyAlignment="1"/>
    <xf numFmtId="175" fontId="4" fillId="0" borderId="33" xfId="0" applyFont="1" applyBorder="1" applyAlignment="1"/>
    <xf numFmtId="164" fontId="10" fillId="0" borderId="21" xfId="23" applyNumberFormat="1" applyFont="1" applyBorder="1" applyAlignment="1">
      <alignment horizontal="center"/>
    </xf>
    <xf numFmtId="175" fontId="5" fillId="0" borderId="15" xfId="0" applyFont="1" applyBorder="1" applyAlignment="1"/>
    <xf numFmtId="170" fontId="10" fillId="0" borderId="10" xfId="23" applyNumberFormat="1" applyFont="1" applyBorder="1" applyAlignment="1">
      <alignment horizontal="center"/>
    </xf>
    <xf numFmtId="170" fontId="10" fillId="0" borderId="11" xfId="23" applyNumberFormat="1" applyFont="1" applyBorder="1" applyAlignment="1">
      <alignment horizontal="center"/>
    </xf>
    <xf numFmtId="170" fontId="10" fillId="0" borderId="21" xfId="23" applyNumberFormat="1" applyFont="1" applyBorder="1" applyAlignment="1">
      <alignment horizontal="center"/>
    </xf>
    <xf numFmtId="164" fontId="10" fillId="0" borderId="6" xfId="23" applyNumberFormat="1" applyFont="1" applyBorder="1" applyAlignment="1">
      <alignment horizontal="center"/>
    </xf>
    <xf numFmtId="175" fontId="5" fillId="5" borderId="34" xfId="0" applyFont="1" applyFill="1" applyBorder="1" applyAlignment="1">
      <alignment horizontal="right"/>
    </xf>
    <xf numFmtId="164" fontId="10" fillId="5" borderId="27" xfId="23" applyNumberFormat="1" applyFont="1" applyFill="1" applyBorder="1" applyAlignment="1">
      <alignment horizontal="center"/>
    </xf>
    <xf numFmtId="164" fontId="10" fillId="5" borderId="26" xfId="23" applyNumberFormat="1" applyFont="1" applyFill="1" applyBorder="1" applyAlignment="1">
      <alignment horizontal="center"/>
    </xf>
    <xf numFmtId="164" fontId="10" fillId="0" borderId="0" xfId="23" applyNumberFormat="1" applyFont="1" applyFill="1" applyBorder="1" applyAlignment="1">
      <alignment horizontal="center"/>
    </xf>
    <xf numFmtId="164" fontId="10" fillId="5" borderId="11" xfId="23" applyNumberFormat="1" applyFont="1" applyFill="1" applyBorder="1" applyAlignment="1">
      <alignment horizontal="center"/>
    </xf>
    <xf numFmtId="164" fontId="10" fillId="8" borderId="10" xfId="23" applyNumberFormat="1" applyFont="1" applyFill="1" applyBorder="1" applyAlignment="1">
      <alignment horizontal="center"/>
    </xf>
    <xf numFmtId="9" fontId="0" fillId="0" borderId="0" xfId="13" applyNumberFormat="1" applyFont="1" applyFill="1"/>
    <xf numFmtId="175" fontId="7" fillId="0" borderId="0" xfId="0" applyFont="1" applyFill="1" applyAlignment="1">
      <alignment horizontal="left"/>
    </xf>
    <xf numFmtId="8" fontId="23" fillId="0" borderId="0" xfId="0" applyNumberFormat="1" applyFont="1" applyFill="1"/>
    <xf numFmtId="180" fontId="23" fillId="0" borderId="0" xfId="0" applyNumberFormat="1" applyFont="1" applyFill="1"/>
    <xf numFmtId="8" fontId="23" fillId="0" borderId="0" xfId="0" applyNumberFormat="1" applyFont="1" applyFill="1" applyAlignment="1">
      <alignment horizontal="center"/>
    </xf>
    <xf numFmtId="175" fontId="6" fillId="5" borderId="37" xfId="0" applyFont="1" applyFill="1" applyBorder="1" applyAlignment="1">
      <alignment horizontal="centerContinuous" wrapText="1"/>
    </xf>
    <xf numFmtId="175" fontId="6" fillId="5" borderId="40" xfId="0" applyFont="1" applyFill="1" applyBorder="1" applyAlignment="1">
      <alignment horizontal="centerContinuous" wrapText="1"/>
    </xf>
    <xf numFmtId="175" fontId="10" fillId="5" borderId="11" xfId="0" applyFont="1" applyFill="1" applyBorder="1" applyAlignment="1"/>
    <xf numFmtId="1" fontId="10" fillId="5" borderId="11" xfId="0" applyNumberFormat="1" applyFont="1" applyFill="1" applyBorder="1" applyAlignment="1">
      <alignment horizontal="center"/>
    </xf>
    <xf numFmtId="0" fontId="10" fillId="5" borderId="11" xfId="0" applyNumberFormat="1" applyFont="1" applyFill="1" applyBorder="1" applyAlignment="1">
      <alignment horizontal="center"/>
    </xf>
    <xf numFmtId="175" fontId="6" fillId="5" borderId="11" xfId="0" applyFont="1" applyFill="1" applyBorder="1" applyAlignment="1">
      <alignment horizontal="centerContinuous"/>
    </xf>
    <xf numFmtId="175" fontId="4" fillId="5" borderId="38" xfId="0" applyFont="1" applyFill="1" applyBorder="1" applyAlignment="1">
      <alignment horizontal="center" vertical="top"/>
    </xf>
    <xf numFmtId="175" fontId="4" fillId="6" borderId="37" xfId="0" applyFont="1" applyFill="1" applyBorder="1" applyAlignment="1"/>
    <xf numFmtId="175" fontId="5" fillId="6" borderId="37" xfId="0" applyFont="1" applyFill="1" applyBorder="1" applyAlignment="1"/>
    <xf numFmtId="175" fontId="5" fillId="6" borderId="39" xfId="0" applyFont="1" applyFill="1" applyBorder="1" applyAlignment="1"/>
    <xf numFmtId="175" fontId="5" fillId="6" borderId="40" xfId="0" applyFont="1" applyFill="1" applyBorder="1" applyAlignment="1"/>
    <xf numFmtId="175" fontId="5" fillId="0" borderId="41" xfId="0" applyFont="1" applyBorder="1" applyAlignment="1"/>
    <xf numFmtId="175" fontId="5" fillId="0" borderId="42" xfId="0" applyFont="1" applyFill="1" applyBorder="1" applyAlignment="1"/>
    <xf numFmtId="175" fontId="5" fillId="0" borderId="37" xfId="0" applyFont="1" applyBorder="1" applyAlignment="1"/>
    <xf numFmtId="175" fontId="5" fillId="0" borderId="38" xfId="0" applyFont="1" applyBorder="1" applyAlignment="1"/>
    <xf numFmtId="164" fontId="10" fillId="0" borderId="36" xfId="23" applyNumberFormat="1" applyFont="1" applyBorder="1" applyAlignment="1">
      <alignment horizontal="center"/>
    </xf>
    <xf numFmtId="175" fontId="5" fillId="0" borderId="42" xfId="0" applyFont="1" applyBorder="1" applyAlignment="1"/>
    <xf numFmtId="175" fontId="5" fillId="5" borderId="12" xfId="0" applyFont="1" applyFill="1" applyBorder="1" applyAlignment="1">
      <alignment horizontal="center" vertical="top"/>
    </xf>
    <xf numFmtId="175" fontId="5" fillId="0" borderId="11" xfId="0" applyFont="1" applyBorder="1" applyAlignment="1"/>
    <xf numFmtId="175" fontId="5" fillId="0" borderId="43" xfId="0" applyFont="1" applyBorder="1" applyAlignment="1"/>
    <xf numFmtId="164" fontId="10" fillId="0" borderId="44" xfId="23" applyNumberFormat="1" applyFont="1" applyFill="1" applyBorder="1" applyAlignment="1">
      <alignment horizontal="center"/>
    </xf>
    <xf numFmtId="175" fontId="5" fillId="5" borderId="37" xfId="0" applyFont="1" applyFill="1" applyBorder="1" applyAlignment="1">
      <alignment horizontal="right"/>
    </xf>
    <xf numFmtId="0" fontId="23" fillId="0" borderId="0" xfId="0" applyNumberFormat="1" applyFont="1" applyFill="1" applyBorder="1" applyAlignment="1">
      <alignment horizontal="center"/>
    </xf>
    <xf numFmtId="44" fontId="0" fillId="0" borderId="0" xfId="2" applyFont="1" applyFill="1"/>
    <xf numFmtId="8" fontId="0" fillId="0" borderId="38" xfId="0" applyNumberFormat="1" applyFont="1" applyFill="1" applyBorder="1" applyAlignment="1">
      <alignment horizontal="center"/>
    </xf>
    <xf numFmtId="8" fontId="0" fillId="0" borderId="44" xfId="0" applyNumberFormat="1" applyFont="1" applyFill="1" applyBorder="1" applyAlignment="1">
      <alignment horizontal="center"/>
    </xf>
    <xf numFmtId="8" fontId="0" fillId="0" borderId="43" xfId="0" applyNumberFormat="1" applyFont="1" applyFill="1" applyBorder="1" applyAlignment="1">
      <alignment horizontal="center"/>
    </xf>
    <xf numFmtId="175" fontId="4" fillId="0" borderId="0" xfId="0" applyFont="1" applyFill="1" applyBorder="1" applyAlignment="1">
      <alignment horizontal="centerContinuous" wrapText="1"/>
    </xf>
    <xf numFmtId="175" fontId="5" fillId="0" borderId="38" xfId="0" applyFont="1" applyFill="1" applyBorder="1"/>
    <xf numFmtId="175" fontId="5" fillId="0" borderId="38" xfId="0" applyFont="1" applyFill="1" applyBorder="1" applyAlignment="1">
      <alignment horizontal="centerContinuous"/>
    </xf>
    <xf numFmtId="175" fontId="5" fillId="0" borderId="43" xfId="0" applyFont="1" applyFill="1" applyBorder="1" applyAlignment="1">
      <alignment horizontal="center"/>
    </xf>
    <xf numFmtId="175" fontId="5" fillId="0" borderId="36" xfId="0" applyFont="1" applyFill="1" applyBorder="1" applyAlignment="1">
      <alignment horizontal="center"/>
    </xf>
    <xf numFmtId="175" fontId="4" fillId="10" borderId="45" xfId="0" applyFont="1" applyFill="1" applyBorder="1" applyAlignment="1">
      <alignment horizontal="centerContinuous"/>
    </xf>
    <xf numFmtId="175" fontId="5" fillId="10" borderId="46" xfId="0" applyFont="1" applyFill="1" applyBorder="1" applyAlignment="1">
      <alignment horizontal="centerContinuous"/>
    </xf>
    <xf numFmtId="175" fontId="5" fillId="10" borderId="47" xfId="0" applyFont="1" applyFill="1" applyBorder="1" applyAlignment="1">
      <alignment horizontal="centerContinuous"/>
    </xf>
    <xf numFmtId="175" fontId="0" fillId="0" borderId="0" xfId="0" applyAlignment="1">
      <alignment horizontal="right"/>
    </xf>
    <xf numFmtId="175" fontId="0" fillId="0" borderId="0" xfId="0" applyAlignment="1">
      <alignment horizontal="right" indent="1"/>
    </xf>
    <xf numFmtId="175" fontId="0" fillId="0" borderId="0" xfId="9" applyFont="1" applyFill="1" applyAlignment="1">
      <alignment horizontal="left" wrapText="1"/>
    </xf>
    <xf numFmtId="175" fontId="31" fillId="0" borderId="0" xfId="9" applyFont="1" applyFill="1"/>
    <xf numFmtId="175" fontId="32" fillId="0" borderId="0" xfId="9" applyFont="1" applyFill="1" applyAlignment="1">
      <alignment horizontal="centerContinuous"/>
    </xf>
    <xf numFmtId="175" fontId="31" fillId="0" borderId="0" xfId="9" applyFont="1" applyFill="1" applyAlignment="1">
      <alignment horizontal="centerContinuous"/>
    </xf>
    <xf numFmtId="175" fontId="31" fillId="0" borderId="0" xfId="9" applyFont="1" applyFill="1" applyAlignment="1">
      <alignment horizontal="right"/>
    </xf>
    <xf numFmtId="175" fontId="31" fillId="0" borderId="0" xfId="9" applyFont="1" applyFill="1" applyBorder="1" applyAlignment="1">
      <alignment horizontal="centerContinuous"/>
    </xf>
    <xf numFmtId="175" fontId="31" fillId="0" borderId="0" xfId="9" applyFont="1" applyFill="1" applyBorder="1"/>
    <xf numFmtId="175" fontId="31" fillId="0" borderId="7" xfId="9" applyFont="1" applyFill="1" applyBorder="1"/>
    <xf numFmtId="175" fontId="33" fillId="0" borderId="4" xfId="9" applyFont="1" applyFill="1" applyBorder="1" applyAlignment="1">
      <alignment horizontal="center"/>
    </xf>
    <xf numFmtId="175" fontId="33" fillId="0" borderId="4" xfId="9" applyFont="1" applyFill="1" applyBorder="1" applyAlignment="1">
      <alignment horizontal="center" wrapText="1"/>
    </xf>
    <xf numFmtId="175" fontId="34" fillId="0" borderId="10" xfId="9" applyFont="1" applyFill="1" applyBorder="1" applyAlignment="1">
      <alignment horizontal="centerContinuous"/>
    </xf>
    <xf numFmtId="175" fontId="35" fillId="0" borderId="0" xfId="9" quotePrefix="1" applyFont="1" applyFill="1" applyBorder="1" applyAlignment="1">
      <alignment horizontal="center"/>
    </xf>
    <xf numFmtId="175" fontId="36" fillId="0" borderId="0" xfId="9" applyFont="1" applyFill="1" applyBorder="1"/>
    <xf numFmtId="0" fontId="31" fillId="0" borderId="0" xfId="9" applyNumberFormat="1" applyFont="1" applyFill="1"/>
    <xf numFmtId="6" fontId="31" fillId="0" borderId="0" xfId="9" applyNumberFormat="1" applyFont="1" applyFill="1" applyAlignment="1">
      <alignment horizontal="right"/>
    </xf>
    <xf numFmtId="8" fontId="31" fillId="0" borderId="0" xfId="9" applyNumberFormat="1" applyFont="1" applyFill="1" applyAlignment="1">
      <alignment horizontal="right"/>
    </xf>
    <xf numFmtId="8" fontId="31" fillId="0" borderId="0" xfId="9" applyNumberFormat="1" applyFont="1" applyFill="1" applyBorder="1" applyAlignment="1">
      <alignment horizontal="right"/>
    </xf>
    <xf numFmtId="166" fontId="31" fillId="0" borderId="0" xfId="9" applyNumberFormat="1" applyFont="1" applyFill="1" applyAlignment="1">
      <alignment horizontal="center"/>
    </xf>
    <xf numFmtId="168" fontId="31" fillId="0" borderId="0" xfId="9" applyNumberFormat="1" applyFont="1" applyFill="1" applyBorder="1"/>
    <xf numFmtId="43" fontId="31" fillId="0" borderId="0" xfId="9" applyNumberFormat="1" applyFont="1" applyFill="1"/>
    <xf numFmtId="8" fontId="31" fillId="0" borderId="0" xfId="9" applyNumberFormat="1" applyFont="1" applyFill="1" applyBorder="1"/>
    <xf numFmtId="0" fontId="31" fillId="0" borderId="9" xfId="9" applyNumberFormat="1" applyFont="1" applyFill="1" applyBorder="1"/>
    <xf numFmtId="166" fontId="31" fillId="0" borderId="9" xfId="9" applyNumberFormat="1" applyFont="1" applyFill="1" applyBorder="1" applyAlignment="1">
      <alignment horizontal="center"/>
    </xf>
    <xf numFmtId="8" fontId="31" fillId="0" borderId="9" xfId="9" applyNumberFormat="1" applyFont="1" applyFill="1" applyBorder="1"/>
    <xf numFmtId="8" fontId="31" fillId="0" borderId="9" xfId="9" applyNumberFormat="1" applyFont="1" applyFill="1" applyBorder="1" applyAlignment="1">
      <alignment horizontal="right"/>
    </xf>
    <xf numFmtId="0" fontId="31" fillId="0" borderId="0" xfId="9" applyNumberFormat="1" applyFont="1" applyFill="1" applyBorder="1"/>
    <xf numFmtId="166" fontId="31" fillId="0" borderId="0" xfId="9" applyNumberFormat="1" applyFont="1" applyFill="1" applyBorder="1" applyAlignment="1">
      <alignment horizontal="center"/>
    </xf>
    <xf numFmtId="8" fontId="31" fillId="0" borderId="0" xfId="9" applyNumberFormat="1" applyFont="1" applyFill="1" applyBorder="1" applyAlignment="1">
      <alignment horizontal="center"/>
    </xf>
    <xf numFmtId="43" fontId="31" fillId="0" borderId="0" xfId="9" applyNumberFormat="1" applyFont="1" applyFill="1" applyBorder="1"/>
    <xf numFmtId="41" fontId="31" fillId="0" borderId="0" xfId="7" applyFont="1" applyFill="1"/>
    <xf numFmtId="41" fontId="31" fillId="0" borderId="0" xfId="7" applyFont="1" applyFill="1" applyAlignment="1">
      <alignment horizontal="center"/>
    </xf>
    <xf numFmtId="8" fontId="31" fillId="0" borderId="0" xfId="7" applyNumberFormat="1" applyFont="1" applyFill="1" applyBorder="1"/>
    <xf numFmtId="175" fontId="33" fillId="0" borderId="19" xfId="9" applyFont="1" applyFill="1" applyBorder="1" applyAlignment="1">
      <alignment horizontal="centerContinuous"/>
    </xf>
    <xf numFmtId="175" fontId="33" fillId="0" borderId="20" xfId="9" applyFont="1" applyFill="1" applyBorder="1" applyAlignment="1">
      <alignment horizontal="centerContinuous"/>
    </xf>
    <xf numFmtId="175" fontId="33" fillId="0" borderId="21" xfId="9" applyFont="1" applyFill="1" applyBorder="1" applyAlignment="1">
      <alignment horizontal="centerContinuous"/>
    </xf>
    <xf numFmtId="41" fontId="33" fillId="0" borderId="20" xfId="7" applyFont="1" applyFill="1" applyBorder="1" applyAlignment="1">
      <alignment horizontal="centerContinuous"/>
    </xf>
    <xf numFmtId="41" fontId="33" fillId="0" borderId="22" xfId="7" applyFont="1" applyFill="1" applyBorder="1" applyAlignment="1">
      <alignment horizontal="centerContinuous"/>
    </xf>
    <xf numFmtId="6" fontId="31" fillId="0" borderId="0" xfId="2" applyNumberFormat="1" applyFont="1" applyFill="1"/>
    <xf numFmtId="41" fontId="31" fillId="0" borderId="0" xfId="7" applyFont="1" applyFill="1" applyAlignment="1">
      <alignment horizontal="left"/>
    </xf>
    <xf numFmtId="41" fontId="37" fillId="0" borderId="0" xfId="7" applyFont="1" applyFill="1"/>
    <xf numFmtId="164" fontId="37" fillId="0" borderId="0" xfId="7" applyNumberFormat="1" applyFont="1" applyFill="1"/>
    <xf numFmtId="8" fontId="31" fillId="0" borderId="0" xfId="2" applyNumberFormat="1" applyFont="1" applyFill="1"/>
    <xf numFmtId="175" fontId="31" fillId="0" borderId="0" xfId="0" applyFont="1" applyFill="1"/>
    <xf numFmtId="8" fontId="37" fillId="0" borderId="0" xfId="2" applyNumberFormat="1" applyFont="1" applyFill="1"/>
    <xf numFmtId="177" fontId="31" fillId="0" borderId="0" xfId="7" applyNumberFormat="1" applyFont="1" applyFill="1" applyBorder="1"/>
    <xf numFmtId="9" fontId="31" fillId="0" borderId="0" xfId="9" applyNumberFormat="1" applyFont="1" applyFill="1"/>
    <xf numFmtId="170" fontId="31" fillId="0" borderId="0" xfId="7" applyNumberFormat="1" applyFont="1" applyFill="1"/>
    <xf numFmtId="43" fontId="31" fillId="0" borderId="0" xfId="7" applyNumberFormat="1" applyFont="1" applyFill="1"/>
    <xf numFmtId="164" fontId="31" fillId="0" borderId="0" xfId="7" applyNumberFormat="1" applyFont="1" applyFill="1"/>
    <xf numFmtId="175" fontId="33" fillId="0" borderId="4" xfId="0" applyFont="1" applyFill="1" applyBorder="1" applyAlignment="1">
      <alignment horizontal="centerContinuous" wrapText="1"/>
    </xf>
    <xf numFmtId="175" fontId="33" fillId="0" borderId="4" xfId="0" applyFont="1" applyFill="1" applyBorder="1" applyAlignment="1">
      <alignment horizontal="center" wrapText="1"/>
    </xf>
    <xf numFmtId="175" fontId="35" fillId="0" borderId="0" xfId="0" quotePrefix="1" applyFont="1" applyFill="1" applyBorder="1" applyAlignment="1">
      <alignment horizontal="center"/>
    </xf>
    <xf numFmtId="8" fontId="31" fillId="0" borderId="9" xfId="0" applyNumberFormat="1" applyFont="1" applyFill="1" applyBorder="1"/>
    <xf numFmtId="8" fontId="31" fillId="0" borderId="0" xfId="0" applyNumberFormat="1" applyFont="1" applyFill="1" applyBorder="1"/>
    <xf numFmtId="173" fontId="31" fillId="0" borderId="0" xfId="9" applyNumberFormat="1" applyFont="1" applyFill="1"/>
    <xf numFmtId="175" fontId="38" fillId="0" borderId="0" xfId="9" applyFont="1" applyFill="1" applyAlignment="1">
      <alignment horizontal="centerContinuous"/>
    </xf>
    <xf numFmtId="175" fontId="33" fillId="0" borderId="0" xfId="9" applyFont="1" applyFill="1" applyAlignment="1">
      <alignment horizontal="centerContinuous"/>
    </xf>
    <xf numFmtId="175" fontId="31" fillId="0" borderId="0" xfId="9" applyFont="1" applyFill="1" applyAlignment="1">
      <alignment horizontal="center"/>
    </xf>
    <xf numFmtId="41" fontId="31" fillId="0" borderId="0" xfId="9" applyNumberFormat="1" applyFont="1" applyFill="1" applyBorder="1"/>
    <xf numFmtId="174" fontId="31" fillId="0" borderId="0" xfId="9" applyNumberFormat="1" applyFont="1" applyFill="1" applyBorder="1"/>
    <xf numFmtId="175" fontId="33" fillId="0" borderId="20" xfId="0" applyFont="1" applyFill="1" applyBorder="1" applyAlignment="1">
      <alignment horizontal="centerContinuous"/>
    </xf>
    <xf numFmtId="175" fontId="33" fillId="0" borderId="23" xfId="0" applyFont="1" applyFill="1" applyBorder="1" applyAlignment="1">
      <alignment horizontal="centerContinuous"/>
    </xf>
    <xf numFmtId="175" fontId="31" fillId="0" borderId="22" xfId="0" applyFont="1" applyFill="1" applyBorder="1" applyAlignment="1">
      <alignment horizontal="centerContinuous"/>
    </xf>
    <xf numFmtId="175" fontId="33" fillId="0" borderId="11" xfId="9" applyFont="1" applyFill="1" applyBorder="1" applyAlignment="1">
      <alignment horizontal="centerContinuous"/>
    </xf>
    <xf numFmtId="175" fontId="33" fillId="0" borderId="5" xfId="9" applyFont="1" applyFill="1" applyBorder="1" applyAlignment="1">
      <alignment horizontal="centerContinuous"/>
    </xf>
    <xf numFmtId="175" fontId="33" fillId="0" borderId="11" xfId="9" applyFont="1" applyFill="1" applyBorder="1" applyAlignment="1">
      <alignment horizontal="center"/>
    </xf>
    <xf numFmtId="41" fontId="31" fillId="0" borderId="0" xfId="9" applyNumberFormat="1" applyFont="1" applyFill="1"/>
    <xf numFmtId="169" fontId="31" fillId="0" borderId="0" xfId="13" applyNumberFormat="1" applyFont="1" applyFill="1"/>
    <xf numFmtId="41" fontId="37" fillId="0" borderId="0" xfId="9" applyNumberFormat="1" applyFont="1" applyFill="1"/>
    <xf numFmtId="169" fontId="37" fillId="0" borderId="0" xfId="13" applyNumberFormat="1" applyFont="1" applyFill="1"/>
    <xf numFmtId="6" fontId="37" fillId="0" borderId="0" xfId="2" applyNumberFormat="1" applyFont="1" applyFill="1"/>
    <xf numFmtId="175" fontId="31" fillId="0" borderId="0" xfId="9" applyFont="1" applyFill="1" applyAlignment="1">
      <alignment horizontal="left"/>
    </xf>
    <xf numFmtId="41" fontId="31" fillId="0" borderId="0" xfId="9" applyNumberFormat="1" applyFont="1" applyFill="1" applyAlignment="1">
      <alignment horizontal="center"/>
    </xf>
    <xf numFmtId="175" fontId="37" fillId="0" borderId="0" xfId="9" applyFont="1" applyFill="1"/>
    <xf numFmtId="41" fontId="37" fillId="0" borderId="0" xfId="9" applyNumberFormat="1" applyFont="1" applyFill="1" applyAlignment="1">
      <alignment horizontal="center"/>
    </xf>
    <xf numFmtId="169" fontId="31" fillId="0" borderId="0" xfId="9" applyNumberFormat="1" applyFont="1" applyFill="1"/>
    <xf numFmtId="164" fontId="35" fillId="0" borderId="0" xfId="9" applyNumberFormat="1" applyFont="1" applyFill="1" applyAlignment="1">
      <alignment horizontal="right"/>
    </xf>
    <xf numFmtId="175" fontId="33" fillId="0" borderId="0" xfId="9" applyFont="1" applyFill="1"/>
    <xf numFmtId="175" fontId="33" fillId="0" borderId="11" xfId="0" applyFont="1" applyFill="1" applyBorder="1" applyAlignment="1">
      <alignment horizontal="center"/>
    </xf>
    <xf numFmtId="175" fontId="33" fillId="0" borderId="8" xfId="9" applyFont="1" applyFill="1" applyBorder="1" applyAlignment="1">
      <alignment horizontal="centerContinuous"/>
    </xf>
    <xf numFmtId="175" fontId="31" fillId="0" borderId="5" xfId="0" applyFont="1" applyFill="1" applyBorder="1" applyAlignment="1">
      <alignment horizontal="centerContinuous"/>
    </xf>
    <xf numFmtId="175" fontId="31" fillId="0" borderId="17" xfId="0" applyFont="1" applyFill="1" applyBorder="1" applyAlignment="1">
      <alignment horizontal="centerContinuous"/>
    </xf>
    <xf numFmtId="172" fontId="31" fillId="0" borderId="0" xfId="2" applyNumberFormat="1" applyFont="1" applyFill="1"/>
    <xf numFmtId="164" fontId="31" fillId="0" borderId="0" xfId="1" applyNumberFormat="1" applyFont="1" applyFill="1"/>
    <xf numFmtId="177" fontId="31" fillId="0" borderId="0" xfId="0" applyNumberFormat="1" applyFont="1" applyFill="1" applyBorder="1"/>
    <xf numFmtId="9" fontId="31" fillId="0" borderId="0" xfId="0" applyNumberFormat="1" applyFont="1" applyFill="1"/>
    <xf numFmtId="169" fontId="31" fillId="0" borderId="0" xfId="0" applyNumberFormat="1" applyFont="1" applyFill="1"/>
    <xf numFmtId="43" fontId="31" fillId="0" borderId="0" xfId="1" applyFont="1" applyFill="1"/>
    <xf numFmtId="1" fontId="31" fillId="0" borderId="0" xfId="9" applyNumberFormat="1" applyFont="1" applyFill="1"/>
    <xf numFmtId="10" fontId="31" fillId="0" borderId="0" xfId="9" applyNumberFormat="1" applyFont="1" applyFill="1"/>
    <xf numFmtId="1" fontId="31" fillId="0" borderId="0" xfId="10" applyNumberFormat="1" applyFont="1" applyFill="1" applyAlignment="1" applyProtection="1">
      <alignment horizontal="center"/>
      <protection locked="0"/>
    </xf>
    <xf numFmtId="1" fontId="33" fillId="0" borderId="0" xfId="9" applyNumberFormat="1" applyFont="1" applyFill="1"/>
    <xf numFmtId="9" fontId="31" fillId="0" borderId="0" xfId="13" applyFont="1" applyFill="1"/>
    <xf numFmtId="164" fontId="31" fillId="0" borderId="0" xfId="0" applyNumberFormat="1" applyFont="1" applyFill="1"/>
    <xf numFmtId="175" fontId="33" fillId="0" borderId="19" xfId="0" applyFont="1" applyFill="1" applyBorder="1" applyAlignment="1">
      <alignment horizontal="centerContinuous" wrapText="1"/>
    </xf>
    <xf numFmtId="175" fontId="31" fillId="0" borderId="20" xfId="0" applyFont="1" applyFill="1" applyBorder="1" applyAlignment="1">
      <alignment horizontal="centerContinuous" wrapText="1"/>
    </xf>
    <xf numFmtId="175" fontId="31" fillId="0" borderId="22" xfId="0" applyFont="1" applyFill="1" applyBorder="1" applyAlignment="1">
      <alignment horizontal="centerContinuous" wrapText="1"/>
    </xf>
    <xf numFmtId="175" fontId="31" fillId="0" borderId="0" xfId="0" applyFont="1" applyFill="1" applyBorder="1"/>
    <xf numFmtId="175" fontId="35" fillId="0" borderId="10" xfId="9" quotePrefix="1" applyFont="1" applyFill="1" applyBorder="1" applyAlignment="1">
      <alignment horizontal="center" wrapText="1"/>
    </xf>
    <xf numFmtId="175" fontId="35" fillId="0" borderId="10" xfId="9" applyFont="1" applyFill="1" applyBorder="1" applyAlignment="1">
      <alignment horizontal="center" wrapText="1"/>
    </xf>
    <xf numFmtId="175" fontId="35" fillId="0" borderId="10" xfId="0" applyFont="1" applyFill="1" applyBorder="1" applyAlignment="1">
      <alignment horizontal="center" wrapText="1"/>
    </xf>
    <xf numFmtId="175" fontId="35" fillId="0" borderId="10" xfId="0" quotePrefix="1" applyFont="1" applyFill="1" applyBorder="1" applyAlignment="1">
      <alignment horizontal="center" wrapText="1"/>
    </xf>
    <xf numFmtId="175" fontId="5" fillId="0" borderId="35" xfId="0" applyFont="1" applyFill="1" applyBorder="1"/>
    <xf numFmtId="175" fontId="4" fillId="0" borderId="19" xfId="0" applyFont="1" applyFill="1" applyBorder="1" applyAlignment="1">
      <alignment horizontal="centerContinuous"/>
    </xf>
    <xf numFmtId="175" fontId="4" fillId="0" borderId="22" xfId="0" applyFont="1" applyFill="1" applyBorder="1" applyAlignment="1">
      <alignment horizontal="centerContinuous"/>
    </xf>
    <xf numFmtId="175" fontId="6" fillId="0" borderId="0" xfId="9" applyFont="1" applyFill="1" applyAlignment="1">
      <alignment horizontal="center"/>
    </xf>
    <xf numFmtId="175" fontId="0" fillId="0" borderId="0" xfId="9" applyFont="1" applyFill="1" applyAlignment="1">
      <alignment horizontal="center"/>
    </xf>
    <xf numFmtId="169" fontId="39" fillId="0" borderId="0" xfId="13" applyNumberFormat="1" applyFont="1" applyFill="1"/>
    <xf numFmtId="175" fontId="0" fillId="0" borderId="0" xfId="9" applyFont="1" applyFill="1" applyAlignment="1">
      <alignment horizontal="centerContinuous" wrapText="1"/>
    </xf>
    <xf numFmtId="175" fontId="0" fillId="0" borderId="8" xfId="0" applyFont="1" applyFill="1" applyBorder="1" applyAlignment="1">
      <alignment horizontal="center"/>
    </xf>
    <xf numFmtId="175" fontId="0" fillId="0" borderId="5" xfId="0" applyFont="1" applyFill="1" applyBorder="1" applyAlignment="1">
      <alignment horizontal="center"/>
    </xf>
    <xf numFmtId="175" fontId="0" fillId="0" borderId="17" xfId="0" applyFont="1" applyFill="1" applyBorder="1" applyAlignment="1">
      <alignment horizontal="center"/>
    </xf>
    <xf numFmtId="175" fontId="0" fillId="0" borderId="0" xfId="9" applyFont="1" applyFill="1" applyAlignment="1">
      <alignment horizontal="left" wrapText="1"/>
    </xf>
  </cellXfs>
  <cellStyles count="26">
    <cellStyle name="_x0013_" xfId="21"/>
    <cellStyle name="Comma" xfId="1" builtinId="3"/>
    <cellStyle name="Comma 2 2" xfId="23"/>
    <cellStyle name="Currency" xfId="2" builtinId="4"/>
    <cellStyle name="Currency 2" xfId="25"/>
    <cellStyle name="Currency No Comma" xfId="3"/>
    <cellStyle name="Input" xfId="4" builtinId="20" customBuiltin="1"/>
    <cellStyle name="MCP" xfId="5"/>
    <cellStyle name="noninput" xfId="6"/>
    <cellStyle name="Normal" xfId="0" builtinId="0" customBuiltin="1"/>
    <cellStyle name="Normal 176" xfId="20"/>
    <cellStyle name="Normal 176 2" xfId="24"/>
    <cellStyle name="Normal 2" xfId="17"/>
    <cellStyle name="Normal_CG27 Official Base Case 03-31-05" xfId="22"/>
    <cellStyle name="Normal_DRR AC Study - Utah Valley - 53 MW 90 CF (2.28.2005)" xfId="7"/>
    <cellStyle name="Normal_INF_06_03_07" xfId="19"/>
    <cellStyle name="Normal_Or AC 2003 - AC Study - Fuel Indexed Avoided Costs" xfId="8"/>
    <cellStyle name="Normal_OR AC Sch 37 - AC  Study (Gold) _2009 06 19" xfId="9"/>
    <cellStyle name="Normal_T-INF-10-15-04-TEMPLATE" xfId="10"/>
    <cellStyle name="Normal_UT AC Sch 37 - L&amp;R  Study (Gold) _2009 06 19" xfId="11"/>
    <cellStyle name="Normal_WY AC 2009 - AC Study (Wind Study)_2009 08 11" xfId="18"/>
    <cellStyle name="Password" xfId="12"/>
    <cellStyle name="Percent" xfId="13" builtinId="5"/>
    <cellStyle name="Unprot" xfId="14"/>
    <cellStyle name="Unprot$" xfId="15"/>
    <cellStyle name="Unprotect" xfId="16"/>
  </cellStyles>
  <dxfs count="2">
    <dxf>
      <font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theme="6" tint="0.3999450666829432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26" Type="http://schemas.openxmlformats.org/officeDocument/2006/relationships/externalLink" Target="externalLinks/externalLink9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3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7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6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5.xml"/><Relationship Id="rId27" Type="http://schemas.openxmlformats.org/officeDocument/2006/relationships/externalLink" Target="externalLinks/externalLink10.xml"/><Relationship Id="rId30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paschal\Downloads\UT%20Sch%2037%202015%2004%2017\UT%20Sch%2037%202015%20-%202a%20-%20L&amp;R%20%20Study%20_2015%2004%2017_CCadj_RofR_aMW.xlsm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voided%20Cost%20-%202015\61%20to%2093%20-%20Studies\61%20-%20UT%20Compliance%20Filing%20-%202015.Q2%20-%202015%20July\Sent%20Out%20_2015%2008%2010%20(Filing%20Date)\Appendix%20E%20-%20UT%202015.Q2%20-%20Integration%20(Non-Routine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tah\Ut%20AC%202013%20May%20-%20Sch%2037%20Update\Scenario\Preliminary%20and%20Draft%20Versions\UT%20Sch%2037%202013%20-%202a%20-%20L&amp;R%20%20Study%20_2013%2005%2021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paschal\Downloads\UT%20Sch%2037%202014%20-%20AC%20Study%20_2014%2005%2002%20OFPC%201403_LowCO2_Updated%20for%20Reconsideration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paschal\Downloads\UT%20Sch%2037%202014%20-%202a%20-%20L&amp;R%20%20Study%20_2014%2005%2004%201403%20OFPC%20Low%20CO2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paschal\Downloads\UT%20Sch%2037%20-%20Appendix%20-%203a%20-%20GRID%20AC%20Study%20CONF%20_2016%2004%2025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x%20Commission%20Approved\Ut%20Commission%20Ordered%20AC%20Study%20(Approved%202015%2009%2018)_Levelized%2015yrx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tah\Ut%20AC%202016%20Apr%20-%20Sch%2037%20Update\Data\2015%20IRP_SSR%20Database_12Jan2015_20150212%200CO2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__Generic\Attributes%20&amp;%20Data%20Series\Plants\IRP%202015%20Update%20_2016%2003%2031\2015%20IRP%20Update%20I15U_Case_Opt_F%20Data%20for%20NPC%2020160303%20v1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tah\Ut%20AC%202016%20Apr%20-%20Sch%2037%20Update\Data\GNw_Market%20Price%20Index%20(1603)%20CON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Data"/>
      <sheetName val="NPC Version Log"/>
      <sheetName val="Summary"/>
      <sheetName val="Profile"/>
      <sheetName val="Delta"/>
      <sheetName val="L&amp;R"/>
      <sheetName val="Base"/>
      <sheetName val="Check LTC"/>
      <sheetName val="Summary_Resources"/>
      <sheetName val="Thermal Derates"/>
      <sheetName val="GRID Hydro Gen Peak"/>
      <sheetName val="GRID Load Peak"/>
      <sheetName val="GRID LTC Availability Min"/>
      <sheetName val="GRID LTC Availability Peak"/>
      <sheetName val="GRID LTC Dispatch Peak"/>
      <sheetName val="GRID Nameplate"/>
      <sheetName val="GRID Plant Outage Peak"/>
      <sheetName val="GRID ResReq Margin Peak"/>
      <sheetName val="GRID ResReq NoSpin Peak"/>
      <sheetName val="GRID ResReq Spin Peak"/>
      <sheetName val="GRID STF Purchases Peak"/>
      <sheetName val="GRID STF Sales Peak"/>
      <sheetName val="GRID Thermal Avail Peak"/>
      <sheetName val="GRID Hydro Generation (MWH)"/>
      <sheetName val="GRID Load (MWH)"/>
      <sheetName val="GRID LTC Availability (MWH)"/>
      <sheetName val="GRID LTC Dispatch (MWH)"/>
      <sheetName val="GRID Plant Outage (MWH)"/>
      <sheetName val="GRID Ready Res (MWH)"/>
      <sheetName val="GRID ResReq Margin (MWH)"/>
      <sheetName val="GRID Spinning Res (MWH)"/>
      <sheetName val="GRID STF Purchases (MWH)"/>
      <sheetName val="GRID STF Sales (MWH)"/>
      <sheetName val="GRID Thermal Availability (MWH)"/>
      <sheetName val="MacroBuilder"/>
      <sheetName val="on off peak hours"/>
    </sheetNames>
    <sheetDataSet>
      <sheetData sheetId="0"/>
      <sheetData sheetId="1"/>
      <sheetData sheetId="2"/>
      <sheetData sheetId="3">
        <row r="22">
          <cell r="B22" t="str">
            <v>Year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>
        <row r="15">
          <cell r="C15">
            <v>41640</v>
          </cell>
          <cell r="D15">
            <v>41671</v>
          </cell>
          <cell r="E15">
            <v>41699</v>
          </cell>
          <cell r="F15">
            <v>41730</v>
          </cell>
          <cell r="G15">
            <v>41760</v>
          </cell>
          <cell r="H15">
            <v>41791</v>
          </cell>
          <cell r="I15">
            <v>41821</v>
          </cell>
          <cell r="J15">
            <v>41852</v>
          </cell>
          <cell r="K15">
            <v>41883</v>
          </cell>
          <cell r="L15">
            <v>41913</v>
          </cell>
          <cell r="M15">
            <v>41944</v>
          </cell>
          <cell r="N15">
            <v>41974</v>
          </cell>
          <cell r="O15">
            <v>42005</v>
          </cell>
          <cell r="P15">
            <v>42036</v>
          </cell>
          <cell r="Q15">
            <v>42064</v>
          </cell>
          <cell r="R15">
            <v>42095</v>
          </cell>
          <cell r="S15">
            <v>42125</v>
          </cell>
          <cell r="T15">
            <v>42156</v>
          </cell>
          <cell r="U15">
            <v>42186</v>
          </cell>
          <cell r="V15">
            <v>42217</v>
          </cell>
          <cell r="W15">
            <v>42248</v>
          </cell>
          <cell r="X15">
            <v>42278</v>
          </cell>
          <cell r="Y15">
            <v>42309</v>
          </cell>
          <cell r="Z15">
            <v>42339</v>
          </cell>
          <cell r="AA15">
            <v>42370</v>
          </cell>
          <cell r="AB15">
            <v>42401</v>
          </cell>
          <cell r="AC15">
            <v>42430</v>
          </cell>
          <cell r="AD15">
            <v>42461</v>
          </cell>
          <cell r="AE15">
            <v>42491</v>
          </cell>
          <cell r="AF15">
            <v>42522</v>
          </cell>
          <cell r="AG15">
            <v>42552</v>
          </cell>
          <cell r="AH15">
            <v>42583</v>
          </cell>
          <cell r="AI15">
            <v>42614</v>
          </cell>
          <cell r="AJ15">
            <v>42644</v>
          </cell>
          <cell r="AK15">
            <v>42675</v>
          </cell>
          <cell r="AL15">
            <v>42705</v>
          </cell>
          <cell r="AM15">
            <v>42736</v>
          </cell>
          <cell r="AN15">
            <v>42767</v>
          </cell>
          <cell r="AO15">
            <v>42795</v>
          </cell>
          <cell r="AP15">
            <v>42826</v>
          </cell>
          <cell r="AQ15">
            <v>42856</v>
          </cell>
          <cell r="AR15">
            <v>42887</v>
          </cell>
          <cell r="AS15">
            <v>42917</v>
          </cell>
          <cell r="AT15">
            <v>42948</v>
          </cell>
          <cell r="AU15">
            <v>42979</v>
          </cell>
          <cell r="AV15">
            <v>43009</v>
          </cell>
          <cell r="AW15">
            <v>43040</v>
          </cell>
          <cell r="AX15">
            <v>43070</v>
          </cell>
          <cell r="AY15">
            <v>43101</v>
          </cell>
          <cell r="AZ15">
            <v>43132</v>
          </cell>
          <cell r="BA15">
            <v>43160</v>
          </cell>
          <cell r="BB15">
            <v>43191</v>
          </cell>
          <cell r="BC15">
            <v>43221</v>
          </cell>
          <cell r="BD15">
            <v>43252</v>
          </cell>
          <cell r="BE15">
            <v>43282</v>
          </cell>
          <cell r="BF15">
            <v>43313</v>
          </cell>
          <cell r="BG15">
            <v>43344</v>
          </cell>
          <cell r="BH15">
            <v>43374</v>
          </cell>
          <cell r="BI15">
            <v>43405</v>
          </cell>
          <cell r="BJ15">
            <v>43435</v>
          </cell>
          <cell r="BK15">
            <v>43466</v>
          </cell>
          <cell r="BL15">
            <v>43497</v>
          </cell>
          <cell r="BM15">
            <v>43525</v>
          </cell>
          <cell r="BN15">
            <v>43556</v>
          </cell>
          <cell r="BO15">
            <v>43586</v>
          </cell>
          <cell r="BP15">
            <v>43617</v>
          </cell>
          <cell r="BQ15">
            <v>43647</v>
          </cell>
          <cell r="BR15">
            <v>43678</v>
          </cell>
          <cell r="BS15">
            <v>43709</v>
          </cell>
          <cell r="BT15">
            <v>43739</v>
          </cell>
          <cell r="BU15">
            <v>43770</v>
          </cell>
          <cell r="BV15">
            <v>43800</v>
          </cell>
          <cell r="BW15">
            <v>43831</v>
          </cell>
          <cell r="BX15">
            <v>43862</v>
          </cell>
          <cell r="BY15">
            <v>43891</v>
          </cell>
          <cell r="BZ15">
            <v>43922</v>
          </cell>
          <cell r="CA15">
            <v>43952</v>
          </cell>
          <cell r="CB15">
            <v>43983</v>
          </cell>
          <cell r="CC15">
            <v>44013</v>
          </cell>
          <cell r="CD15">
            <v>44044</v>
          </cell>
          <cell r="CE15">
            <v>44075</v>
          </cell>
          <cell r="CF15">
            <v>44105</v>
          </cell>
          <cell r="CG15">
            <v>44136</v>
          </cell>
          <cell r="CH15">
            <v>44166</v>
          </cell>
          <cell r="CI15">
            <v>44197</v>
          </cell>
          <cell r="CJ15">
            <v>44228</v>
          </cell>
          <cell r="CK15">
            <v>44256</v>
          </cell>
          <cell r="CL15">
            <v>44287</v>
          </cell>
          <cell r="CM15">
            <v>44317</v>
          </cell>
          <cell r="CN15">
            <v>44348</v>
          </cell>
          <cell r="CO15">
            <v>44378</v>
          </cell>
          <cell r="CP15">
            <v>44409</v>
          </cell>
          <cell r="CQ15">
            <v>44440</v>
          </cell>
          <cell r="CR15">
            <v>44470</v>
          </cell>
          <cell r="CS15">
            <v>44501</v>
          </cell>
          <cell r="CT15">
            <v>44531</v>
          </cell>
          <cell r="CU15">
            <v>44562</v>
          </cell>
          <cell r="CV15">
            <v>44593</v>
          </cell>
          <cell r="CW15">
            <v>44621</v>
          </cell>
          <cell r="CX15">
            <v>44652</v>
          </cell>
          <cell r="CY15">
            <v>44682</v>
          </cell>
          <cell r="CZ15">
            <v>44713</v>
          </cell>
          <cell r="DA15">
            <v>44743</v>
          </cell>
          <cell r="DB15">
            <v>44774</v>
          </cell>
          <cell r="DC15">
            <v>44805</v>
          </cell>
          <cell r="DD15">
            <v>44835</v>
          </cell>
          <cell r="DE15">
            <v>44866</v>
          </cell>
          <cell r="DF15">
            <v>44896</v>
          </cell>
          <cell r="DG15">
            <v>44927</v>
          </cell>
          <cell r="DH15">
            <v>44958</v>
          </cell>
          <cell r="DI15">
            <v>44986</v>
          </cell>
          <cell r="DJ15">
            <v>45017</v>
          </cell>
          <cell r="DK15">
            <v>45047</v>
          </cell>
          <cell r="DL15">
            <v>45078</v>
          </cell>
          <cell r="DM15">
            <v>45108</v>
          </cell>
          <cell r="DN15">
            <v>45139</v>
          </cell>
          <cell r="DO15">
            <v>45170</v>
          </cell>
          <cell r="DP15">
            <v>45200</v>
          </cell>
          <cell r="DQ15">
            <v>45231</v>
          </cell>
          <cell r="DR15">
            <v>45261</v>
          </cell>
          <cell r="DS15">
            <v>45292</v>
          </cell>
          <cell r="DT15">
            <v>45323</v>
          </cell>
          <cell r="DU15">
            <v>45352</v>
          </cell>
          <cell r="DV15">
            <v>45383</v>
          </cell>
          <cell r="DW15">
            <v>45413</v>
          </cell>
          <cell r="DX15">
            <v>45444</v>
          </cell>
          <cell r="DY15">
            <v>45474</v>
          </cell>
          <cell r="DZ15">
            <v>45505</v>
          </cell>
          <cell r="EA15">
            <v>45536</v>
          </cell>
          <cell r="EB15">
            <v>45566</v>
          </cell>
          <cell r="EC15">
            <v>45597</v>
          </cell>
          <cell r="ED15">
            <v>45627</v>
          </cell>
        </row>
        <row r="16">
          <cell r="C16">
            <v>416</v>
          </cell>
          <cell r="D16">
            <v>384</v>
          </cell>
          <cell r="E16">
            <v>416</v>
          </cell>
          <cell r="F16">
            <v>416</v>
          </cell>
          <cell r="G16">
            <v>416</v>
          </cell>
          <cell r="H16">
            <v>400</v>
          </cell>
          <cell r="I16">
            <v>416</v>
          </cell>
          <cell r="J16">
            <v>416</v>
          </cell>
          <cell r="K16">
            <v>400</v>
          </cell>
          <cell r="L16">
            <v>432</v>
          </cell>
          <cell r="M16">
            <v>384</v>
          </cell>
          <cell r="N16">
            <v>416</v>
          </cell>
          <cell r="O16">
            <v>416</v>
          </cell>
          <cell r="P16">
            <v>384</v>
          </cell>
          <cell r="Q16">
            <v>416</v>
          </cell>
          <cell r="R16">
            <v>416</v>
          </cell>
          <cell r="S16">
            <v>400</v>
          </cell>
          <cell r="T16">
            <v>416</v>
          </cell>
          <cell r="U16">
            <v>416</v>
          </cell>
          <cell r="V16">
            <v>416</v>
          </cell>
          <cell r="W16">
            <v>400</v>
          </cell>
          <cell r="X16">
            <v>432</v>
          </cell>
          <cell r="Y16">
            <v>384</v>
          </cell>
          <cell r="Z16">
            <v>416</v>
          </cell>
          <cell r="AA16">
            <v>400</v>
          </cell>
          <cell r="AB16">
            <v>400</v>
          </cell>
          <cell r="AC16">
            <v>432</v>
          </cell>
          <cell r="AD16">
            <v>416</v>
          </cell>
          <cell r="AE16">
            <v>400</v>
          </cell>
          <cell r="AF16">
            <v>416</v>
          </cell>
          <cell r="AG16">
            <v>400</v>
          </cell>
          <cell r="AH16">
            <v>432</v>
          </cell>
          <cell r="AI16">
            <v>400</v>
          </cell>
          <cell r="AJ16">
            <v>416</v>
          </cell>
          <cell r="AK16">
            <v>400</v>
          </cell>
          <cell r="AL16">
            <v>416</v>
          </cell>
          <cell r="AM16">
            <v>400</v>
          </cell>
          <cell r="AN16">
            <v>384</v>
          </cell>
          <cell r="AO16">
            <v>432</v>
          </cell>
          <cell r="AP16">
            <v>400</v>
          </cell>
          <cell r="AQ16">
            <v>416</v>
          </cell>
          <cell r="AR16">
            <v>416</v>
          </cell>
          <cell r="AS16">
            <v>400</v>
          </cell>
          <cell r="AT16">
            <v>432</v>
          </cell>
          <cell r="AU16">
            <v>400</v>
          </cell>
          <cell r="AV16">
            <v>416</v>
          </cell>
          <cell r="AW16">
            <v>400</v>
          </cell>
          <cell r="AX16">
            <v>400</v>
          </cell>
          <cell r="AY16">
            <v>416</v>
          </cell>
          <cell r="AZ16">
            <v>384</v>
          </cell>
          <cell r="BA16">
            <v>432</v>
          </cell>
          <cell r="BB16">
            <v>400</v>
          </cell>
          <cell r="BC16">
            <v>416</v>
          </cell>
          <cell r="BD16">
            <v>416</v>
          </cell>
          <cell r="BE16">
            <v>400</v>
          </cell>
          <cell r="BF16">
            <v>432</v>
          </cell>
          <cell r="BG16">
            <v>384</v>
          </cell>
          <cell r="BH16">
            <v>432</v>
          </cell>
          <cell r="BI16">
            <v>400</v>
          </cell>
          <cell r="BJ16">
            <v>400</v>
          </cell>
          <cell r="BK16">
            <v>416</v>
          </cell>
          <cell r="BL16">
            <v>384</v>
          </cell>
          <cell r="BM16">
            <v>416</v>
          </cell>
          <cell r="BN16">
            <v>416</v>
          </cell>
          <cell r="BO16">
            <v>416</v>
          </cell>
          <cell r="BP16">
            <v>400</v>
          </cell>
          <cell r="BQ16">
            <v>416</v>
          </cell>
          <cell r="BR16">
            <v>432</v>
          </cell>
          <cell r="BS16">
            <v>384</v>
          </cell>
          <cell r="BT16">
            <v>432</v>
          </cell>
          <cell r="BU16">
            <v>400</v>
          </cell>
          <cell r="BV16">
            <v>400</v>
          </cell>
          <cell r="BW16">
            <v>416</v>
          </cell>
          <cell r="BX16">
            <v>400</v>
          </cell>
          <cell r="BY16">
            <v>416</v>
          </cell>
          <cell r="BZ16">
            <v>416</v>
          </cell>
          <cell r="CA16">
            <v>400</v>
          </cell>
          <cell r="CB16">
            <v>416</v>
          </cell>
          <cell r="CC16">
            <v>416</v>
          </cell>
          <cell r="CD16">
            <v>416</v>
          </cell>
          <cell r="CE16">
            <v>400</v>
          </cell>
          <cell r="CF16">
            <v>432</v>
          </cell>
          <cell r="CG16">
            <v>384</v>
          </cell>
          <cell r="CH16">
            <v>416</v>
          </cell>
          <cell r="CI16">
            <v>400</v>
          </cell>
          <cell r="CJ16">
            <v>384</v>
          </cell>
          <cell r="CK16">
            <v>432</v>
          </cell>
          <cell r="CL16">
            <v>416</v>
          </cell>
          <cell r="CM16">
            <v>400</v>
          </cell>
          <cell r="CN16">
            <v>416</v>
          </cell>
          <cell r="CO16">
            <v>416</v>
          </cell>
          <cell r="CP16">
            <v>416</v>
          </cell>
          <cell r="CQ16">
            <v>400</v>
          </cell>
          <cell r="CR16">
            <v>416</v>
          </cell>
          <cell r="CS16">
            <v>400</v>
          </cell>
          <cell r="CT16">
            <v>416</v>
          </cell>
          <cell r="CU16">
            <v>400</v>
          </cell>
          <cell r="CV16">
            <v>384</v>
          </cell>
          <cell r="CW16">
            <v>432</v>
          </cell>
          <cell r="CX16">
            <v>416</v>
          </cell>
          <cell r="CY16">
            <v>400</v>
          </cell>
          <cell r="CZ16">
            <v>416</v>
          </cell>
          <cell r="DA16">
            <v>400</v>
          </cell>
          <cell r="DB16">
            <v>432</v>
          </cell>
          <cell r="DC16">
            <v>400</v>
          </cell>
          <cell r="DD16">
            <v>416</v>
          </cell>
          <cell r="DE16">
            <v>400</v>
          </cell>
          <cell r="DF16">
            <v>416</v>
          </cell>
          <cell r="DG16">
            <v>400</v>
          </cell>
          <cell r="DH16">
            <v>384</v>
          </cell>
          <cell r="DI16">
            <v>432</v>
          </cell>
          <cell r="DJ16">
            <v>400</v>
          </cell>
          <cell r="DK16">
            <v>416</v>
          </cell>
          <cell r="DL16">
            <v>416</v>
          </cell>
          <cell r="DM16">
            <v>400</v>
          </cell>
          <cell r="DN16">
            <v>432</v>
          </cell>
          <cell r="DO16">
            <v>400</v>
          </cell>
          <cell r="DP16">
            <v>416</v>
          </cell>
          <cell r="DQ16">
            <v>400</v>
          </cell>
          <cell r="DR16">
            <v>400</v>
          </cell>
          <cell r="DS16">
            <v>416</v>
          </cell>
          <cell r="DT16">
            <v>400</v>
          </cell>
          <cell r="DU16">
            <v>416</v>
          </cell>
          <cell r="DV16">
            <v>416</v>
          </cell>
          <cell r="DW16">
            <v>416</v>
          </cell>
          <cell r="DX16">
            <v>400</v>
          </cell>
          <cell r="DY16">
            <v>416</v>
          </cell>
          <cell r="DZ16">
            <v>432</v>
          </cell>
          <cell r="EA16">
            <v>384</v>
          </cell>
          <cell r="EB16">
            <v>432</v>
          </cell>
          <cell r="EC16">
            <v>400</v>
          </cell>
          <cell r="ED16">
            <v>400</v>
          </cell>
        </row>
        <row r="17">
          <cell r="C17">
            <v>328</v>
          </cell>
          <cell r="D17">
            <v>288</v>
          </cell>
          <cell r="E17">
            <v>328</v>
          </cell>
          <cell r="F17">
            <v>304</v>
          </cell>
          <cell r="G17">
            <v>328</v>
          </cell>
          <cell r="H17">
            <v>320</v>
          </cell>
          <cell r="I17">
            <v>328</v>
          </cell>
          <cell r="J17">
            <v>328</v>
          </cell>
          <cell r="K17">
            <v>320</v>
          </cell>
          <cell r="L17">
            <v>312</v>
          </cell>
          <cell r="M17">
            <v>336</v>
          </cell>
          <cell r="N17">
            <v>328</v>
          </cell>
          <cell r="O17">
            <v>328</v>
          </cell>
          <cell r="P17">
            <v>288</v>
          </cell>
          <cell r="Q17">
            <v>328</v>
          </cell>
          <cell r="R17">
            <v>304</v>
          </cell>
          <cell r="S17">
            <v>344</v>
          </cell>
          <cell r="T17">
            <v>304</v>
          </cell>
          <cell r="U17">
            <v>328</v>
          </cell>
          <cell r="V17">
            <v>328</v>
          </cell>
          <cell r="W17">
            <v>320</v>
          </cell>
          <cell r="X17">
            <v>312</v>
          </cell>
          <cell r="Y17">
            <v>336</v>
          </cell>
          <cell r="Z17">
            <v>328</v>
          </cell>
          <cell r="AA17">
            <v>344</v>
          </cell>
          <cell r="AB17">
            <v>296</v>
          </cell>
          <cell r="AC17">
            <v>312</v>
          </cell>
          <cell r="AD17">
            <v>304</v>
          </cell>
          <cell r="AE17">
            <v>344</v>
          </cell>
          <cell r="AF17">
            <v>304</v>
          </cell>
          <cell r="AG17">
            <v>344</v>
          </cell>
          <cell r="AH17">
            <v>312</v>
          </cell>
          <cell r="AI17">
            <v>320</v>
          </cell>
          <cell r="AJ17">
            <v>328</v>
          </cell>
          <cell r="AK17">
            <v>320</v>
          </cell>
          <cell r="AL17">
            <v>328</v>
          </cell>
          <cell r="AM17">
            <v>344</v>
          </cell>
          <cell r="AN17">
            <v>288</v>
          </cell>
          <cell r="AO17">
            <v>312</v>
          </cell>
          <cell r="AP17">
            <v>320</v>
          </cell>
          <cell r="AQ17">
            <v>328</v>
          </cell>
          <cell r="AR17">
            <v>304</v>
          </cell>
          <cell r="AS17">
            <v>344</v>
          </cell>
          <cell r="AT17">
            <v>312</v>
          </cell>
          <cell r="AU17">
            <v>320</v>
          </cell>
          <cell r="AV17">
            <v>328</v>
          </cell>
          <cell r="AW17">
            <v>320</v>
          </cell>
          <cell r="AX17">
            <v>344</v>
          </cell>
          <cell r="AY17">
            <v>328</v>
          </cell>
          <cell r="AZ17">
            <v>288</v>
          </cell>
          <cell r="BA17">
            <v>312</v>
          </cell>
          <cell r="BB17">
            <v>320</v>
          </cell>
          <cell r="BC17">
            <v>328</v>
          </cell>
          <cell r="BD17">
            <v>304</v>
          </cell>
          <cell r="BE17">
            <v>344</v>
          </cell>
          <cell r="BF17">
            <v>312</v>
          </cell>
          <cell r="BG17">
            <v>336</v>
          </cell>
          <cell r="BH17">
            <v>312</v>
          </cell>
          <cell r="BI17">
            <v>320</v>
          </cell>
          <cell r="BJ17">
            <v>344</v>
          </cell>
          <cell r="BK17">
            <v>328</v>
          </cell>
          <cell r="BL17">
            <v>288</v>
          </cell>
          <cell r="BM17">
            <v>328</v>
          </cell>
          <cell r="BN17">
            <v>304</v>
          </cell>
          <cell r="BO17">
            <v>328</v>
          </cell>
          <cell r="BP17">
            <v>320</v>
          </cell>
          <cell r="BQ17">
            <v>328</v>
          </cell>
          <cell r="BR17">
            <v>312</v>
          </cell>
          <cell r="BS17">
            <v>336</v>
          </cell>
          <cell r="BT17">
            <v>312</v>
          </cell>
          <cell r="BU17">
            <v>320</v>
          </cell>
          <cell r="BV17">
            <v>344</v>
          </cell>
          <cell r="BW17">
            <v>328</v>
          </cell>
          <cell r="BX17">
            <v>296</v>
          </cell>
          <cell r="BY17">
            <v>328</v>
          </cell>
          <cell r="BZ17">
            <v>304</v>
          </cell>
          <cell r="CA17">
            <v>344</v>
          </cell>
          <cell r="CB17">
            <v>304</v>
          </cell>
          <cell r="CC17">
            <v>328</v>
          </cell>
          <cell r="CD17">
            <v>328</v>
          </cell>
          <cell r="CE17">
            <v>320</v>
          </cell>
          <cell r="CF17">
            <v>312</v>
          </cell>
          <cell r="CG17">
            <v>336</v>
          </cell>
          <cell r="CH17">
            <v>328</v>
          </cell>
          <cell r="CI17">
            <v>344</v>
          </cell>
          <cell r="CJ17">
            <v>288</v>
          </cell>
          <cell r="CK17">
            <v>312</v>
          </cell>
          <cell r="CL17">
            <v>304</v>
          </cell>
          <cell r="CM17">
            <v>344</v>
          </cell>
          <cell r="CN17">
            <v>304</v>
          </cell>
          <cell r="CO17">
            <v>328</v>
          </cell>
          <cell r="CP17">
            <v>328</v>
          </cell>
          <cell r="CQ17">
            <v>320</v>
          </cell>
          <cell r="CR17">
            <v>328</v>
          </cell>
          <cell r="CS17">
            <v>320</v>
          </cell>
          <cell r="CT17">
            <v>328</v>
          </cell>
          <cell r="CU17">
            <v>344</v>
          </cell>
          <cell r="CV17">
            <v>288</v>
          </cell>
          <cell r="CW17">
            <v>312</v>
          </cell>
          <cell r="CX17">
            <v>304</v>
          </cell>
          <cell r="CY17">
            <v>344</v>
          </cell>
          <cell r="CZ17">
            <v>304</v>
          </cell>
          <cell r="DA17">
            <v>344</v>
          </cell>
          <cell r="DB17">
            <v>312</v>
          </cell>
          <cell r="DC17">
            <v>320</v>
          </cell>
          <cell r="DD17">
            <v>328</v>
          </cell>
          <cell r="DE17">
            <v>320</v>
          </cell>
          <cell r="DF17">
            <v>328</v>
          </cell>
          <cell r="DG17">
            <v>344</v>
          </cell>
          <cell r="DH17">
            <v>288</v>
          </cell>
          <cell r="DI17">
            <v>312</v>
          </cell>
          <cell r="DJ17">
            <v>320</v>
          </cell>
          <cell r="DK17">
            <v>328</v>
          </cell>
          <cell r="DL17">
            <v>304</v>
          </cell>
          <cell r="DM17">
            <v>344</v>
          </cell>
          <cell r="DN17">
            <v>312</v>
          </cell>
          <cell r="DO17">
            <v>320</v>
          </cell>
          <cell r="DP17">
            <v>328</v>
          </cell>
          <cell r="DQ17">
            <v>320</v>
          </cell>
          <cell r="DR17">
            <v>344</v>
          </cell>
          <cell r="DS17">
            <v>328</v>
          </cell>
          <cell r="DT17">
            <v>296</v>
          </cell>
          <cell r="DU17">
            <v>328</v>
          </cell>
          <cell r="DV17">
            <v>304</v>
          </cell>
          <cell r="DW17">
            <v>328</v>
          </cell>
          <cell r="DX17">
            <v>320</v>
          </cell>
          <cell r="DY17">
            <v>328</v>
          </cell>
          <cell r="DZ17">
            <v>312</v>
          </cell>
          <cell r="EA17">
            <v>336</v>
          </cell>
          <cell r="EB17">
            <v>312</v>
          </cell>
          <cell r="EC17">
            <v>320</v>
          </cell>
          <cell r="ED17">
            <v>344</v>
          </cell>
        </row>
        <row r="18">
          <cell r="C18">
            <v>744</v>
          </cell>
          <cell r="D18">
            <v>672</v>
          </cell>
          <cell r="E18">
            <v>744</v>
          </cell>
          <cell r="F18">
            <v>720</v>
          </cell>
          <cell r="G18">
            <v>744</v>
          </cell>
          <cell r="H18">
            <v>720</v>
          </cell>
          <cell r="I18">
            <v>744</v>
          </cell>
          <cell r="J18">
            <v>744</v>
          </cell>
          <cell r="K18">
            <v>720</v>
          </cell>
          <cell r="L18">
            <v>744</v>
          </cell>
          <cell r="M18">
            <v>720</v>
          </cell>
          <cell r="N18">
            <v>744</v>
          </cell>
          <cell r="O18">
            <v>744</v>
          </cell>
          <cell r="P18">
            <v>672</v>
          </cell>
          <cell r="Q18">
            <v>744</v>
          </cell>
          <cell r="R18">
            <v>720</v>
          </cell>
          <cell r="S18">
            <v>744</v>
          </cell>
          <cell r="T18">
            <v>720</v>
          </cell>
          <cell r="U18">
            <v>744</v>
          </cell>
          <cell r="V18">
            <v>744</v>
          </cell>
          <cell r="W18">
            <v>720</v>
          </cell>
          <cell r="X18">
            <v>744</v>
          </cell>
          <cell r="Y18">
            <v>720</v>
          </cell>
          <cell r="Z18">
            <v>744</v>
          </cell>
          <cell r="AA18">
            <v>744</v>
          </cell>
          <cell r="AB18">
            <v>696</v>
          </cell>
          <cell r="AC18">
            <v>744</v>
          </cell>
          <cell r="AD18">
            <v>720</v>
          </cell>
          <cell r="AE18">
            <v>744</v>
          </cell>
          <cell r="AF18">
            <v>720</v>
          </cell>
          <cell r="AG18">
            <v>744</v>
          </cell>
          <cell r="AH18">
            <v>744</v>
          </cell>
          <cell r="AI18">
            <v>720</v>
          </cell>
          <cell r="AJ18">
            <v>744</v>
          </cell>
          <cell r="AK18">
            <v>720</v>
          </cell>
          <cell r="AL18">
            <v>744</v>
          </cell>
          <cell r="AM18">
            <v>744</v>
          </cell>
          <cell r="AN18">
            <v>672</v>
          </cell>
          <cell r="AO18">
            <v>744</v>
          </cell>
          <cell r="AP18">
            <v>720</v>
          </cell>
          <cell r="AQ18">
            <v>744</v>
          </cell>
          <cell r="AR18">
            <v>720</v>
          </cell>
          <cell r="AS18">
            <v>744</v>
          </cell>
          <cell r="AT18">
            <v>744</v>
          </cell>
          <cell r="AU18">
            <v>720</v>
          </cell>
          <cell r="AV18">
            <v>744</v>
          </cell>
          <cell r="AW18">
            <v>720</v>
          </cell>
          <cell r="AX18">
            <v>744</v>
          </cell>
          <cell r="AY18">
            <v>744</v>
          </cell>
          <cell r="AZ18">
            <v>672</v>
          </cell>
          <cell r="BA18">
            <v>744</v>
          </cell>
          <cell r="BB18">
            <v>720</v>
          </cell>
          <cell r="BC18">
            <v>744</v>
          </cell>
          <cell r="BD18">
            <v>720</v>
          </cell>
          <cell r="BE18">
            <v>744</v>
          </cell>
          <cell r="BF18">
            <v>744</v>
          </cell>
          <cell r="BG18">
            <v>720</v>
          </cell>
          <cell r="BH18">
            <v>744</v>
          </cell>
          <cell r="BI18">
            <v>720</v>
          </cell>
          <cell r="BJ18">
            <v>744</v>
          </cell>
          <cell r="BK18">
            <v>744</v>
          </cell>
          <cell r="BL18">
            <v>672</v>
          </cell>
          <cell r="BM18">
            <v>744</v>
          </cell>
          <cell r="BN18">
            <v>720</v>
          </cell>
          <cell r="BO18">
            <v>744</v>
          </cell>
          <cell r="BP18">
            <v>720</v>
          </cell>
          <cell r="BQ18">
            <v>744</v>
          </cell>
          <cell r="BR18">
            <v>744</v>
          </cell>
          <cell r="BS18">
            <v>720</v>
          </cell>
          <cell r="BT18">
            <v>744</v>
          </cell>
          <cell r="BU18">
            <v>720</v>
          </cell>
          <cell r="BV18">
            <v>744</v>
          </cell>
          <cell r="BW18">
            <v>744</v>
          </cell>
          <cell r="BX18">
            <v>696</v>
          </cell>
          <cell r="BY18">
            <v>744</v>
          </cell>
          <cell r="BZ18">
            <v>720</v>
          </cell>
          <cell r="CA18">
            <v>744</v>
          </cell>
          <cell r="CB18">
            <v>720</v>
          </cell>
          <cell r="CC18">
            <v>744</v>
          </cell>
          <cell r="CD18">
            <v>744</v>
          </cell>
          <cell r="CE18">
            <v>720</v>
          </cell>
          <cell r="CF18">
            <v>744</v>
          </cell>
          <cell r="CG18">
            <v>720</v>
          </cell>
          <cell r="CH18">
            <v>744</v>
          </cell>
          <cell r="CI18">
            <v>744</v>
          </cell>
          <cell r="CJ18">
            <v>672</v>
          </cell>
          <cell r="CK18">
            <v>744</v>
          </cell>
          <cell r="CL18">
            <v>720</v>
          </cell>
          <cell r="CM18">
            <v>744</v>
          </cell>
          <cell r="CN18">
            <v>720</v>
          </cell>
          <cell r="CO18">
            <v>744</v>
          </cell>
          <cell r="CP18">
            <v>744</v>
          </cell>
          <cell r="CQ18">
            <v>720</v>
          </cell>
          <cell r="CR18">
            <v>744</v>
          </cell>
          <cell r="CS18">
            <v>720</v>
          </cell>
          <cell r="CT18">
            <v>744</v>
          </cell>
          <cell r="CU18">
            <v>744</v>
          </cell>
          <cell r="CV18">
            <v>672</v>
          </cell>
          <cell r="CW18">
            <v>744</v>
          </cell>
          <cell r="CX18">
            <v>720</v>
          </cell>
          <cell r="CY18">
            <v>744</v>
          </cell>
          <cell r="CZ18">
            <v>720</v>
          </cell>
          <cell r="DA18">
            <v>744</v>
          </cell>
          <cell r="DB18">
            <v>744</v>
          </cell>
          <cell r="DC18">
            <v>720</v>
          </cell>
          <cell r="DD18">
            <v>744</v>
          </cell>
          <cell r="DE18">
            <v>720</v>
          </cell>
          <cell r="DF18">
            <v>744</v>
          </cell>
          <cell r="DG18">
            <v>744</v>
          </cell>
          <cell r="DH18">
            <v>672</v>
          </cell>
          <cell r="DI18">
            <v>744</v>
          </cell>
          <cell r="DJ18">
            <v>720</v>
          </cell>
          <cell r="DK18">
            <v>744</v>
          </cell>
          <cell r="DL18">
            <v>720</v>
          </cell>
          <cell r="DM18">
            <v>744</v>
          </cell>
          <cell r="DN18">
            <v>744</v>
          </cell>
          <cell r="DO18">
            <v>720</v>
          </cell>
          <cell r="DP18">
            <v>744</v>
          </cell>
          <cell r="DQ18">
            <v>720</v>
          </cell>
          <cell r="DR18">
            <v>744</v>
          </cell>
          <cell r="DS18">
            <v>744</v>
          </cell>
          <cell r="DT18">
            <v>696</v>
          </cell>
          <cell r="DU18">
            <v>744</v>
          </cell>
          <cell r="DV18">
            <v>720</v>
          </cell>
          <cell r="DW18">
            <v>744</v>
          </cell>
          <cell r="DX18">
            <v>720</v>
          </cell>
          <cell r="DY18">
            <v>744</v>
          </cell>
          <cell r="DZ18">
            <v>744</v>
          </cell>
          <cell r="EA18">
            <v>720</v>
          </cell>
          <cell r="EB18">
            <v>744</v>
          </cell>
          <cell r="EC18">
            <v>720</v>
          </cell>
          <cell r="ED18">
            <v>744</v>
          </cell>
        </row>
        <row r="19">
          <cell r="C19">
            <v>328</v>
          </cell>
          <cell r="D19">
            <v>288</v>
          </cell>
          <cell r="E19">
            <v>327</v>
          </cell>
          <cell r="F19">
            <v>304</v>
          </cell>
          <cell r="G19">
            <v>328</v>
          </cell>
          <cell r="H19">
            <v>320</v>
          </cell>
          <cell r="I19">
            <v>328</v>
          </cell>
          <cell r="J19">
            <v>328</v>
          </cell>
          <cell r="K19">
            <v>320</v>
          </cell>
          <cell r="L19">
            <v>312</v>
          </cell>
          <cell r="M19">
            <v>337</v>
          </cell>
          <cell r="N19">
            <v>328</v>
          </cell>
          <cell r="O19">
            <v>328</v>
          </cell>
          <cell r="P19">
            <v>288</v>
          </cell>
          <cell r="Q19">
            <v>327</v>
          </cell>
          <cell r="R19">
            <v>304</v>
          </cell>
          <cell r="S19">
            <v>344</v>
          </cell>
          <cell r="T19">
            <v>304</v>
          </cell>
          <cell r="U19">
            <v>328</v>
          </cell>
          <cell r="V19">
            <v>328</v>
          </cell>
          <cell r="W19">
            <v>320</v>
          </cell>
          <cell r="X19">
            <v>312</v>
          </cell>
          <cell r="Y19">
            <v>337</v>
          </cell>
          <cell r="Z19">
            <v>328</v>
          </cell>
          <cell r="AA19">
            <v>344</v>
          </cell>
          <cell r="AB19">
            <v>296</v>
          </cell>
          <cell r="AC19">
            <v>311</v>
          </cell>
          <cell r="AD19">
            <v>304</v>
          </cell>
          <cell r="AE19">
            <v>344</v>
          </cell>
          <cell r="AF19">
            <v>304</v>
          </cell>
          <cell r="AG19">
            <v>344</v>
          </cell>
          <cell r="AH19">
            <v>312</v>
          </cell>
          <cell r="AI19">
            <v>320</v>
          </cell>
          <cell r="AJ19">
            <v>328</v>
          </cell>
          <cell r="AK19">
            <v>321</v>
          </cell>
          <cell r="AL19">
            <v>328</v>
          </cell>
          <cell r="AM19">
            <v>344</v>
          </cell>
          <cell r="AN19">
            <v>288</v>
          </cell>
          <cell r="AO19">
            <v>311</v>
          </cell>
          <cell r="AP19">
            <v>320</v>
          </cell>
          <cell r="AQ19">
            <v>328</v>
          </cell>
          <cell r="AR19">
            <v>304</v>
          </cell>
          <cell r="AS19">
            <v>344</v>
          </cell>
          <cell r="AT19">
            <v>312</v>
          </cell>
          <cell r="AU19">
            <v>320</v>
          </cell>
          <cell r="AV19">
            <v>328</v>
          </cell>
          <cell r="AW19">
            <v>321</v>
          </cell>
          <cell r="AX19">
            <v>344</v>
          </cell>
          <cell r="AY19">
            <v>328</v>
          </cell>
          <cell r="AZ19">
            <v>288</v>
          </cell>
          <cell r="BA19">
            <v>311</v>
          </cell>
          <cell r="BB19">
            <v>320</v>
          </cell>
          <cell r="BC19">
            <v>328</v>
          </cell>
          <cell r="BD19">
            <v>304</v>
          </cell>
          <cell r="BE19">
            <v>344</v>
          </cell>
          <cell r="BF19">
            <v>312</v>
          </cell>
          <cell r="BG19">
            <v>336</v>
          </cell>
          <cell r="BH19">
            <v>312</v>
          </cell>
          <cell r="BI19">
            <v>321</v>
          </cell>
          <cell r="BJ19">
            <v>344</v>
          </cell>
          <cell r="BK19">
            <v>328</v>
          </cell>
          <cell r="BL19">
            <v>288</v>
          </cell>
          <cell r="BM19">
            <v>327</v>
          </cell>
          <cell r="BN19">
            <v>304</v>
          </cell>
          <cell r="BO19">
            <v>328</v>
          </cell>
          <cell r="BP19">
            <v>320</v>
          </cell>
          <cell r="BQ19">
            <v>328</v>
          </cell>
          <cell r="BR19">
            <v>312</v>
          </cell>
          <cell r="BS19">
            <v>336</v>
          </cell>
          <cell r="BT19">
            <v>312</v>
          </cell>
          <cell r="BU19">
            <v>321</v>
          </cell>
          <cell r="BV19">
            <v>344</v>
          </cell>
          <cell r="BW19">
            <v>328</v>
          </cell>
          <cell r="BX19">
            <v>296</v>
          </cell>
          <cell r="BY19">
            <v>327</v>
          </cell>
          <cell r="BZ19">
            <v>304</v>
          </cell>
          <cell r="CA19">
            <v>344</v>
          </cell>
          <cell r="CB19">
            <v>304</v>
          </cell>
          <cell r="CC19">
            <v>328</v>
          </cell>
          <cell r="CD19">
            <v>328</v>
          </cell>
          <cell r="CE19">
            <v>320</v>
          </cell>
          <cell r="CF19">
            <v>312</v>
          </cell>
          <cell r="CG19">
            <v>337</v>
          </cell>
          <cell r="CH19">
            <v>328</v>
          </cell>
          <cell r="CI19">
            <v>344</v>
          </cell>
          <cell r="CJ19">
            <v>288</v>
          </cell>
          <cell r="CK19">
            <v>311</v>
          </cell>
          <cell r="CL19">
            <v>304</v>
          </cell>
          <cell r="CM19">
            <v>344</v>
          </cell>
          <cell r="CN19">
            <v>304</v>
          </cell>
          <cell r="CO19">
            <v>328</v>
          </cell>
          <cell r="CP19">
            <v>328</v>
          </cell>
          <cell r="CQ19">
            <v>320</v>
          </cell>
          <cell r="CR19">
            <v>328</v>
          </cell>
          <cell r="CS19">
            <v>321</v>
          </cell>
          <cell r="CT19">
            <v>328</v>
          </cell>
          <cell r="CU19">
            <v>344</v>
          </cell>
          <cell r="CV19">
            <v>288</v>
          </cell>
          <cell r="CW19">
            <v>311</v>
          </cell>
          <cell r="CX19">
            <v>304</v>
          </cell>
          <cell r="CY19">
            <v>344</v>
          </cell>
          <cell r="CZ19">
            <v>304</v>
          </cell>
          <cell r="DA19">
            <v>344</v>
          </cell>
          <cell r="DB19">
            <v>312</v>
          </cell>
          <cell r="DC19">
            <v>320</v>
          </cell>
          <cell r="DD19">
            <v>328</v>
          </cell>
          <cell r="DE19">
            <v>321</v>
          </cell>
          <cell r="DF19">
            <v>328</v>
          </cell>
          <cell r="DG19">
            <v>344</v>
          </cell>
          <cell r="DH19">
            <v>288</v>
          </cell>
          <cell r="DI19">
            <v>311</v>
          </cell>
          <cell r="DJ19">
            <v>320</v>
          </cell>
          <cell r="DK19">
            <v>328</v>
          </cell>
          <cell r="DL19">
            <v>304</v>
          </cell>
          <cell r="DM19">
            <v>344</v>
          </cell>
          <cell r="DN19">
            <v>312</v>
          </cell>
          <cell r="DO19">
            <v>320</v>
          </cell>
          <cell r="DP19">
            <v>328</v>
          </cell>
          <cell r="DQ19">
            <v>321</v>
          </cell>
          <cell r="DR19">
            <v>344</v>
          </cell>
          <cell r="DS19">
            <v>328</v>
          </cell>
          <cell r="DT19">
            <v>296</v>
          </cell>
          <cell r="DU19">
            <v>327</v>
          </cell>
          <cell r="DV19">
            <v>304</v>
          </cell>
          <cell r="DW19">
            <v>328</v>
          </cell>
          <cell r="DX19">
            <v>320</v>
          </cell>
          <cell r="DY19">
            <v>328</v>
          </cell>
          <cell r="DZ19">
            <v>312</v>
          </cell>
          <cell r="EA19">
            <v>336</v>
          </cell>
          <cell r="EB19">
            <v>312</v>
          </cell>
          <cell r="EC19">
            <v>321</v>
          </cell>
          <cell r="ED19">
            <v>344</v>
          </cell>
        </row>
        <row r="20">
          <cell r="C20">
            <v>744</v>
          </cell>
          <cell r="D20">
            <v>672</v>
          </cell>
          <cell r="E20">
            <v>743</v>
          </cell>
          <cell r="F20">
            <v>720</v>
          </cell>
          <cell r="G20">
            <v>744</v>
          </cell>
          <cell r="H20">
            <v>720</v>
          </cell>
          <cell r="I20">
            <v>744</v>
          </cell>
          <cell r="J20">
            <v>744</v>
          </cell>
          <cell r="K20">
            <v>720</v>
          </cell>
          <cell r="L20">
            <v>744</v>
          </cell>
          <cell r="M20">
            <v>721</v>
          </cell>
          <cell r="N20">
            <v>744</v>
          </cell>
          <cell r="O20">
            <v>744</v>
          </cell>
          <cell r="P20">
            <v>672</v>
          </cell>
          <cell r="Q20">
            <v>743</v>
          </cell>
          <cell r="R20">
            <v>720</v>
          </cell>
          <cell r="S20">
            <v>744</v>
          </cell>
          <cell r="T20">
            <v>720</v>
          </cell>
          <cell r="U20">
            <v>744</v>
          </cell>
          <cell r="V20">
            <v>744</v>
          </cell>
          <cell r="W20">
            <v>720</v>
          </cell>
          <cell r="X20">
            <v>744</v>
          </cell>
          <cell r="Y20">
            <v>721</v>
          </cell>
          <cell r="Z20">
            <v>744</v>
          </cell>
          <cell r="AA20">
            <v>744</v>
          </cell>
          <cell r="AB20">
            <v>696</v>
          </cell>
          <cell r="AC20">
            <v>743</v>
          </cell>
          <cell r="AD20">
            <v>720</v>
          </cell>
          <cell r="AE20">
            <v>744</v>
          </cell>
          <cell r="AF20">
            <v>720</v>
          </cell>
          <cell r="AG20">
            <v>744</v>
          </cell>
          <cell r="AH20">
            <v>744</v>
          </cell>
          <cell r="AI20">
            <v>720</v>
          </cell>
          <cell r="AJ20">
            <v>744</v>
          </cell>
          <cell r="AK20">
            <v>721</v>
          </cell>
          <cell r="AL20">
            <v>744</v>
          </cell>
          <cell r="AM20">
            <v>744</v>
          </cell>
          <cell r="AN20">
            <v>672</v>
          </cell>
          <cell r="AO20">
            <v>743</v>
          </cell>
          <cell r="AP20">
            <v>720</v>
          </cell>
          <cell r="AQ20">
            <v>744</v>
          </cell>
          <cell r="AR20">
            <v>720</v>
          </cell>
          <cell r="AS20">
            <v>744</v>
          </cell>
          <cell r="AT20">
            <v>744</v>
          </cell>
          <cell r="AU20">
            <v>720</v>
          </cell>
          <cell r="AV20">
            <v>744</v>
          </cell>
          <cell r="AW20">
            <v>721</v>
          </cell>
          <cell r="AX20">
            <v>744</v>
          </cell>
          <cell r="AY20">
            <v>744</v>
          </cell>
          <cell r="AZ20">
            <v>672</v>
          </cell>
          <cell r="BA20">
            <v>743</v>
          </cell>
          <cell r="BB20">
            <v>720</v>
          </cell>
          <cell r="BC20">
            <v>744</v>
          </cell>
          <cell r="BD20">
            <v>720</v>
          </cell>
          <cell r="BE20">
            <v>744</v>
          </cell>
          <cell r="BF20">
            <v>744</v>
          </cell>
          <cell r="BG20">
            <v>720</v>
          </cell>
          <cell r="BH20">
            <v>744</v>
          </cell>
          <cell r="BI20">
            <v>721</v>
          </cell>
          <cell r="BJ20">
            <v>744</v>
          </cell>
          <cell r="BK20">
            <v>744</v>
          </cell>
          <cell r="BL20">
            <v>672</v>
          </cell>
          <cell r="BM20">
            <v>743</v>
          </cell>
          <cell r="BN20">
            <v>720</v>
          </cell>
          <cell r="BO20">
            <v>744</v>
          </cell>
          <cell r="BP20">
            <v>720</v>
          </cell>
          <cell r="BQ20">
            <v>744</v>
          </cell>
          <cell r="BR20">
            <v>744</v>
          </cell>
          <cell r="BS20">
            <v>720</v>
          </cell>
          <cell r="BT20">
            <v>744</v>
          </cell>
          <cell r="BU20">
            <v>721</v>
          </cell>
          <cell r="BV20">
            <v>744</v>
          </cell>
          <cell r="BW20">
            <v>744</v>
          </cell>
          <cell r="BX20">
            <v>696</v>
          </cell>
          <cell r="BY20">
            <v>743</v>
          </cell>
          <cell r="BZ20">
            <v>720</v>
          </cell>
          <cell r="CA20">
            <v>744</v>
          </cell>
          <cell r="CB20">
            <v>720</v>
          </cell>
          <cell r="CC20">
            <v>744</v>
          </cell>
          <cell r="CD20">
            <v>744</v>
          </cell>
          <cell r="CE20">
            <v>720</v>
          </cell>
          <cell r="CF20">
            <v>744</v>
          </cell>
          <cell r="CG20">
            <v>721</v>
          </cell>
          <cell r="CH20">
            <v>744</v>
          </cell>
          <cell r="CI20">
            <v>744</v>
          </cell>
          <cell r="CJ20">
            <v>672</v>
          </cell>
          <cell r="CK20">
            <v>743</v>
          </cell>
          <cell r="CL20">
            <v>720</v>
          </cell>
          <cell r="CM20">
            <v>744</v>
          </cell>
          <cell r="CN20">
            <v>720</v>
          </cell>
          <cell r="CO20">
            <v>744</v>
          </cell>
          <cell r="CP20">
            <v>744</v>
          </cell>
          <cell r="CQ20">
            <v>720</v>
          </cell>
          <cell r="CR20">
            <v>744</v>
          </cell>
          <cell r="CS20">
            <v>721</v>
          </cell>
          <cell r="CT20">
            <v>744</v>
          </cell>
          <cell r="CU20">
            <v>744</v>
          </cell>
          <cell r="CV20">
            <v>672</v>
          </cell>
          <cell r="CW20">
            <v>743</v>
          </cell>
          <cell r="CX20">
            <v>720</v>
          </cell>
          <cell r="CY20">
            <v>744</v>
          </cell>
          <cell r="CZ20">
            <v>720</v>
          </cell>
          <cell r="DA20">
            <v>744</v>
          </cell>
          <cell r="DB20">
            <v>744</v>
          </cell>
          <cell r="DC20">
            <v>720</v>
          </cell>
          <cell r="DD20">
            <v>744</v>
          </cell>
          <cell r="DE20">
            <v>721</v>
          </cell>
          <cell r="DF20">
            <v>744</v>
          </cell>
          <cell r="DG20">
            <v>744</v>
          </cell>
          <cell r="DH20">
            <v>672</v>
          </cell>
          <cell r="DI20">
            <v>743</v>
          </cell>
          <cell r="DJ20">
            <v>720</v>
          </cell>
          <cell r="DK20">
            <v>744</v>
          </cell>
          <cell r="DL20">
            <v>720</v>
          </cell>
          <cell r="DM20">
            <v>744</v>
          </cell>
          <cell r="DN20">
            <v>744</v>
          </cell>
          <cell r="DO20">
            <v>720</v>
          </cell>
          <cell r="DP20">
            <v>744</v>
          </cell>
          <cell r="DQ20">
            <v>721</v>
          </cell>
          <cell r="DR20">
            <v>744</v>
          </cell>
          <cell r="DS20">
            <v>744</v>
          </cell>
          <cell r="DT20">
            <v>696</v>
          </cell>
          <cell r="DU20">
            <v>743</v>
          </cell>
          <cell r="DV20">
            <v>720</v>
          </cell>
          <cell r="DW20">
            <v>744</v>
          </cell>
          <cell r="DX20">
            <v>720</v>
          </cell>
          <cell r="DY20">
            <v>744</v>
          </cell>
          <cell r="DZ20">
            <v>744</v>
          </cell>
          <cell r="EA20">
            <v>720</v>
          </cell>
          <cell r="EB20">
            <v>744</v>
          </cell>
          <cell r="EC20">
            <v>721</v>
          </cell>
          <cell r="ED20">
            <v>744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--- Workpapers --&gt;"/>
      <sheetName val="Inter-Hour Costs"/>
      <sheetName val="Comparison"/>
    </sheetNames>
    <sheetDataSet>
      <sheetData sheetId="0">
        <row r="9">
          <cell r="B9">
            <v>2016</v>
          </cell>
          <cell r="C9">
            <v>1070894.6197776794</v>
          </cell>
          <cell r="D9">
            <v>1004187</v>
          </cell>
          <cell r="E9">
            <v>1.07</v>
          </cell>
          <cell r="F9">
            <v>0.72</v>
          </cell>
          <cell r="G9">
            <v>1.79</v>
          </cell>
        </row>
        <row r="10">
          <cell r="B10">
            <v>2017</v>
          </cell>
          <cell r="C10">
            <v>637775.26784276962</v>
          </cell>
          <cell r="D10">
            <v>1001443</v>
          </cell>
          <cell r="E10">
            <v>0.64</v>
          </cell>
          <cell r="F10">
            <v>0.74</v>
          </cell>
          <cell r="G10">
            <v>1.38</v>
          </cell>
        </row>
        <row r="11">
          <cell r="B11">
            <v>2018</v>
          </cell>
          <cell r="C11">
            <v>853822.56625747681</v>
          </cell>
          <cell r="D11">
            <v>1001443</v>
          </cell>
          <cell r="E11">
            <v>0.85</v>
          </cell>
          <cell r="F11">
            <v>0.76</v>
          </cell>
          <cell r="G11">
            <v>1.61</v>
          </cell>
        </row>
        <row r="12">
          <cell r="B12">
            <v>2019</v>
          </cell>
          <cell r="C12">
            <v>940543.17065858841</v>
          </cell>
          <cell r="D12">
            <v>1001443</v>
          </cell>
          <cell r="E12">
            <v>0.94</v>
          </cell>
          <cell r="F12">
            <v>0.77</v>
          </cell>
          <cell r="G12">
            <v>1.71</v>
          </cell>
        </row>
        <row r="13">
          <cell r="B13">
            <v>2020</v>
          </cell>
          <cell r="C13">
            <v>816918.58770799637</v>
          </cell>
          <cell r="D13">
            <v>1004187</v>
          </cell>
          <cell r="E13">
            <v>0.81</v>
          </cell>
          <cell r="F13">
            <v>0.79</v>
          </cell>
          <cell r="G13">
            <v>1.6</v>
          </cell>
        </row>
        <row r="14">
          <cell r="B14">
            <v>2021</v>
          </cell>
          <cell r="C14">
            <v>775485.05723237991</v>
          </cell>
          <cell r="D14">
            <v>1001443</v>
          </cell>
          <cell r="E14">
            <v>0.77</v>
          </cell>
          <cell r="F14">
            <v>0.8</v>
          </cell>
          <cell r="G14">
            <v>1.57</v>
          </cell>
        </row>
        <row r="15">
          <cell r="B15">
            <v>2022</v>
          </cell>
          <cell r="C15">
            <v>852508.9901638031</v>
          </cell>
          <cell r="D15">
            <v>1001443</v>
          </cell>
          <cell r="E15">
            <v>0.85</v>
          </cell>
          <cell r="F15">
            <v>0.82</v>
          </cell>
          <cell r="G15">
            <v>1.67</v>
          </cell>
        </row>
        <row r="16">
          <cell r="B16">
            <v>2023</v>
          </cell>
          <cell r="C16">
            <v>1091184.5740764141</v>
          </cell>
          <cell r="D16">
            <v>1001443</v>
          </cell>
          <cell r="E16">
            <v>1.0900000000000001</v>
          </cell>
          <cell r="F16">
            <v>0.84</v>
          </cell>
          <cell r="G16">
            <v>1.93</v>
          </cell>
        </row>
        <row r="17">
          <cell r="B17">
            <v>2024</v>
          </cell>
          <cell r="C17">
            <v>1121266.0328907967</v>
          </cell>
          <cell r="D17">
            <v>1004187</v>
          </cell>
          <cell r="E17">
            <v>1.1200000000000001</v>
          </cell>
          <cell r="F17">
            <v>0.86</v>
          </cell>
          <cell r="G17">
            <v>1.98</v>
          </cell>
        </row>
        <row r="18">
          <cell r="B18">
            <v>2025</v>
          </cell>
          <cell r="C18">
            <v>1161033.8250796795</v>
          </cell>
          <cell r="D18">
            <v>1001443</v>
          </cell>
          <cell r="E18">
            <v>1.1599999999999999</v>
          </cell>
          <cell r="F18">
            <v>0.88</v>
          </cell>
          <cell r="G18">
            <v>2.04</v>
          </cell>
        </row>
        <row r="19">
          <cell r="B19">
            <v>2026</v>
          </cell>
          <cell r="C19">
            <v>1331305.9140236378</v>
          </cell>
          <cell r="D19">
            <v>1001443</v>
          </cell>
          <cell r="E19">
            <v>1.33</v>
          </cell>
          <cell r="F19">
            <v>0.9</v>
          </cell>
          <cell r="G19">
            <v>2.23</v>
          </cell>
        </row>
        <row r="20">
          <cell r="B20">
            <v>2027</v>
          </cell>
          <cell r="C20">
            <v>1276339.587003231</v>
          </cell>
          <cell r="D20">
            <v>1001443</v>
          </cell>
          <cell r="E20">
            <v>1.27</v>
          </cell>
          <cell r="F20">
            <v>0.92</v>
          </cell>
          <cell r="G20">
            <v>2.19</v>
          </cell>
        </row>
        <row r="21">
          <cell r="B21">
            <v>2028</v>
          </cell>
          <cell r="C21">
            <v>1434278.5184135437</v>
          </cell>
          <cell r="D21">
            <v>1004187</v>
          </cell>
          <cell r="E21">
            <v>1.43</v>
          </cell>
          <cell r="F21">
            <v>0.94</v>
          </cell>
          <cell r="G21">
            <v>2.37</v>
          </cell>
        </row>
        <row r="22">
          <cell r="B22">
            <v>2029</v>
          </cell>
          <cell r="C22">
            <v>1822277.9005999565</v>
          </cell>
          <cell r="D22">
            <v>1001443</v>
          </cell>
          <cell r="E22">
            <v>1.82</v>
          </cell>
          <cell r="F22">
            <v>0.96</v>
          </cell>
          <cell r="G22">
            <v>2.78</v>
          </cell>
        </row>
        <row r="23">
          <cell r="B23">
            <v>2030</v>
          </cell>
          <cell r="C23">
            <v>2221144.1869721413</v>
          </cell>
          <cell r="D23">
            <v>1001443</v>
          </cell>
          <cell r="E23">
            <v>2.2200000000000002</v>
          </cell>
          <cell r="F23">
            <v>0.98</v>
          </cell>
          <cell r="G23">
            <v>3.2</v>
          </cell>
        </row>
        <row r="24">
          <cell r="B24">
            <v>2031</v>
          </cell>
          <cell r="C24">
            <v>2400473.9962244034</v>
          </cell>
          <cell r="D24">
            <v>1001443</v>
          </cell>
          <cell r="E24">
            <v>2.4</v>
          </cell>
          <cell r="F24">
            <v>1</v>
          </cell>
          <cell r="G24">
            <v>3.4</v>
          </cell>
        </row>
        <row r="25">
          <cell r="B25">
            <v>2032</v>
          </cell>
          <cell r="C25">
            <v>2683497.1803832054</v>
          </cell>
          <cell r="D25">
            <v>1004187</v>
          </cell>
          <cell r="E25">
            <v>2.67</v>
          </cell>
          <cell r="F25">
            <v>1.03</v>
          </cell>
          <cell r="G25">
            <v>3.7</v>
          </cell>
        </row>
        <row r="26">
          <cell r="B26">
            <v>2033</v>
          </cell>
          <cell r="C26">
            <v>2210398.0531849861</v>
          </cell>
          <cell r="D26">
            <v>1001443</v>
          </cell>
          <cell r="E26">
            <v>2.21</v>
          </cell>
          <cell r="F26">
            <v>1.05</v>
          </cell>
          <cell r="G26">
            <v>3.26</v>
          </cell>
        </row>
        <row r="27">
          <cell r="B27">
            <v>2034</v>
          </cell>
          <cell r="C27">
            <v>1840498.7240619659</v>
          </cell>
          <cell r="D27">
            <v>1001443</v>
          </cell>
          <cell r="E27">
            <v>1.84</v>
          </cell>
          <cell r="F27">
            <v>1.08</v>
          </cell>
          <cell r="G27">
            <v>2.92</v>
          </cell>
        </row>
        <row r="28">
          <cell r="B28">
            <v>2035</v>
          </cell>
          <cell r="C28">
            <v>1866309.3682813644</v>
          </cell>
          <cell r="D28">
            <v>1001443</v>
          </cell>
          <cell r="E28">
            <v>1.86</v>
          </cell>
          <cell r="F28">
            <v>1.1000000000000001</v>
          </cell>
          <cell r="G28">
            <v>2.96</v>
          </cell>
        </row>
        <row r="29">
          <cell r="B29">
            <v>2036</v>
          </cell>
          <cell r="C29">
            <v>2157645.9246892929</v>
          </cell>
          <cell r="D29">
            <v>1004187</v>
          </cell>
          <cell r="E29">
            <v>2.15</v>
          </cell>
          <cell r="F29">
            <v>1.1299999999999999</v>
          </cell>
          <cell r="G29">
            <v>3.28</v>
          </cell>
        </row>
        <row r="30">
          <cell r="B30">
            <v>2037</v>
          </cell>
          <cell r="C30">
            <v>2446093.5227761269</v>
          </cell>
          <cell r="D30">
            <v>1001443</v>
          </cell>
          <cell r="E30">
            <v>2.44</v>
          </cell>
          <cell r="F30">
            <v>1.1499999999999999</v>
          </cell>
          <cell r="G30">
            <v>3.59</v>
          </cell>
        </row>
        <row r="31">
          <cell r="B31">
            <v>2038</v>
          </cell>
          <cell r="C31">
            <v>1999655.3641805649</v>
          </cell>
          <cell r="D31">
            <v>1001443</v>
          </cell>
          <cell r="E31">
            <v>2</v>
          </cell>
          <cell r="F31">
            <v>1.18</v>
          </cell>
          <cell r="G31">
            <v>3.18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Data"/>
      <sheetName val="NPC Version Log"/>
      <sheetName val="Summary"/>
      <sheetName val="Profile"/>
      <sheetName val="Delta"/>
      <sheetName val="L&amp;R"/>
      <sheetName val="Base"/>
      <sheetName val="Check LTC"/>
      <sheetName val="Thermal Derates"/>
      <sheetName val="GRID Hydro Gen Peak"/>
      <sheetName val="GRID Load Peak"/>
      <sheetName val="GRID LTC Availability Min"/>
      <sheetName val="GRID LTC Availability Peak"/>
      <sheetName val="GRID LTC Dispatch Peak"/>
      <sheetName val="GRID Nameplate"/>
      <sheetName val="GRID Plant Outage Peak"/>
      <sheetName val="GRID ResReq Margin Peak"/>
      <sheetName val="GRID ResReq NoSpin Peak"/>
      <sheetName val="GRID ResReq Spin Peak"/>
      <sheetName val="GRID STF Purchases Peak"/>
      <sheetName val="GRID STF Sales Peak"/>
      <sheetName val="GRID Thermal Avail Peak"/>
      <sheetName val="GRID Hydro Generation (MWH)"/>
      <sheetName val="GRID Load (MWH)"/>
      <sheetName val="GRID LTC Availability (MWH)"/>
      <sheetName val="GRID LTC Dispatch (MWH)"/>
      <sheetName val="GRID Plant Outage (MWH)"/>
      <sheetName val="GRID Ready Res (MWH)"/>
      <sheetName val="GRID ResReq Margin (MWH)"/>
      <sheetName val="GRID Spinning Res (MWH)"/>
      <sheetName val="GRID STF Purchases (MWH)"/>
      <sheetName val="GRID STF Sales (MWH)"/>
      <sheetName val="GRID Thermal Availability (MWH)"/>
      <sheetName val="MacroBuilder"/>
      <sheetName val="on off peak hours"/>
    </sheetNames>
    <sheetDataSet>
      <sheetData sheetId="0">
        <row r="7">
          <cell r="D7" t="str">
            <v>Ut Sch 37 - 05a - Base Case _2013 05 10 (Plants) (L&amp;R)</v>
          </cell>
        </row>
      </sheetData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>
        <row r="15">
          <cell r="C15">
            <v>40909</v>
          </cell>
          <cell r="D15">
            <v>40940</v>
          </cell>
          <cell r="E15">
            <v>40969</v>
          </cell>
          <cell r="F15">
            <v>41000</v>
          </cell>
          <cell r="G15">
            <v>41030</v>
          </cell>
          <cell r="H15">
            <v>41061</v>
          </cell>
          <cell r="I15">
            <v>41091</v>
          </cell>
          <cell r="J15">
            <v>41122</v>
          </cell>
          <cell r="K15">
            <v>41153</v>
          </cell>
          <cell r="L15">
            <v>41183</v>
          </cell>
          <cell r="M15">
            <v>41214</v>
          </cell>
          <cell r="N15">
            <v>41244</v>
          </cell>
          <cell r="O15">
            <v>41275</v>
          </cell>
          <cell r="P15">
            <v>41306</v>
          </cell>
          <cell r="Q15">
            <v>41334</v>
          </cell>
          <cell r="R15">
            <v>41365</v>
          </cell>
          <cell r="S15">
            <v>41395</v>
          </cell>
          <cell r="T15">
            <v>41426</v>
          </cell>
          <cell r="U15">
            <v>41456</v>
          </cell>
          <cell r="V15">
            <v>41487</v>
          </cell>
          <cell r="W15">
            <v>41518</v>
          </cell>
          <cell r="X15">
            <v>41548</v>
          </cell>
          <cell r="Y15">
            <v>41579</v>
          </cell>
          <cell r="Z15">
            <v>41609</v>
          </cell>
          <cell r="AA15">
            <v>41640</v>
          </cell>
          <cell r="AB15">
            <v>41671</v>
          </cell>
          <cell r="AC15">
            <v>41699</v>
          </cell>
          <cell r="AD15">
            <v>41730</v>
          </cell>
          <cell r="AE15">
            <v>41760</v>
          </cell>
          <cell r="AF15">
            <v>41791</v>
          </cell>
          <cell r="AG15">
            <v>41821</v>
          </cell>
          <cell r="AH15">
            <v>41852</v>
          </cell>
          <cell r="AI15">
            <v>41883</v>
          </cell>
          <cell r="AJ15">
            <v>41913</v>
          </cell>
          <cell r="AK15">
            <v>41944</v>
          </cell>
          <cell r="AL15">
            <v>41974</v>
          </cell>
          <cell r="AM15">
            <v>42005</v>
          </cell>
          <cell r="AN15">
            <v>42036</v>
          </cell>
          <cell r="AO15">
            <v>42064</v>
          </cell>
          <cell r="AP15">
            <v>42095</v>
          </cell>
          <cell r="AQ15">
            <v>42125</v>
          </cell>
          <cell r="AR15">
            <v>42156</v>
          </cell>
          <cell r="AS15">
            <v>42186</v>
          </cell>
          <cell r="AT15">
            <v>42217</v>
          </cell>
          <cell r="AU15">
            <v>42248</v>
          </cell>
          <cell r="AV15">
            <v>42278</v>
          </cell>
          <cell r="AW15">
            <v>42309</v>
          </cell>
          <cell r="AX15">
            <v>42339</v>
          </cell>
          <cell r="AY15">
            <v>42370</v>
          </cell>
          <cell r="AZ15">
            <v>42401</v>
          </cell>
          <cell r="BA15">
            <v>42430</v>
          </cell>
          <cell r="BB15">
            <v>42461</v>
          </cell>
          <cell r="BC15">
            <v>42491</v>
          </cell>
          <cell r="BD15">
            <v>42522</v>
          </cell>
          <cell r="BE15">
            <v>42552</v>
          </cell>
          <cell r="BF15">
            <v>42583</v>
          </cell>
          <cell r="BG15">
            <v>42614</v>
          </cell>
          <cell r="BH15">
            <v>42644</v>
          </cell>
          <cell r="BI15">
            <v>42675</v>
          </cell>
          <cell r="BJ15">
            <v>42705</v>
          </cell>
          <cell r="BK15">
            <v>42736</v>
          </cell>
          <cell r="BL15">
            <v>42767</v>
          </cell>
          <cell r="BM15">
            <v>42795</v>
          </cell>
          <cell r="BN15">
            <v>42826</v>
          </cell>
          <cell r="BO15">
            <v>42856</v>
          </cell>
          <cell r="BP15">
            <v>42887</v>
          </cell>
          <cell r="BQ15">
            <v>42917</v>
          </cell>
          <cell r="BR15">
            <v>42948</v>
          </cell>
          <cell r="BS15">
            <v>42979</v>
          </cell>
          <cell r="BT15">
            <v>43009</v>
          </cell>
          <cell r="BU15">
            <v>43040</v>
          </cell>
          <cell r="BV15">
            <v>43070</v>
          </cell>
          <cell r="BW15">
            <v>43101</v>
          </cell>
          <cell r="BX15">
            <v>43132</v>
          </cell>
          <cell r="BY15">
            <v>43160</v>
          </cell>
          <cell r="BZ15">
            <v>43191</v>
          </cell>
          <cell r="CA15">
            <v>43221</v>
          </cell>
          <cell r="CB15">
            <v>43252</v>
          </cell>
          <cell r="CC15">
            <v>43282</v>
          </cell>
          <cell r="CD15">
            <v>43313</v>
          </cell>
          <cell r="CE15">
            <v>43344</v>
          </cell>
          <cell r="CF15">
            <v>43374</v>
          </cell>
          <cell r="CG15">
            <v>43405</v>
          </cell>
          <cell r="CH15">
            <v>43435</v>
          </cell>
          <cell r="CI15">
            <v>43466</v>
          </cell>
          <cell r="CJ15">
            <v>43497</v>
          </cell>
          <cell r="CK15">
            <v>43525</v>
          </cell>
          <cell r="CL15">
            <v>43556</v>
          </cell>
          <cell r="CM15">
            <v>43586</v>
          </cell>
          <cell r="CN15">
            <v>43617</v>
          </cell>
          <cell r="CO15">
            <v>43647</v>
          </cell>
          <cell r="CP15">
            <v>43678</v>
          </cell>
          <cell r="CQ15">
            <v>43709</v>
          </cell>
          <cell r="CR15">
            <v>43739</v>
          </cell>
          <cell r="CS15">
            <v>43770</v>
          </cell>
          <cell r="CT15">
            <v>43800</v>
          </cell>
          <cell r="CU15">
            <v>43831</v>
          </cell>
          <cell r="CV15">
            <v>43862</v>
          </cell>
          <cell r="CW15">
            <v>43891</v>
          </cell>
          <cell r="CX15">
            <v>43922</v>
          </cell>
          <cell r="CY15">
            <v>43952</v>
          </cell>
          <cell r="CZ15">
            <v>43983</v>
          </cell>
          <cell r="DA15">
            <v>44013</v>
          </cell>
          <cell r="DB15">
            <v>44044</v>
          </cell>
          <cell r="DC15">
            <v>44075</v>
          </cell>
          <cell r="DD15">
            <v>44105</v>
          </cell>
          <cell r="DE15">
            <v>44136</v>
          </cell>
          <cell r="DF15">
            <v>44166</v>
          </cell>
          <cell r="DG15">
            <v>44197</v>
          </cell>
          <cell r="DH15">
            <v>44228</v>
          </cell>
          <cell r="DI15">
            <v>44256</v>
          </cell>
          <cell r="DJ15">
            <v>44287</v>
          </cell>
          <cell r="DK15">
            <v>44317</v>
          </cell>
          <cell r="DL15">
            <v>44348</v>
          </cell>
          <cell r="DM15">
            <v>44378</v>
          </cell>
          <cell r="DN15">
            <v>44409</v>
          </cell>
          <cell r="DO15">
            <v>44440</v>
          </cell>
          <cell r="DP15">
            <v>44470</v>
          </cell>
          <cell r="DQ15">
            <v>44501</v>
          </cell>
          <cell r="DR15">
            <v>44531</v>
          </cell>
          <cell r="DS15">
            <v>44562</v>
          </cell>
          <cell r="DT15">
            <v>44593</v>
          </cell>
          <cell r="DU15">
            <v>44621</v>
          </cell>
          <cell r="DV15">
            <v>44652</v>
          </cell>
          <cell r="DW15">
            <v>44682</v>
          </cell>
          <cell r="DX15">
            <v>44713</v>
          </cell>
          <cell r="DY15">
            <v>44743</v>
          </cell>
          <cell r="DZ15">
            <v>44774</v>
          </cell>
          <cell r="EA15">
            <v>44805</v>
          </cell>
          <cell r="EB15">
            <v>44835</v>
          </cell>
          <cell r="EC15">
            <v>44866</v>
          </cell>
          <cell r="ED15">
            <v>44896</v>
          </cell>
        </row>
        <row r="16">
          <cell r="C16">
            <v>400</v>
          </cell>
          <cell r="D16">
            <v>400</v>
          </cell>
          <cell r="E16">
            <v>432</v>
          </cell>
          <cell r="F16">
            <v>400</v>
          </cell>
          <cell r="G16">
            <v>416</v>
          </cell>
          <cell r="H16">
            <v>416</v>
          </cell>
          <cell r="I16">
            <v>400</v>
          </cell>
          <cell r="J16">
            <v>432</v>
          </cell>
          <cell r="K16">
            <v>384</v>
          </cell>
          <cell r="L16">
            <v>432</v>
          </cell>
          <cell r="M16">
            <v>400</v>
          </cell>
          <cell r="N16">
            <v>400</v>
          </cell>
          <cell r="O16">
            <v>416</v>
          </cell>
          <cell r="P16">
            <v>384</v>
          </cell>
          <cell r="Q16">
            <v>416</v>
          </cell>
          <cell r="R16">
            <v>416</v>
          </cell>
          <cell r="S16">
            <v>416</v>
          </cell>
          <cell r="T16">
            <v>400</v>
          </cell>
          <cell r="U16">
            <v>416</v>
          </cell>
          <cell r="V16">
            <v>432</v>
          </cell>
          <cell r="W16">
            <v>384</v>
          </cell>
          <cell r="X16">
            <v>432</v>
          </cell>
          <cell r="Y16">
            <v>400</v>
          </cell>
          <cell r="Z16">
            <v>400</v>
          </cell>
          <cell r="AA16">
            <v>416</v>
          </cell>
          <cell r="AB16">
            <v>384</v>
          </cell>
          <cell r="AC16">
            <v>416</v>
          </cell>
          <cell r="AD16">
            <v>416</v>
          </cell>
          <cell r="AE16">
            <v>416</v>
          </cell>
          <cell r="AF16">
            <v>400</v>
          </cell>
          <cell r="AG16">
            <v>416</v>
          </cell>
          <cell r="AH16">
            <v>416</v>
          </cell>
          <cell r="AI16">
            <v>400</v>
          </cell>
          <cell r="AJ16">
            <v>432</v>
          </cell>
          <cell r="AK16">
            <v>384</v>
          </cell>
          <cell r="AL16">
            <v>416</v>
          </cell>
          <cell r="AM16">
            <v>416</v>
          </cell>
          <cell r="AN16">
            <v>384</v>
          </cell>
          <cell r="AO16">
            <v>416</v>
          </cell>
          <cell r="AP16">
            <v>416</v>
          </cell>
          <cell r="AQ16">
            <v>400</v>
          </cell>
          <cell r="AR16">
            <v>416</v>
          </cell>
          <cell r="AS16">
            <v>416</v>
          </cell>
          <cell r="AT16">
            <v>416</v>
          </cell>
          <cell r="AU16">
            <v>400</v>
          </cell>
          <cell r="AV16">
            <v>432</v>
          </cell>
          <cell r="AW16">
            <v>384</v>
          </cell>
          <cell r="AX16">
            <v>416</v>
          </cell>
          <cell r="AY16">
            <v>400</v>
          </cell>
          <cell r="AZ16">
            <v>400</v>
          </cell>
          <cell r="BA16">
            <v>432</v>
          </cell>
          <cell r="BB16">
            <v>416</v>
          </cell>
          <cell r="BC16">
            <v>400</v>
          </cell>
          <cell r="BD16">
            <v>416</v>
          </cell>
          <cell r="BE16">
            <v>400</v>
          </cell>
          <cell r="BF16">
            <v>432</v>
          </cell>
          <cell r="BG16">
            <v>400</v>
          </cell>
          <cell r="BH16">
            <v>416</v>
          </cell>
          <cell r="BI16">
            <v>400</v>
          </cell>
          <cell r="BJ16">
            <v>416</v>
          </cell>
          <cell r="BK16">
            <v>400</v>
          </cell>
          <cell r="BL16">
            <v>384</v>
          </cell>
          <cell r="BM16">
            <v>432</v>
          </cell>
          <cell r="BN16">
            <v>400</v>
          </cell>
          <cell r="BO16">
            <v>416</v>
          </cell>
          <cell r="BP16">
            <v>416</v>
          </cell>
          <cell r="BQ16">
            <v>400</v>
          </cell>
          <cell r="BR16">
            <v>432</v>
          </cell>
          <cell r="BS16">
            <v>400</v>
          </cell>
          <cell r="BT16">
            <v>416</v>
          </cell>
          <cell r="BU16">
            <v>400</v>
          </cell>
          <cell r="BV16">
            <v>400</v>
          </cell>
          <cell r="BW16">
            <v>416</v>
          </cell>
          <cell r="BX16">
            <v>384</v>
          </cell>
          <cell r="BY16">
            <v>432</v>
          </cell>
          <cell r="BZ16">
            <v>400</v>
          </cell>
          <cell r="CA16">
            <v>416</v>
          </cell>
          <cell r="CB16">
            <v>416</v>
          </cell>
          <cell r="CC16">
            <v>400</v>
          </cell>
          <cell r="CD16">
            <v>432</v>
          </cell>
          <cell r="CE16">
            <v>384</v>
          </cell>
          <cell r="CF16">
            <v>432</v>
          </cell>
          <cell r="CG16">
            <v>400</v>
          </cell>
          <cell r="CH16">
            <v>400</v>
          </cell>
          <cell r="CI16">
            <v>416</v>
          </cell>
          <cell r="CJ16">
            <v>384</v>
          </cell>
          <cell r="CK16">
            <v>416</v>
          </cell>
          <cell r="CL16">
            <v>416</v>
          </cell>
          <cell r="CM16">
            <v>416</v>
          </cell>
          <cell r="CN16">
            <v>400</v>
          </cell>
          <cell r="CO16">
            <v>416</v>
          </cell>
          <cell r="CP16">
            <v>432</v>
          </cell>
          <cell r="CQ16">
            <v>384</v>
          </cell>
          <cell r="CR16">
            <v>432</v>
          </cell>
          <cell r="CS16">
            <v>400</v>
          </cell>
          <cell r="CT16">
            <v>400</v>
          </cell>
          <cell r="CU16">
            <v>416</v>
          </cell>
          <cell r="CV16">
            <v>400</v>
          </cell>
          <cell r="CW16">
            <v>416</v>
          </cell>
          <cell r="CX16">
            <v>416</v>
          </cell>
          <cell r="CY16">
            <v>400</v>
          </cell>
          <cell r="CZ16">
            <v>416</v>
          </cell>
          <cell r="DA16">
            <v>416</v>
          </cell>
          <cell r="DB16">
            <v>416</v>
          </cell>
          <cell r="DC16">
            <v>400</v>
          </cell>
          <cell r="DD16">
            <v>432</v>
          </cell>
          <cell r="DE16">
            <v>384</v>
          </cell>
          <cell r="DF16">
            <v>416</v>
          </cell>
          <cell r="DG16">
            <v>400</v>
          </cell>
          <cell r="DH16">
            <v>384</v>
          </cell>
          <cell r="DI16">
            <v>432</v>
          </cell>
          <cell r="DJ16">
            <v>416</v>
          </cell>
          <cell r="DK16">
            <v>400</v>
          </cell>
          <cell r="DL16">
            <v>416</v>
          </cell>
          <cell r="DM16">
            <v>416</v>
          </cell>
          <cell r="DN16">
            <v>416</v>
          </cell>
          <cell r="DO16">
            <v>400</v>
          </cell>
          <cell r="DP16">
            <v>416</v>
          </cell>
          <cell r="DQ16">
            <v>400</v>
          </cell>
          <cell r="DR16">
            <v>416</v>
          </cell>
          <cell r="DS16">
            <v>400</v>
          </cell>
          <cell r="DT16">
            <v>384</v>
          </cell>
          <cell r="DU16">
            <v>432</v>
          </cell>
          <cell r="DV16">
            <v>416</v>
          </cell>
          <cell r="DW16">
            <v>400</v>
          </cell>
          <cell r="DX16">
            <v>416</v>
          </cell>
          <cell r="DY16">
            <v>400</v>
          </cell>
          <cell r="DZ16">
            <v>432</v>
          </cell>
          <cell r="EA16">
            <v>400</v>
          </cell>
          <cell r="EB16">
            <v>416</v>
          </cell>
          <cell r="EC16">
            <v>400</v>
          </cell>
          <cell r="ED16">
            <v>416</v>
          </cell>
        </row>
        <row r="17">
          <cell r="C17">
            <v>344</v>
          </cell>
          <cell r="D17">
            <v>296</v>
          </cell>
          <cell r="E17">
            <v>312</v>
          </cell>
          <cell r="F17">
            <v>320</v>
          </cell>
          <cell r="G17">
            <v>328</v>
          </cell>
          <cell r="H17">
            <v>304</v>
          </cell>
          <cell r="I17">
            <v>344</v>
          </cell>
          <cell r="J17">
            <v>312</v>
          </cell>
          <cell r="K17">
            <v>336</v>
          </cell>
          <cell r="L17">
            <v>312</v>
          </cell>
          <cell r="M17">
            <v>320</v>
          </cell>
          <cell r="N17">
            <v>344</v>
          </cell>
          <cell r="O17">
            <v>328</v>
          </cell>
          <cell r="P17">
            <v>288</v>
          </cell>
          <cell r="Q17">
            <v>328</v>
          </cell>
          <cell r="R17">
            <v>304</v>
          </cell>
          <cell r="S17">
            <v>328</v>
          </cell>
          <cell r="T17">
            <v>320</v>
          </cell>
          <cell r="U17">
            <v>328</v>
          </cell>
          <cell r="V17">
            <v>312</v>
          </cell>
          <cell r="W17">
            <v>336</v>
          </cell>
          <cell r="X17">
            <v>312</v>
          </cell>
          <cell r="Y17">
            <v>320</v>
          </cell>
          <cell r="Z17">
            <v>344</v>
          </cell>
          <cell r="AA17">
            <v>328</v>
          </cell>
          <cell r="AB17">
            <v>288</v>
          </cell>
          <cell r="AC17">
            <v>328</v>
          </cell>
          <cell r="AD17">
            <v>304</v>
          </cell>
          <cell r="AE17">
            <v>328</v>
          </cell>
          <cell r="AF17">
            <v>320</v>
          </cell>
          <cell r="AG17">
            <v>328</v>
          </cell>
          <cell r="AH17">
            <v>328</v>
          </cell>
          <cell r="AI17">
            <v>320</v>
          </cell>
          <cell r="AJ17">
            <v>312</v>
          </cell>
          <cell r="AK17">
            <v>336</v>
          </cell>
          <cell r="AL17">
            <v>328</v>
          </cell>
          <cell r="AM17">
            <v>328</v>
          </cell>
          <cell r="AN17">
            <v>288</v>
          </cell>
          <cell r="AO17">
            <v>328</v>
          </cell>
          <cell r="AP17">
            <v>304</v>
          </cell>
          <cell r="AQ17">
            <v>344</v>
          </cell>
          <cell r="AR17">
            <v>304</v>
          </cell>
          <cell r="AS17">
            <v>328</v>
          </cell>
          <cell r="AT17">
            <v>328</v>
          </cell>
          <cell r="AU17">
            <v>320</v>
          </cell>
          <cell r="AV17">
            <v>312</v>
          </cell>
          <cell r="AW17">
            <v>336</v>
          </cell>
          <cell r="AX17">
            <v>328</v>
          </cell>
          <cell r="AY17">
            <v>344</v>
          </cell>
          <cell r="AZ17">
            <v>296</v>
          </cell>
          <cell r="BA17">
            <v>312</v>
          </cell>
          <cell r="BB17">
            <v>304</v>
          </cell>
          <cell r="BC17">
            <v>344</v>
          </cell>
          <cell r="BD17">
            <v>304</v>
          </cell>
          <cell r="BE17">
            <v>344</v>
          </cell>
          <cell r="BF17">
            <v>312</v>
          </cell>
          <cell r="BG17">
            <v>320</v>
          </cell>
          <cell r="BH17">
            <v>328</v>
          </cell>
          <cell r="BI17">
            <v>320</v>
          </cell>
          <cell r="BJ17">
            <v>328</v>
          </cell>
          <cell r="BK17">
            <v>344</v>
          </cell>
          <cell r="BL17">
            <v>288</v>
          </cell>
          <cell r="BM17">
            <v>312</v>
          </cell>
          <cell r="BN17">
            <v>320</v>
          </cell>
          <cell r="BO17">
            <v>328</v>
          </cell>
          <cell r="BP17">
            <v>304</v>
          </cell>
          <cell r="BQ17">
            <v>344</v>
          </cell>
          <cell r="BR17">
            <v>312</v>
          </cell>
          <cell r="BS17">
            <v>320</v>
          </cell>
          <cell r="BT17">
            <v>328</v>
          </cell>
          <cell r="BU17">
            <v>320</v>
          </cell>
          <cell r="BV17">
            <v>344</v>
          </cell>
          <cell r="BW17">
            <v>328</v>
          </cell>
          <cell r="BX17">
            <v>288</v>
          </cell>
          <cell r="BY17">
            <v>312</v>
          </cell>
          <cell r="BZ17">
            <v>320</v>
          </cell>
          <cell r="CA17">
            <v>328</v>
          </cell>
          <cell r="CB17">
            <v>304</v>
          </cell>
          <cell r="CC17">
            <v>344</v>
          </cell>
          <cell r="CD17">
            <v>312</v>
          </cell>
          <cell r="CE17">
            <v>336</v>
          </cell>
          <cell r="CF17">
            <v>312</v>
          </cell>
          <cell r="CG17">
            <v>320</v>
          </cell>
          <cell r="CH17">
            <v>344</v>
          </cell>
          <cell r="CI17">
            <v>328</v>
          </cell>
          <cell r="CJ17">
            <v>288</v>
          </cell>
          <cell r="CK17">
            <v>328</v>
          </cell>
          <cell r="CL17">
            <v>304</v>
          </cell>
          <cell r="CM17">
            <v>328</v>
          </cell>
          <cell r="CN17">
            <v>320</v>
          </cell>
          <cell r="CO17">
            <v>328</v>
          </cell>
          <cell r="CP17">
            <v>312</v>
          </cell>
          <cell r="CQ17">
            <v>336</v>
          </cell>
          <cell r="CR17">
            <v>312</v>
          </cell>
          <cell r="CS17">
            <v>320</v>
          </cell>
          <cell r="CT17">
            <v>344</v>
          </cell>
          <cell r="CU17">
            <v>328</v>
          </cell>
          <cell r="CV17">
            <v>296</v>
          </cell>
          <cell r="CW17">
            <v>328</v>
          </cell>
          <cell r="CX17">
            <v>304</v>
          </cell>
          <cell r="CY17">
            <v>344</v>
          </cell>
          <cell r="CZ17">
            <v>304</v>
          </cell>
          <cell r="DA17">
            <v>328</v>
          </cell>
          <cell r="DB17">
            <v>328</v>
          </cell>
          <cell r="DC17">
            <v>320</v>
          </cell>
          <cell r="DD17">
            <v>312</v>
          </cell>
          <cell r="DE17">
            <v>336</v>
          </cell>
          <cell r="DF17">
            <v>328</v>
          </cell>
          <cell r="DG17">
            <v>344</v>
          </cell>
          <cell r="DH17">
            <v>288</v>
          </cell>
          <cell r="DI17">
            <v>312</v>
          </cell>
          <cell r="DJ17">
            <v>304</v>
          </cell>
          <cell r="DK17">
            <v>344</v>
          </cell>
          <cell r="DL17">
            <v>304</v>
          </cell>
          <cell r="DM17">
            <v>328</v>
          </cell>
          <cell r="DN17">
            <v>328</v>
          </cell>
          <cell r="DO17">
            <v>320</v>
          </cell>
          <cell r="DP17">
            <v>328</v>
          </cell>
          <cell r="DQ17">
            <v>320</v>
          </cell>
          <cell r="DR17">
            <v>328</v>
          </cell>
          <cell r="DS17">
            <v>344</v>
          </cell>
          <cell r="DT17">
            <v>288</v>
          </cell>
          <cell r="DU17">
            <v>312</v>
          </cell>
          <cell r="DV17">
            <v>304</v>
          </cell>
          <cell r="DW17">
            <v>344</v>
          </cell>
          <cell r="DX17">
            <v>304</v>
          </cell>
          <cell r="DY17">
            <v>344</v>
          </cell>
          <cell r="DZ17">
            <v>312</v>
          </cell>
          <cell r="EA17">
            <v>320</v>
          </cell>
          <cell r="EB17">
            <v>328</v>
          </cell>
          <cell r="EC17">
            <v>320</v>
          </cell>
          <cell r="ED17">
            <v>328</v>
          </cell>
        </row>
        <row r="18">
          <cell r="C18">
            <v>744</v>
          </cell>
          <cell r="D18">
            <v>696</v>
          </cell>
          <cell r="E18">
            <v>744</v>
          </cell>
          <cell r="F18">
            <v>720</v>
          </cell>
          <cell r="G18">
            <v>744</v>
          </cell>
          <cell r="H18">
            <v>720</v>
          </cell>
          <cell r="I18">
            <v>744</v>
          </cell>
          <cell r="J18">
            <v>744</v>
          </cell>
          <cell r="K18">
            <v>720</v>
          </cell>
          <cell r="L18">
            <v>744</v>
          </cell>
          <cell r="M18">
            <v>720</v>
          </cell>
          <cell r="N18">
            <v>744</v>
          </cell>
          <cell r="O18">
            <v>744</v>
          </cell>
          <cell r="P18">
            <v>672</v>
          </cell>
          <cell r="Q18">
            <v>744</v>
          </cell>
          <cell r="R18">
            <v>720</v>
          </cell>
          <cell r="S18">
            <v>744</v>
          </cell>
          <cell r="T18">
            <v>720</v>
          </cell>
          <cell r="U18">
            <v>744</v>
          </cell>
          <cell r="V18">
            <v>744</v>
          </cell>
          <cell r="W18">
            <v>720</v>
          </cell>
          <cell r="X18">
            <v>744</v>
          </cell>
          <cell r="Y18">
            <v>720</v>
          </cell>
          <cell r="Z18">
            <v>744</v>
          </cell>
          <cell r="AA18">
            <v>744</v>
          </cell>
          <cell r="AB18">
            <v>672</v>
          </cell>
          <cell r="AC18">
            <v>744</v>
          </cell>
          <cell r="AD18">
            <v>720</v>
          </cell>
          <cell r="AE18">
            <v>744</v>
          </cell>
          <cell r="AF18">
            <v>720</v>
          </cell>
          <cell r="AG18">
            <v>744</v>
          </cell>
          <cell r="AH18">
            <v>744</v>
          </cell>
          <cell r="AI18">
            <v>720</v>
          </cell>
          <cell r="AJ18">
            <v>744</v>
          </cell>
          <cell r="AK18">
            <v>720</v>
          </cell>
          <cell r="AL18">
            <v>744</v>
          </cell>
          <cell r="AM18">
            <v>744</v>
          </cell>
          <cell r="AN18">
            <v>672</v>
          </cell>
          <cell r="AO18">
            <v>744</v>
          </cell>
          <cell r="AP18">
            <v>720</v>
          </cell>
          <cell r="AQ18">
            <v>744</v>
          </cell>
          <cell r="AR18">
            <v>720</v>
          </cell>
          <cell r="AS18">
            <v>744</v>
          </cell>
          <cell r="AT18">
            <v>744</v>
          </cell>
          <cell r="AU18">
            <v>720</v>
          </cell>
          <cell r="AV18">
            <v>744</v>
          </cell>
          <cell r="AW18">
            <v>720</v>
          </cell>
          <cell r="AX18">
            <v>744</v>
          </cell>
          <cell r="AY18">
            <v>744</v>
          </cell>
          <cell r="AZ18">
            <v>696</v>
          </cell>
          <cell r="BA18">
            <v>744</v>
          </cell>
          <cell r="BB18">
            <v>720</v>
          </cell>
          <cell r="BC18">
            <v>744</v>
          </cell>
          <cell r="BD18">
            <v>720</v>
          </cell>
          <cell r="BE18">
            <v>744</v>
          </cell>
          <cell r="BF18">
            <v>744</v>
          </cell>
          <cell r="BG18">
            <v>720</v>
          </cell>
          <cell r="BH18">
            <v>744</v>
          </cell>
          <cell r="BI18">
            <v>720</v>
          </cell>
          <cell r="BJ18">
            <v>744</v>
          </cell>
          <cell r="BK18">
            <v>744</v>
          </cell>
          <cell r="BL18">
            <v>672</v>
          </cell>
          <cell r="BM18">
            <v>744</v>
          </cell>
          <cell r="BN18">
            <v>720</v>
          </cell>
          <cell r="BO18">
            <v>744</v>
          </cell>
          <cell r="BP18">
            <v>720</v>
          </cell>
          <cell r="BQ18">
            <v>744</v>
          </cell>
          <cell r="BR18">
            <v>744</v>
          </cell>
          <cell r="BS18">
            <v>720</v>
          </cell>
          <cell r="BT18">
            <v>744</v>
          </cell>
          <cell r="BU18">
            <v>720</v>
          </cell>
          <cell r="BV18">
            <v>744</v>
          </cell>
          <cell r="BW18">
            <v>744</v>
          </cell>
          <cell r="BX18">
            <v>672</v>
          </cell>
          <cell r="BY18">
            <v>744</v>
          </cell>
          <cell r="BZ18">
            <v>720</v>
          </cell>
          <cell r="CA18">
            <v>744</v>
          </cell>
          <cell r="CB18">
            <v>720</v>
          </cell>
          <cell r="CC18">
            <v>744</v>
          </cell>
          <cell r="CD18">
            <v>744</v>
          </cell>
          <cell r="CE18">
            <v>720</v>
          </cell>
          <cell r="CF18">
            <v>744</v>
          </cell>
          <cell r="CG18">
            <v>720</v>
          </cell>
          <cell r="CH18">
            <v>744</v>
          </cell>
          <cell r="CI18">
            <v>744</v>
          </cell>
          <cell r="CJ18">
            <v>672</v>
          </cell>
          <cell r="CK18">
            <v>744</v>
          </cell>
          <cell r="CL18">
            <v>720</v>
          </cell>
          <cell r="CM18">
            <v>744</v>
          </cell>
          <cell r="CN18">
            <v>720</v>
          </cell>
          <cell r="CO18">
            <v>744</v>
          </cell>
          <cell r="CP18">
            <v>744</v>
          </cell>
          <cell r="CQ18">
            <v>720</v>
          </cell>
          <cell r="CR18">
            <v>744</v>
          </cell>
          <cell r="CS18">
            <v>720</v>
          </cell>
          <cell r="CT18">
            <v>744</v>
          </cell>
          <cell r="CU18">
            <v>744</v>
          </cell>
          <cell r="CV18">
            <v>696</v>
          </cell>
          <cell r="CW18">
            <v>744</v>
          </cell>
          <cell r="CX18">
            <v>720</v>
          </cell>
          <cell r="CY18">
            <v>744</v>
          </cell>
          <cell r="CZ18">
            <v>720</v>
          </cell>
          <cell r="DA18">
            <v>744</v>
          </cell>
          <cell r="DB18">
            <v>744</v>
          </cell>
          <cell r="DC18">
            <v>720</v>
          </cell>
          <cell r="DD18">
            <v>744</v>
          </cell>
          <cell r="DE18">
            <v>720</v>
          </cell>
          <cell r="DF18">
            <v>744</v>
          </cell>
          <cell r="DG18">
            <v>744</v>
          </cell>
          <cell r="DH18">
            <v>672</v>
          </cell>
          <cell r="DI18">
            <v>744</v>
          </cell>
          <cell r="DJ18">
            <v>720</v>
          </cell>
          <cell r="DK18">
            <v>744</v>
          </cell>
          <cell r="DL18">
            <v>720</v>
          </cell>
          <cell r="DM18">
            <v>744</v>
          </cell>
          <cell r="DN18">
            <v>744</v>
          </cell>
          <cell r="DO18">
            <v>720</v>
          </cell>
          <cell r="DP18">
            <v>744</v>
          </cell>
          <cell r="DQ18">
            <v>720</v>
          </cell>
          <cell r="DR18">
            <v>744</v>
          </cell>
          <cell r="DS18">
            <v>744</v>
          </cell>
          <cell r="DT18">
            <v>672</v>
          </cell>
          <cell r="DU18">
            <v>744</v>
          </cell>
          <cell r="DV18">
            <v>720</v>
          </cell>
          <cell r="DW18">
            <v>744</v>
          </cell>
          <cell r="DX18">
            <v>720</v>
          </cell>
          <cell r="DY18">
            <v>744</v>
          </cell>
          <cell r="DZ18">
            <v>744</v>
          </cell>
          <cell r="EA18">
            <v>720</v>
          </cell>
          <cell r="EB18">
            <v>744</v>
          </cell>
          <cell r="EC18">
            <v>720</v>
          </cell>
          <cell r="ED18">
            <v>744</v>
          </cell>
        </row>
        <row r="19">
          <cell r="C19">
            <v>344</v>
          </cell>
          <cell r="D19">
            <v>296</v>
          </cell>
          <cell r="E19">
            <v>311</v>
          </cell>
          <cell r="F19">
            <v>320</v>
          </cell>
          <cell r="G19">
            <v>328</v>
          </cell>
          <cell r="H19">
            <v>304</v>
          </cell>
          <cell r="I19">
            <v>344</v>
          </cell>
          <cell r="J19">
            <v>312</v>
          </cell>
          <cell r="K19">
            <v>336</v>
          </cell>
          <cell r="L19">
            <v>312</v>
          </cell>
          <cell r="M19">
            <v>321</v>
          </cell>
          <cell r="N19">
            <v>344</v>
          </cell>
          <cell r="O19">
            <v>328</v>
          </cell>
          <cell r="P19">
            <v>288</v>
          </cell>
          <cell r="Q19">
            <v>327</v>
          </cell>
          <cell r="R19">
            <v>304</v>
          </cell>
          <cell r="S19">
            <v>328</v>
          </cell>
          <cell r="T19">
            <v>320</v>
          </cell>
          <cell r="U19">
            <v>328</v>
          </cell>
          <cell r="V19">
            <v>312</v>
          </cell>
          <cell r="W19">
            <v>336</v>
          </cell>
          <cell r="X19">
            <v>312</v>
          </cell>
          <cell r="Y19">
            <v>321</v>
          </cell>
          <cell r="Z19">
            <v>344</v>
          </cell>
          <cell r="AA19">
            <v>328</v>
          </cell>
          <cell r="AB19">
            <v>288</v>
          </cell>
          <cell r="AC19">
            <v>327</v>
          </cell>
          <cell r="AD19">
            <v>304</v>
          </cell>
          <cell r="AE19">
            <v>328</v>
          </cell>
          <cell r="AF19">
            <v>320</v>
          </cell>
          <cell r="AG19">
            <v>328</v>
          </cell>
          <cell r="AH19">
            <v>328</v>
          </cell>
          <cell r="AI19">
            <v>320</v>
          </cell>
          <cell r="AJ19">
            <v>312</v>
          </cell>
          <cell r="AK19">
            <v>337</v>
          </cell>
          <cell r="AL19">
            <v>328</v>
          </cell>
          <cell r="AM19">
            <v>328</v>
          </cell>
          <cell r="AN19">
            <v>288</v>
          </cell>
          <cell r="AO19">
            <v>327</v>
          </cell>
          <cell r="AP19">
            <v>304</v>
          </cell>
          <cell r="AQ19">
            <v>344</v>
          </cell>
          <cell r="AR19">
            <v>304</v>
          </cell>
          <cell r="AS19">
            <v>328</v>
          </cell>
          <cell r="AT19">
            <v>328</v>
          </cell>
          <cell r="AU19">
            <v>320</v>
          </cell>
          <cell r="AV19">
            <v>312</v>
          </cell>
          <cell r="AW19">
            <v>337</v>
          </cell>
          <cell r="AX19">
            <v>328</v>
          </cell>
          <cell r="AY19">
            <v>344</v>
          </cell>
          <cell r="AZ19">
            <v>296</v>
          </cell>
          <cell r="BA19">
            <v>311</v>
          </cell>
          <cell r="BB19">
            <v>304</v>
          </cell>
          <cell r="BC19">
            <v>344</v>
          </cell>
          <cell r="BD19">
            <v>304</v>
          </cell>
          <cell r="BE19">
            <v>344</v>
          </cell>
          <cell r="BF19">
            <v>312</v>
          </cell>
          <cell r="BG19">
            <v>320</v>
          </cell>
          <cell r="BH19">
            <v>328</v>
          </cell>
          <cell r="BI19">
            <v>321</v>
          </cell>
          <cell r="BJ19">
            <v>328</v>
          </cell>
          <cell r="BK19">
            <v>344</v>
          </cell>
          <cell r="BL19">
            <v>288</v>
          </cell>
          <cell r="BM19">
            <v>311</v>
          </cell>
          <cell r="BN19">
            <v>320</v>
          </cell>
          <cell r="BO19">
            <v>328</v>
          </cell>
          <cell r="BP19">
            <v>304</v>
          </cell>
          <cell r="BQ19">
            <v>344</v>
          </cell>
          <cell r="BR19">
            <v>312</v>
          </cell>
          <cell r="BS19">
            <v>320</v>
          </cell>
          <cell r="BT19">
            <v>328</v>
          </cell>
          <cell r="BU19">
            <v>321</v>
          </cell>
          <cell r="BV19">
            <v>344</v>
          </cell>
          <cell r="BW19">
            <v>328</v>
          </cell>
          <cell r="BX19">
            <v>288</v>
          </cell>
          <cell r="BY19">
            <v>311</v>
          </cell>
          <cell r="BZ19">
            <v>320</v>
          </cell>
          <cell r="CA19">
            <v>328</v>
          </cell>
          <cell r="CB19">
            <v>304</v>
          </cell>
          <cell r="CC19">
            <v>344</v>
          </cell>
          <cell r="CD19">
            <v>312</v>
          </cell>
          <cell r="CE19">
            <v>336</v>
          </cell>
          <cell r="CF19">
            <v>312</v>
          </cell>
          <cell r="CG19">
            <v>321</v>
          </cell>
          <cell r="CH19">
            <v>344</v>
          </cell>
          <cell r="CI19">
            <v>328</v>
          </cell>
          <cell r="CJ19">
            <v>288</v>
          </cell>
          <cell r="CK19">
            <v>327</v>
          </cell>
          <cell r="CL19">
            <v>304</v>
          </cell>
          <cell r="CM19">
            <v>328</v>
          </cell>
          <cell r="CN19">
            <v>320</v>
          </cell>
          <cell r="CO19">
            <v>328</v>
          </cell>
          <cell r="CP19">
            <v>312</v>
          </cell>
          <cell r="CQ19">
            <v>336</v>
          </cell>
          <cell r="CR19">
            <v>312</v>
          </cell>
          <cell r="CS19">
            <v>321</v>
          </cell>
          <cell r="CT19">
            <v>344</v>
          </cell>
          <cell r="CU19">
            <v>328</v>
          </cell>
          <cell r="CV19">
            <v>296</v>
          </cell>
          <cell r="CW19">
            <v>327</v>
          </cell>
          <cell r="CX19">
            <v>304</v>
          </cell>
          <cell r="CY19">
            <v>344</v>
          </cell>
          <cell r="CZ19">
            <v>304</v>
          </cell>
          <cell r="DA19">
            <v>328</v>
          </cell>
          <cell r="DB19">
            <v>328</v>
          </cell>
          <cell r="DC19">
            <v>320</v>
          </cell>
          <cell r="DD19">
            <v>312</v>
          </cell>
          <cell r="DE19">
            <v>337</v>
          </cell>
          <cell r="DF19">
            <v>328</v>
          </cell>
          <cell r="DG19">
            <v>344</v>
          </cell>
          <cell r="DH19">
            <v>288</v>
          </cell>
          <cell r="DI19">
            <v>311</v>
          </cell>
          <cell r="DJ19">
            <v>304</v>
          </cell>
          <cell r="DK19">
            <v>344</v>
          </cell>
          <cell r="DL19">
            <v>304</v>
          </cell>
          <cell r="DM19">
            <v>328</v>
          </cell>
          <cell r="DN19">
            <v>328</v>
          </cell>
          <cell r="DO19">
            <v>320</v>
          </cell>
          <cell r="DP19">
            <v>328</v>
          </cell>
          <cell r="DQ19">
            <v>321</v>
          </cell>
          <cell r="DR19">
            <v>328</v>
          </cell>
          <cell r="DS19">
            <v>344</v>
          </cell>
          <cell r="DT19">
            <v>288</v>
          </cell>
          <cell r="DU19">
            <v>311</v>
          </cell>
          <cell r="DV19">
            <v>304</v>
          </cell>
          <cell r="DW19">
            <v>344</v>
          </cell>
          <cell r="DX19">
            <v>304</v>
          </cell>
          <cell r="DY19">
            <v>344</v>
          </cell>
          <cell r="DZ19">
            <v>312</v>
          </cell>
          <cell r="EA19">
            <v>320</v>
          </cell>
          <cell r="EB19">
            <v>328</v>
          </cell>
          <cell r="EC19">
            <v>321</v>
          </cell>
          <cell r="ED19">
            <v>328</v>
          </cell>
        </row>
        <row r="20">
          <cell r="C20">
            <v>744</v>
          </cell>
          <cell r="D20">
            <v>696</v>
          </cell>
          <cell r="E20">
            <v>743</v>
          </cell>
          <cell r="F20">
            <v>720</v>
          </cell>
          <cell r="G20">
            <v>744</v>
          </cell>
          <cell r="H20">
            <v>720</v>
          </cell>
          <cell r="I20">
            <v>744</v>
          </cell>
          <cell r="J20">
            <v>744</v>
          </cell>
          <cell r="K20">
            <v>720</v>
          </cell>
          <cell r="L20">
            <v>744</v>
          </cell>
          <cell r="M20">
            <v>721</v>
          </cell>
          <cell r="N20">
            <v>744</v>
          </cell>
          <cell r="O20">
            <v>744</v>
          </cell>
          <cell r="P20">
            <v>672</v>
          </cell>
          <cell r="Q20">
            <v>743</v>
          </cell>
          <cell r="R20">
            <v>720</v>
          </cell>
          <cell r="S20">
            <v>744</v>
          </cell>
          <cell r="T20">
            <v>720</v>
          </cell>
          <cell r="U20">
            <v>744</v>
          </cell>
          <cell r="V20">
            <v>744</v>
          </cell>
          <cell r="W20">
            <v>720</v>
          </cell>
          <cell r="X20">
            <v>744</v>
          </cell>
          <cell r="Y20">
            <v>721</v>
          </cell>
          <cell r="Z20">
            <v>744</v>
          </cell>
          <cell r="AA20">
            <v>744</v>
          </cell>
          <cell r="AB20">
            <v>672</v>
          </cell>
          <cell r="AC20">
            <v>743</v>
          </cell>
          <cell r="AD20">
            <v>720</v>
          </cell>
          <cell r="AE20">
            <v>744</v>
          </cell>
          <cell r="AF20">
            <v>720</v>
          </cell>
          <cell r="AG20">
            <v>744</v>
          </cell>
          <cell r="AH20">
            <v>744</v>
          </cell>
          <cell r="AI20">
            <v>720</v>
          </cell>
          <cell r="AJ20">
            <v>744</v>
          </cell>
          <cell r="AK20">
            <v>721</v>
          </cell>
          <cell r="AL20">
            <v>744</v>
          </cell>
          <cell r="AM20">
            <v>744</v>
          </cell>
          <cell r="AN20">
            <v>672</v>
          </cell>
          <cell r="AO20">
            <v>743</v>
          </cell>
          <cell r="AP20">
            <v>720</v>
          </cell>
          <cell r="AQ20">
            <v>744</v>
          </cell>
          <cell r="AR20">
            <v>720</v>
          </cell>
          <cell r="AS20">
            <v>744</v>
          </cell>
          <cell r="AT20">
            <v>744</v>
          </cell>
          <cell r="AU20">
            <v>720</v>
          </cell>
          <cell r="AV20">
            <v>744</v>
          </cell>
          <cell r="AW20">
            <v>721</v>
          </cell>
          <cell r="AX20">
            <v>744</v>
          </cell>
          <cell r="AY20">
            <v>744</v>
          </cell>
          <cell r="AZ20">
            <v>696</v>
          </cell>
          <cell r="BA20">
            <v>743</v>
          </cell>
          <cell r="BB20">
            <v>720</v>
          </cell>
          <cell r="BC20">
            <v>744</v>
          </cell>
          <cell r="BD20">
            <v>720</v>
          </cell>
          <cell r="BE20">
            <v>744</v>
          </cell>
          <cell r="BF20">
            <v>744</v>
          </cell>
          <cell r="BG20">
            <v>720</v>
          </cell>
          <cell r="BH20">
            <v>744</v>
          </cell>
          <cell r="BI20">
            <v>721</v>
          </cell>
          <cell r="BJ20">
            <v>744</v>
          </cell>
          <cell r="BK20">
            <v>744</v>
          </cell>
          <cell r="BL20">
            <v>672</v>
          </cell>
          <cell r="BM20">
            <v>743</v>
          </cell>
          <cell r="BN20">
            <v>720</v>
          </cell>
          <cell r="BO20">
            <v>744</v>
          </cell>
          <cell r="BP20">
            <v>720</v>
          </cell>
          <cell r="BQ20">
            <v>744</v>
          </cell>
          <cell r="BR20">
            <v>744</v>
          </cell>
          <cell r="BS20">
            <v>720</v>
          </cell>
          <cell r="BT20">
            <v>744</v>
          </cell>
          <cell r="BU20">
            <v>721</v>
          </cell>
          <cell r="BV20">
            <v>744</v>
          </cell>
          <cell r="BW20">
            <v>744</v>
          </cell>
          <cell r="BX20">
            <v>672</v>
          </cell>
          <cell r="BY20">
            <v>743</v>
          </cell>
          <cell r="BZ20">
            <v>720</v>
          </cell>
          <cell r="CA20">
            <v>744</v>
          </cell>
          <cell r="CB20">
            <v>720</v>
          </cell>
          <cell r="CC20">
            <v>744</v>
          </cell>
          <cell r="CD20">
            <v>744</v>
          </cell>
          <cell r="CE20">
            <v>720</v>
          </cell>
          <cell r="CF20">
            <v>744</v>
          </cell>
          <cell r="CG20">
            <v>721</v>
          </cell>
          <cell r="CH20">
            <v>744</v>
          </cell>
          <cell r="CI20">
            <v>744</v>
          </cell>
          <cell r="CJ20">
            <v>672</v>
          </cell>
          <cell r="CK20">
            <v>743</v>
          </cell>
          <cell r="CL20">
            <v>720</v>
          </cell>
          <cell r="CM20">
            <v>744</v>
          </cell>
          <cell r="CN20">
            <v>720</v>
          </cell>
          <cell r="CO20">
            <v>744</v>
          </cell>
          <cell r="CP20">
            <v>744</v>
          </cell>
          <cell r="CQ20">
            <v>720</v>
          </cell>
          <cell r="CR20">
            <v>744</v>
          </cell>
          <cell r="CS20">
            <v>721</v>
          </cell>
          <cell r="CT20">
            <v>744</v>
          </cell>
          <cell r="CU20">
            <v>744</v>
          </cell>
          <cell r="CV20">
            <v>696</v>
          </cell>
          <cell r="CW20">
            <v>743</v>
          </cell>
          <cell r="CX20">
            <v>720</v>
          </cell>
          <cell r="CY20">
            <v>744</v>
          </cell>
          <cell r="CZ20">
            <v>720</v>
          </cell>
          <cell r="DA20">
            <v>744</v>
          </cell>
          <cell r="DB20">
            <v>744</v>
          </cell>
          <cell r="DC20">
            <v>720</v>
          </cell>
          <cell r="DD20">
            <v>744</v>
          </cell>
          <cell r="DE20">
            <v>721</v>
          </cell>
          <cell r="DF20">
            <v>744</v>
          </cell>
          <cell r="DG20">
            <v>744</v>
          </cell>
          <cell r="DH20">
            <v>672</v>
          </cell>
          <cell r="DI20">
            <v>743</v>
          </cell>
          <cell r="DJ20">
            <v>720</v>
          </cell>
          <cell r="DK20">
            <v>744</v>
          </cell>
          <cell r="DL20">
            <v>720</v>
          </cell>
          <cell r="DM20">
            <v>744</v>
          </cell>
          <cell r="DN20">
            <v>744</v>
          </cell>
          <cell r="DO20">
            <v>720</v>
          </cell>
          <cell r="DP20">
            <v>744</v>
          </cell>
          <cell r="DQ20">
            <v>721</v>
          </cell>
          <cell r="DR20">
            <v>744</v>
          </cell>
          <cell r="DS20">
            <v>744</v>
          </cell>
          <cell r="DT20">
            <v>672</v>
          </cell>
          <cell r="DU20">
            <v>743</v>
          </cell>
          <cell r="DV20">
            <v>720</v>
          </cell>
          <cell r="DW20">
            <v>744</v>
          </cell>
          <cell r="DX20">
            <v>720</v>
          </cell>
          <cell r="DY20">
            <v>744</v>
          </cell>
          <cell r="DZ20">
            <v>744</v>
          </cell>
          <cell r="EA20">
            <v>720</v>
          </cell>
          <cell r="EB20">
            <v>744</v>
          </cell>
          <cell r="EC20">
            <v>721</v>
          </cell>
          <cell r="ED20">
            <v>744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  <sheetName val="Table 2A BaseLoad"/>
      <sheetName val="Table 2B Wind"/>
      <sheetName val="Table 2C SolarFixed"/>
      <sheetName val="Table 2D SolarTracking"/>
      <sheetName val="Tables 3 to 6"/>
      <sheetName val="Table 7"/>
      <sheetName val="Table 8"/>
      <sheetName val="Table 9"/>
      <sheetName val="Table 10"/>
      <sheetName val="Table 11"/>
      <sheetName val="Table 12"/>
      <sheetName val="--- Do Not Print ---&gt;"/>
      <sheetName val="Tariff Page"/>
      <sheetName val="Tariff Page Wind"/>
      <sheetName val="Tariff Page Solar Fixed"/>
      <sheetName val="Tariff Page Solar Tracking"/>
      <sheetName val="OFPC Source"/>
      <sheetName val="Compare-Internal 1"/>
      <sheetName val="High Level Brief 1"/>
      <sheetName val="Compare-Internal 2"/>
      <sheetName val="High Level Brief 2"/>
      <sheetName val="Reconsideration"/>
      <sheetName val="Sheet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24">
          <cell r="C24">
            <v>2</v>
          </cell>
        </row>
      </sheetData>
      <sheetData sheetId="11">
        <row r="45">
          <cell r="B45">
            <v>2.1800000000000002</v>
          </cell>
        </row>
        <row r="46">
          <cell r="B46">
            <v>2.83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>
        <row r="4">
          <cell r="D4">
            <v>0.85</v>
          </cell>
        </row>
      </sheetData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Data"/>
      <sheetName val="NPC Version Log"/>
      <sheetName val="Summary"/>
      <sheetName val="Profile"/>
      <sheetName val="Delta"/>
      <sheetName val="L&amp;R"/>
      <sheetName val="Base"/>
      <sheetName val="Check LTC"/>
      <sheetName val="Thermal Derates"/>
      <sheetName val="GRID Hydro Gen Peak"/>
      <sheetName val="GRID Load Peak"/>
      <sheetName val="GRID LTC Availability Min"/>
      <sheetName val="GRID LTC Availability Peak"/>
      <sheetName val="GRID LTC Dispatch Peak"/>
      <sheetName val="GRID Nameplate"/>
      <sheetName val="GRID Plant Outage Peak"/>
      <sheetName val="GRID ResReq Margin Peak"/>
      <sheetName val="GRID ResReq NoSpin Peak"/>
      <sheetName val="GRID ResReq Spin Peak"/>
      <sheetName val="GRID STF Purchases Peak"/>
      <sheetName val="GRID STF Sales Peak"/>
      <sheetName val="GRID Thermal Avail Peak"/>
      <sheetName val="GRID Hydro Generation (MWH)"/>
      <sheetName val="GRID Load (MWH)"/>
      <sheetName val="GRID LTC Availability (MWH)"/>
      <sheetName val="GRID LTC Dispatch (MWH)"/>
      <sheetName val="GRID Plant Outage (MWH)"/>
      <sheetName val="GRID Ready Res (MWH)"/>
      <sheetName val="GRID ResReq Margin (MWH)"/>
      <sheetName val="GRID Spinning Res (MWH)"/>
      <sheetName val="GRID STF Purchases (MWH)"/>
      <sheetName val="GRID STF Sales (MWH)"/>
      <sheetName val="GRID Thermal Availability (MWH)"/>
      <sheetName val="MacroBuilder"/>
      <sheetName val="on off peak hours"/>
    </sheetNames>
    <sheetDataSet>
      <sheetData sheetId="0">
        <row r="1">
          <cell r="M1" t="str">
            <v>UT Sch 37 2014 - 2a - L&amp;R  Study _2014 05 04 1403 OFPC Low CO2.xlsm</v>
          </cell>
        </row>
        <row r="7">
          <cell r="D7" t="str">
            <v>Ut Sch 37 - 05a - Base Case _2014 05 04 (L&amp;R)</v>
          </cell>
        </row>
      </sheetData>
      <sheetData sheetId="1"/>
      <sheetData sheetId="2"/>
      <sheetData sheetId="3">
        <row r="22">
          <cell r="B22" t="str">
            <v>Year</v>
          </cell>
        </row>
      </sheetData>
      <sheetData sheetId="4"/>
      <sheetData sheetId="5">
        <row r="8">
          <cell r="A8" t="str">
            <v>REQUIREMENTS</v>
          </cell>
        </row>
      </sheetData>
      <sheetData sheetId="6"/>
      <sheetData sheetId="7"/>
      <sheetData sheetId="8"/>
      <sheetData sheetId="9"/>
      <sheetData sheetId="10"/>
      <sheetData sheetId="11"/>
      <sheetData sheetId="12">
        <row r="1">
          <cell r="A1" t="str">
            <v>Contract (HLH)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>
        <row r="15">
          <cell r="C15">
            <v>41275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DOC"/>
      <sheetName val="ImportData"/>
      <sheetName val="Summary"/>
      <sheetName val="Avoided Costs"/>
      <sheetName val="AC Dollars"/>
      <sheetName val="Recon"/>
      <sheetName val="Side-by-Side"/>
      <sheetName val="Delta"/>
      <sheetName val="NPC"/>
      <sheetName val="BASE"/>
      <sheetName val="Check MWh"/>
      <sheetName val="Check Dollars"/>
      <sheetName val="EIM"/>
      <sheetName val="Integration"/>
      <sheetName val="FuelCalc"/>
      <sheetName val="Hermiston"/>
      <sheetName val="GRID LTC ($)"/>
      <sheetName val="GRID LTC (MWH)"/>
      <sheetName val="GRID Emergency Purchase (MWh)"/>
      <sheetName val="GRID Emergency Purchase ($)"/>
      <sheetName val="GRID Transmission Costs ($)"/>
      <sheetName val="GRID Fuel Price ($MMBTu)"/>
      <sheetName val="GRID Fuel Used (MMBTu)"/>
      <sheetName val="GRID Thermal Fuel Burn ($)"/>
      <sheetName val="GRID Thermal Generation (MWH)"/>
      <sheetName val="GRID Hydro Generation (MWH)"/>
      <sheetName val="GRID Purchases (MWH)"/>
      <sheetName val="GRID Purchases ($)"/>
      <sheetName val="GRID Sales (MWH)"/>
      <sheetName val="GRID Sales ($)"/>
      <sheetName val="GRID Nameplate (MW)"/>
      <sheetName val="GRID Load (MWH)"/>
      <sheetName val="GRID ST Firm Sales (MWH)"/>
      <sheetName val="GRID ST Firm Sales ($)"/>
      <sheetName val="GRID ST Firm Purchases (MWH)"/>
      <sheetName val="GRID ST Firm Purchases ($)"/>
      <sheetName val="GRID Reserves (MWh)"/>
      <sheetName val="MacroBuilder"/>
      <sheetName val="NPC Version Log"/>
    </sheetNames>
    <sheetDataSet>
      <sheetData sheetId="0" refreshError="1"/>
      <sheetData sheetId="1">
        <row r="7">
          <cell r="D7" t="e">
            <v>#VALUE!</v>
          </cell>
        </row>
      </sheetData>
      <sheetData sheetId="2" refreshError="1"/>
      <sheetData sheetId="3">
        <row r="4">
          <cell r="D4" t="str">
            <v>Jan</v>
          </cell>
          <cell r="E4" t="str">
            <v>Feb</v>
          </cell>
          <cell r="F4" t="str">
            <v>Mar</v>
          </cell>
          <cell r="G4" t="str">
            <v>Apr</v>
          </cell>
          <cell r="H4" t="str">
            <v>May</v>
          </cell>
          <cell r="I4" t="str">
            <v>Jun</v>
          </cell>
          <cell r="J4" t="str">
            <v>Jul</v>
          </cell>
          <cell r="K4" t="str">
            <v>Aug</v>
          </cell>
          <cell r="L4" t="str">
            <v>Sep</v>
          </cell>
          <cell r="M4" t="str">
            <v>Oct</v>
          </cell>
          <cell r="N4" t="str">
            <v>Nov</v>
          </cell>
          <cell r="O4" t="str">
            <v>Dec</v>
          </cell>
        </row>
        <row r="7">
          <cell r="B7">
            <v>2016</v>
          </cell>
          <cell r="D7">
            <v>17.660687694956938</v>
          </cell>
          <cell r="E7">
            <v>15.681445621397218</v>
          </cell>
          <cell r="F7">
            <v>13.986558579162805</v>
          </cell>
          <cell r="G7">
            <v>14.069901377749112</v>
          </cell>
          <cell r="H7">
            <v>14.230550164813476</v>
          </cell>
          <cell r="I7">
            <v>14.706253614810606</v>
          </cell>
          <cell r="J7">
            <v>21.999172258088667</v>
          </cell>
          <cell r="K7">
            <v>22.497907399706623</v>
          </cell>
          <cell r="L7">
            <v>21.959181607976141</v>
          </cell>
          <cell r="M7">
            <v>17.524344352288271</v>
          </cell>
          <cell r="N7">
            <v>17.846573200503158</v>
          </cell>
          <cell r="O7">
            <v>22.462761743891463</v>
          </cell>
        </row>
        <row r="8">
          <cell r="B8">
            <v>2017</v>
          </cell>
          <cell r="D8">
            <v>20.85932436207089</v>
          </cell>
          <cell r="E8">
            <v>21.680996613778795</v>
          </cell>
          <cell r="F8">
            <v>19.83801061804056</v>
          </cell>
          <cell r="G8">
            <v>19.63762365544008</v>
          </cell>
          <cell r="H8">
            <v>16.857394982401722</v>
          </cell>
          <cell r="I8">
            <v>16.80266242880581</v>
          </cell>
          <cell r="J8">
            <v>24.094179676236806</v>
          </cell>
          <cell r="K8">
            <v>23.146048786767548</v>
          </cell>
          <cell r="L8">
            <v>20.753208080182471</v>
          </cell>
          <cell r="M8">
            <v>18.060952779750831</v>
          </cell>
          <cell r="N8">
            <v>21.10853613615657</v>
          </cell>
          <cell r="O8">
            <v>24.448367545561446</v>
          </cell>
        </row>
        <row r="9">
          <cell r="B9">
            <v>2018</v>
          </cell>
          <cell r="D9">
            <v>25.229600409514482</v>
          </cell>
          <cell r="E9">
            <v>23.74041580634103</v>
          </cell>
          <cell r="F9">
            <v>22.005275950588846</v>
          </cell>
          <cell r="G9">
            <v>21.390857888155928</v>
          </cell>
          <cell r="H9">
            <v>18.576610765015324</v>
          </cell>
          <cell r="I9">
            <v>18.588376136235894</v>
          </cell>
          <cell r="J9">
            <v>26.030445649755258</v>
          </cell>
          <cell r="K9">
            <v>25.142251002243771</v>
          </cell>
          <cell r="L9">
            <v>21.324812623401069</v>
          </cell>
          <cell r="M9">
            <v>20.570050566645481</v>
          </cell>
          <cell r="N9">
            <v>24.649357266548193</v>
          </cell>
          <cell r="O9">
            <v>26.834490125974821</v>
          </cell>
        </row>
        <row r="10">
          <cell r="B10">
            <v>2019</v>
          </cell>
          <cell r="D10">
            <v>26.022867376128993</v>
          </cell>
          <cell r="E10">
            <v>24.978790790226221</v>
          </cell>
          <cell r="F10">
            <v>22.844552846282962</v>
          </cell>
          <cell r="G10">
            <v>19.556898660736366</v>
          </cell>
          <cell r="H10">
            <v>19.252369166067449</v>
          </cell>
          <cell r="I10">
            <v>19.273331667164133</v>
          </cell>
          <cell r="J10">
            <v>27.274482746898968</v>
          </cell>
          <cell r="K10">
            <v>27.809921152477141</v>
          </cell>
          <cell r="L10">
            <v>26.421999776783501</v>
          </cell>
          <cell r="M10">
            <v>21.861199867204633</v>
          </cell>
          <cell r="N10">
            <v>25.415005311177424</v>
          </cell>
          <cell r="O10">
            <v>27.649939890185831</v>
          </cell>
        </row>
        <row r="11">
          <cell r="B11">
            <v>2020</v>
          </cell>
          <cell r="D11">
            <v>27.32194553714606</v>
          </cell>
          <cell r="E11">
            <v>25.741731265602613</v>
          </cell>
          <cell r="F11">
            <v>29.183586911298335</v>
          </cell>
          <cell r="G11">
            <v>22.543305159846529</v>
          </cell>
          <cell r="H11">
            <v>20.275430785916665</v>
          </cell>
          <cell r="I11">
            <v>20.548837011663451</v>
          </cell>
          <cell r="J11">
            <v>28.780327524056517</v>
          </cell>
          <cell r="K11">
            <v>27.324305857185234</v>
          </cell>
          <cell r="L11">
            <v>25.08871311676171</v>
          </cell>
          <cell r="M11">
            <v>24.518536949370016</v>
          </cell>
          <cell r="N11">
            <v>27.194944913209312</v>
          </cell>
          <cell r="O11">
            <v>28.721524351146272</v>
          </cell>
        </row>
        <row r="12">
          <cell r="B12">
            <v>2021</v>
          </cell>
          <cell r="D12">
            <v>28.823268083118464</v>
          </cell>
          <cell r="E12">
            <v>27.888535908496539</v>
          </cell>
          <cell r="F12">
            <v>25.981021117973793</v>
          </cell>
          <cell r="G12">
            <v>24.627626381586822</v>
          </cell>
          <cell r="H12">
            <v>21.311711511472542</v>
          </cell>
          <cell r="I12">
            <v>20.8942605323241</v>
          </cell>
          <cell r="J12">
            <v>30.535503852880129</v>
          </cell>
          <cell r="K12">
            <v>31.216225297064071</v>
          </cell>
          <cell r="L12">
            <v>30.32006663798251</v>
          </cell>
          <cell r="M12">
            <v>25.993014090844699</v>
          </cell>
          <cell r="N12">
            <v>29.063448155017362</v>
          </cell>
          <cell r="O12">
            <v>30.967620559533437</v>
          </cell>
        </row>
        <row r="13">
          <cell r="B13">
            <v>2022</v>
          </cell>
          <cell r="D13">
            <v>30.86732857697994</v>
          </cell>
          <cell r="E13">
            <v>29.94240446294037</v>
          </cell>
          <cell r="F13">
            <v>28.077103958919803</v>
          </cell>
          <cell r="G13">
            <v>24.997756381086592</v>
          </cell>
          <cell r="H13">
            <v>24.209045171198905</v>
          </cell>
          <cell r="I13">
            <v>25.873448165766895</v>
          </cell>
          <cell r="J13">
            <v>33.58462178045383</v>
          </cell>
          <cell r="K13">
            <v>34.725402550122908</v>
          </cell>
          <cell r="L13">
            <v>34.285499298998879</v>
          </cell>
          <cell r="M13">
            <v>28.790192339579345</v>
          </cell>
          <cell r="N13">
            <v>29.933237016178253</v>
          </cell>
          <cell r="O13">
            <v>31.783692520187909</v>
          </cell>
        </row>
        <row r="14">
          <cell r="B14">
            <v>2023</v>
          </cell>
          <cell r="D14">
            <v>33.537257283361207</v>
          </cell>
          <cell r="E14">
            <v>25.201836547827615</v>
          </cell>
          <cell r="F14">
            <v>30.784975107266536</v>
          </cell>
          <cell r="G14">
            <v>26.987360449882431</v>
          </cell>
          <cell r="H14">
            <v>26.5029144526269</v>
          </cell>
          <cell r="I14">
            <v>28.963434584774078</v>
          </cell>
          <cell r="J14">
            <v>37.396032910942232</v>
          </cell>
          <cell r="K14">
            <v>37.915453260111555</v>
          </cell>
          <cell r="L14">
            <v>37.427263313714001</v>
          </cell>
          <cell r="M14">
            <v>30.73061299717995</v>
          </cell>
          <cell r="N14">
            <v>32.795479986779391</v>
          </cell>
          <cell r="O14">
            <v>35.527675152013217</v>
          </cell>
        </row>
        <row r="15">
          <cell r="B15">
            <v>2024</v>
          </cell>
          <cell r="D15">
            <v>36.783747262351454</v>
          </cell>
          <cell r="E15">
            <v>35.131334284997024</v>
          </cell>
          <cell r="F15">
            <v>32.410520720529938</v>
          </cell>
          <cell r="G15">
            <v>29.531765776133785</v>
          </cell>
          <cell r="H15">
            <v>28.53644639658992</v>
          </cell>
          <cell r="I15">
            <v>31.63012706172135</v>
          </cell>
          <cell r="J15">
            <v>41.10687128352702</v>
          </cell>
          <cell r="K15">
            <v>41.967217998362834</v>
          </cell>
          <cell r="L15">
            <v>39.070133964717385</v>
          </cell>
          <cell r="M15">
            <v>34.867142884601506</v>
          </cell>
          <cell r="N15">
            <v>38.132535047307613</v>
          </cell>
          <cell r="O15">
            <v>41.796239992467463</v>
          </cell>
        </row>
        <row r="16">
          <cell r="B16">
            <v>2025</v>
          </cell>
          <cell r="D16">
            <v>38.418352198584749</v>
          </cell>
          <cell r="E16">
            <v>50.849949914758049</v>
          </cell>
          <cell r="F16">
            <v>31.704636894534993</v>
          </cell>
          <cell r="G16">
            <v>33.44773702024586</v>
          </cell>
          <cell r="H16">
            <v>30.57140193415345</v>
          </cell>
          <cell r="I16">
            <v>34.126401646075152</v>
          </cell>
          <cell r="J16">
            <v>44.287587570158706</v>
          </cell>
          <cell r="K16">
            <v>44.042110602257232</v>
          </cell>
          <cell r="L16">
            <v>38.065757975454133</v>
          </cell>
          <cell r="M16">
            <v>36.137711195747862</v>
          </cell>
          <cell r="N16">
            <v>36.858130134948425</v>
          </cell>
          <cell r="O16">
            <v>40.256400097686274</v>
          </cell>
        </row>
        <row r="17">
          <cell r="B17">
            <v>2026</v>
          </cell>
          <cell r="D17">
            <v>39.701969797849173</v>
          </cell>
          <cell r="E17">
            <v>39.733858919445247</v>
          </cell>
          <cell r="F17">
            <v>36.177319718160298</v>
          </cell>
          <cell r="G17">
            <v>32.799910507893394</v>
          </cell>
          <cell r="H17">
            <v>32.445407794139555</v>
          </cell>
          <cell r="I17">
            <v>35.498499909958078</v>
          </cell>
          <cell r="J17">
            <v>46.256735157381783</v>
          </cell>
          <cell r="K17">
            <v>46.027258462410778</v>
          </cell>
          <cell r="L17">
            <v>39.908690256782705</v>
          </cell>
          <cell r="M17">
            <v>36.816065098112951</v>
          </cell>
          <cell r="N17">
            <v>38.618826197104319</v>
          </cell>
          <cell r="O17">
            <v>41.718887250205519</v>
          </cell>
        </row>
        <row r="18">
          <cell r="B18">
            <v>2027</v>
          </cell>
          <cell r="D18">
            <v>40.715401300783917</v>
          </cell>
          <cell r="E18">
            <v>41.872366105525622</v>
          </cell>
          <cell r="F18">
            <v>38.468135032137873</v>
          </cell>
          <cell r="G18">
            <v>35.815688105548425</v>
          </cell>
          <cell r="H18">
            <v>33.266581751690595</v>
          </cell>
          <cell r="I18">
            <v>36.99733301739726</v>
          </cell>
          <cell r="J18">
            <v>47.875123291618884</v>
          </cell>
          <cell r="K18">
            <v>48.110323206475506</v>
          </cell>
          <cell r="L18">
            <v>42.381678407842088</v>
          </cell>
          <cell r="M18">
            <v>40.362485362985922</v>
          </cell>
          <cell r="N18">
            <v>41.9857477288569</v>
          </cell>
          <cell r="O18">
            <v>45.403752146212646</v>
          </cell>
        </row>
        <row r="19">
          <cell r="B19">
            <v>2028</v>
          </cell>
          <cell r="D19">
            <v>45.328863381778682</v>
          </cell>
          <cell r="E19">
            <v>46.867049858119636</v>
          </cell>
          <cell r="F19">
            <v>43.039908195262953</v>
          </cell>
          <cell r="G19">
            <v>39.584126272503703</v>
          </cell>
          <cell r="H19">
            <v>38.193825718908698</v>
          </cell>
          <cell r="I19">
            <v>41.431383712432449</v>
          </cell>
          <cell r="J19">
            <v>47.723390085258153</v>
          </cell>
          <cell r="K19">
            <v>50.662448458994426</v>
          </cell>
          <cell r="L19">
            <v>49.548928274276356</v>
          </cell>
          <cell r="M19">
            <v>45.528079263541485</v>
          </cell>
          <cell r="N19">
            <v>47.113724059897166</v>
          </cell>
          <cell r="O19">
            <v>49.583031764398179</v>
          </cell>
        </row>
        <row r="20">
          <cell r="B20">
            <v>2029</v>
          </cell>
          <cell r="D20">
            <v>48.346496136430453</v>
          </cell>
          <cell r="E20">
            <v>50.418370277368062</v>
          </cell>
          <cell r="F20">
            <v>45.290064427777324</v>
          </cell>
          <cell r="G20">
            <v>41.849566266106237</v>
          </cell>
          <cell r="H20">
            <v>39.307839706472009</v>
          </cell>
          <cell r="I20">
            <v>41.911030938170022</v>
          </cell>
          <cell r="J20">
            <v>48.415392119345327</v>
          </cell>
          <cell r="K20">
            <v>51.878835037486851</v>
          </cell>
          <cell r="L20">
            <v>49.662287945643897</v>
          </cell>
          <cell r="M20">
            <v>45.29660396175359</v>
          </cell>
          <cell r="N20">
            <v>47.037385642193257</v>
          </cell>
          <cell r="O20">
            <v>50.334064041731018</v>
          </cell>
        </row>
        <row r="21">
          <cell r="B21">
            <v>2030</v>
          </cell>
          <cell r="D21">
            <v>51.118521289471339</v>
          </cell>
          <cell r="E21">
            <v>53.313444895913733</v>
          </cell>
          <cell r="F21">
            <v>49.402273275282596</v>
          </cell>
          <cell r="G21">
            <v>47.615629450956149</v>
          </cell>
          <cell r="H21">
            <v>43.555925694232187</v>
          </cell>
          <cell r="I21">
            <v>47.287155148854687</v>
          </cell>
          <cell r="J21">
            <v>53.914974919774679</v>
          </cell>
          <cell r="K21">
            <v>56.942940430451301</v>
          </cell>
          <cell r="L21">
            <v>54.262118234816526</v>
          </cell>
          <cell r="M21">
            <v>50.410237443495184</v>
          </cell>
          <cell r="N21">
            <v>52.558590544068977</v>
          </cell>
          <cell r="O21">
            <v>54.811268777696675</v>
          </cell>
        </row>
        <row r="22">
          <cell r="B22">
            <v>2031</v>
          </cell>
          <cell r="D22">
            <v>53.687330276034373</v>
          </cell>
          <cell r="E22">
            <v>56.157103238214873</v>
          </cell>
          <cell r="F22">
            <v>52.367031144719292</v>
          </cell>
          <cell r="G22">
            <v>49.884794468411968</v>
          </cell>
          <cell r="H22">
            <v>45.489533471704654</v>
          </cell>
          <cell r="I22">
            <v>48.895816252840063</v>
          </cell>
          <cell r="J22">
            <v>55.48925137913195</v>
          </cell>
          <cell r="K22">
            <v>58.78043096373559</v>
          </cell>
          <cell r="L22">
            <v>56.218303463218938</v>
          </cell>
          <cell r="M22">
            <v>51.576688998140476</v>
          </cell>
          <cell r="N22">
            <v>53.057283633955649</v>
          </cell>
          <cell r="O22">
            <v>56.495012184284548</v>
          </cell>
        </row>
        <row r="23">
          <cell r="B23">
            <v>2032</v>
          </cell>
          <cell r="D23">
            <v>56.354049448813164</v>
          </cell>
          <cell r="E23">
            <v>57.698627650767733</v>
          </cell>
          <cell r="F23">
            <v>53.97734355322055</v>
          </cell>
          <cell r="G23">
            <v>51.846431172796422</v>
          </cell>
          <cell r="H23">
            <v>46.770574079445936</v>
          </cell>
          <cell r="I23">
            <v>49.882540040645331</v>
          </cell>
          <cell r="J23">
            <v>55.607483432482006</v>
          </cell>
          <cell r="K23">
            <v>59.22436585109881</v>
          </cell>
          <cell r="L23">
            <v>56.723114266788791</v>
          </cell>
          <cell r="M23">
            <v>52.011114514050306</v>
          </cell>
          <cell r="N23">
            <v>54.532990645157795</v>
          </cell>
          <cell r="O23">
            <v>57.495091365413963</v>
          </cell>
        </row>
        <row r="24">
          <cell r="B24">
            <v>2033</v>
          </cell>
          <cell r="D24">
            <v>57.496181743812336</v>
          </cell>
          <cell r="E24">
            <v>59.423343896462271</v>
          </cell>
          <cell r="F24">
            <v>54.862708150631477</v>
          </cell>
          <cell r="G24">
            <v>53.644244074726274</v>
          </cell>
          <cell r="H24">
            <v>47.627901032987623</v>
          </cell>
          <cell r="I24">
            <v>50.82147903173334</v>
          </cell>
          <cell r="J24">
            <v>56.22498712138303</v>
          </cell>
          <cell r="K24">
            <v>60.755786939401943</v>
          </cell>
          <cell r="L24">
            <v>57.900899182127581</v>
          </cell>
          <cell r="M24">
            <v>53.750371961888447</v>
          </cell>
          <cell r="N24">
            <v>57.009160585527617</v>
          </cell>
          <cell r="O24">
            <v>59.139168450400554</v>
          </cell>
        </row>
        <row r="25">
          <cell r="B25">
            <v>2034</v>
          </cell>
          <cell r="D25">
            <v>59.788708046226894</v>
          </cell>
          <cell r="E25">
            <v>62.144975585933949</v>
          </cell>
          <cell r="F25">
            <v>57.146574868754513</v>
          </cell>
          <cell r="G25">
            <v>55.322610961894192</v>
          </cell>
          <cell r="H25">
            <v>49.865269900730219</v>
          </cell>
          <cell r="I25">
            <v>52.960151168004508</v>
          </cell>
          <cell r="J25">
            <v>58.326044888369822</v>
          </cell>
          <cell r="K25">
            <v>62.726239158954193</v>
          </cell>
          <cell r="L25">
            <v>59.079948308385077</v>
          </cell>
          <cell r="M25">
            <v>54.574446471259797</v>
          </cell>
          <cell r="N25">
            <v>56.859366813235816</v>
          </cell>
          <cell r="O25">
            <v>59.712755436946949</v>
          </cell>
        </row>
        <row r="26">
          <cell r="B26">
            <v>2035</v>
          </cell>
          <cell r="D26">
            <v>59.473414411463885</v>
          </cell>
          <cell r="E26">
            <v>61.934928534610108</v>
          </cell>
          <cell r="F26">
            <v>57.433435101674931</v>
          </cell>
          <cell r="G26">
            <v>56.218364886256559</v>
          </cell>
          <cell r="H26">
            <v>50.857994439268623</v>
          </cell>
          <cell r="I26">
            <v>52.668161542713641</v>
          </cell>
          <cell r="J26">
            <v>59.431793001462374</v>
          </cell>
          <cell r="K26">
            <v>64.43174860851579</v>
          </cell>
          <cell r="L26">
            <v>60.332267815574177</v>
          </cell>
          <cell r="M26">
            <v>55.431529688939293</v>
          </cell>
          <cell r="N26">
            <v>57.213668258806898</v>
          </cell>
          <cell r="O26">
            <v>60.483012662102936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  <sheetName val="Table 2A BaseLoad"/>
      <sheetName val="Table 2B Wind"/>
      <sheetName val="Table 2C SolarFixed"/>
      <sheetName val="Table 2D SolarTracking"/>
      <sheetName val="Tables 3 to 5"/>
      <sheetName val="Table 6"/>
      <sheetName val="Table 7"/>
      <sheetName val="Table 8"/>
      <sheetName val="Table 9"/>
      <sheetName val="Table 10"/>
      <sheetName val="--- Do Not Print ---&gt;"/>
      <sheetName val="Tariff Page"/>
      <sheetName val="Tariff Page Solar Fixed"/>
      <sheetName val="Tariff Page Solar Tracking"/>
      <sheetName val="Tariff Page Wind"/>
      <sheetName val="Profile "/>
      <sheetName val="OFPC Sourc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2">
          <cell r="B12">
            <v>2015</v>
          </cell>
          <cell r="C12">
            <v>24.245625570776255</v>
          </cell>
          <cell r="F12">
            <v>21.561607257702732</v>
          </cell>
          <cell r="I12">
            <v>23.248318378284559</v>
          </cell>
          <cell r="L12">
            <v>23.898318378284561</v>
          </cell>
        </row>
        <row r="13">
          <cell r="B13">
            <v>2016</v>
          </cell>
          <cell r="C13">
            <v>25.138210045662099</v>
          </cell>
          <cell r="F13">
            <v>22.865350705186025</v>
          </cell>
          <cell r="I13">
            <v>24.317251200992899</v>
          </cell>
          <cell r="L13">
            <v>24.967251200992891</v>
          </cell>
        </row>
        <row r="14">
          <cell r="B14">
            <v>2017</v>
          </cell>
          <cell r="C14">
            <v>25.974630136986299</v>
          </cell>
          <cell r="F14">
            <v>23.664227932095237</v>
          </cell>
          <cell r="I14">
            <v>24.935349872677005</v>
          </cell>
          <cell r="L14">
            <v>25.585349872677</v>
          </cell>
        </row>
        <row r="15">
          <cell r="B15">
            <v>2018</v>
          </cell>
          <cell r="C15">
            <v>28.240474885844755</v>
          </cell>
          <cell r="F15">
            <v>25.445353826556783</v>
          </cell>
          <cell r="I15">
            <v>27.453759192842156</v>
          </cell>
          <cell r="L15">
            <v>28.103759192842158</v>
          </cell>
        </row>
        <row r="16">
          <cell r="B16">
            <v>2019</v>
          </cell>
          <cell r="C16">
            <v>29.64556164383562</v>
          </cell>
          <cell r="F16">
            <v>26.344967449161029</v>
          </cell>
          <cell r="I16">
            <v>29.049952916143464</v>
          </cell>
          <cell r="L16">
            <v>29.699952916143463</v>
          </cell>
        </row>
        <row r="17">
          <cell r="B17">
            <v>2020</v>
          </cell>
          <cell r="C17">
            <v>30.024968036529678</v>
          </cell>
          <cell r="F17">
            <v>26.815327296684089</v>
          </cell>
          <cell r="I17">
            <v>29.547472028401657</v>
          </cell>
          <cell r="L17">
            <v>30.197472028401652</v>
          </cell>
        </row>
        <row r="18">
          <cell r="B18">
            <v>2021</v>
          </cell>
          <cell r="C18">
            <v>33.252986301369866</v>
          </cell>
          <cell r="F18">
            <v>29.969866846920521</v>
          </cell>
          <cell r="I18">
            <v>33.075613226357909</v>
          </cell>
          <cell r="L18">
            <v>33.725613226357908</v>
          </cell>
        </row>
        <row r="19">
          <cell r="B19">
            <v>2022</v>
          </cell>
          <cell r="C19">
            <v>36.161223744292236</v>
          </cell>
          <cell r="F19">
            <v>32.416100726952557</v>
          </cell>
          <cell r="I19">
            <v>36.268933995838232</v>
          </cell>
          <cell r="L19">
            <v>36.918933995838231</v>
          </cell>
        </row>
        <row r="20">
          <cell r="B20">
            <v>2023</v>
          </cell>
          <cell r="C20">
            <v>38.938575342465754</v>
          </cell>
          <cell r="F20">
            <v>34.919178720055172</v>
          </cell>
          <cell r="I20">
            <v>38.834934046535146</v>
          </cell>
          <cell r="L20">
            <v>39.484934046535145</v>
          </cell>
        </row>
        <row r="21">
          <cell r="B21">
            <v>2024</v>
          </cell>
          <cell r="C21">
            <v>40.219744292237451</v>
          </cell>
          <cell r="F21">
            <v>36.349560451127175</v>
          </cell>
          <cell r="I21">
            <v>40.68423190832889</v>
          </cell>
          <cell r="L21">
            <v>41.334231908328888</v>
          </cell>
        </row>
        <row r="22">
          <cell r="B22">
            <v>2025</v>
          </cell>
          <cell r="C22">
            <v>42.361105022831048</v>
          </cell>
          <cell r="F22">
            <v>38.308825085295155</v>
          </cell>
          <cell r="I22">
            <v>42.712408437237031</v>
          </cell>
          <cell r="L22">
            <v>43.362408437237036</v>
          </cell>
        </row>
        <row r="23">
          <cell r="B23">
            <v>2026</v>
          </cell>
          <cell r="C23">
            <v>43.877680365296811</v>
          </cell>
          <cell r="F23">
            <v>40.31531733779525</v>
          </cell>
          <cell r="I23">
            <v>44.0963471614767</v>
          </cell>
          <cell r="L23">
            <v>44.746347161476699</v>
          </cell>
        </row>
        <row r="24">
          <cell r="B24">
            <v>2027</v>
          </cell>
          <cell r="C24">
            <v>44.722493150684926</v>
          </cell>
          <cell r="F24">
            <v>40.185756269494931</v>
          </cell>
          <cell r="I24">
            <v>44.740819027838263</v>
          </cell>
          <cell r="L24">
            <v>45.390819027838269</v>
          </cell>
        </row>
        <row r="25">
          <cell r="B25">
            <v>2028</v>
          </cell>
          <cell r="C25">
            <v>51.904931506849309</v>
          </cell>
          <cell r="F25">
            <v>34.715944336713449</v>
          </cell>
          <cell r="I25">
            <v>49.677703070621718</v>
          </cell>
          <cell r="L25">
            <v>54.244485013333239</v>
          </cell>
        </row>
        <row r="26">
          <cell r="B26">
            <v>2029</v>
          </cell>
          <cell r="C26">
            <v>53.144547945205488</v>
          </cell>
          <cell r="F26">
            <v>35.407977308998909</v>
          </cell>
          <cell r="I26">
            <v>50.922676244907834</v>
          </cell>
          <cell r="L26">
            <v>55.566425518371325</v>
          </cell>
        </row>
        <row r="27">
          <cell r="B27">
            <v>2030</v>
          </cell>
          <cell r="C27">
            <v>54.195378995433785</v>
          </cell>
          <cell r="F27">
            <v>35.835649642401222</v>
          </cell>
          <cell r="I27">
            <v>51.984753270472154</v>
          </cell>
          <cell r="L27">
            <v>56.714021800326726</v>
          </cell>
        </row>
        <row r="28">
          <cell r="B28">
            <v>2031</v>
          </cell>
          <cell r="C28">
            <v>56.893031963470321</v>
          </cell>
          <cell r="F28">
            <v>38.038961336920394</v>
          </cell>
          <cell r="I28">
            <v>54.693934147314707</v>
          </cell>
          <cell r="L28">
            <v>59.508721933560345</v>
          </cell>
        </row>
        <row r="29">
          <cell r="B29">
            <v>2032</v>
          </cell>
          <cell r="C29">
            <v>58.231899543378987</v>
          </cell>
          <cell r="F29">
            <v>39.022273031439575</v>
          </cell>
          <cell r="I29">
            <v>56.041666949796358</v>
          </cell>
          <cell r="L29">
            <v>60.950525918072188</v>
          </cell>
        </row>
        <row r="30">
          <cell r="B30">
            <v>2033</v>
          </cell>
          <cell r="C30">
            <v>59.126374429223745</v>
          </cell>
          <cell r="F30">
            <v>39.435584725958755</v>
          </cell>
          <cell r="I30">
            <v>56.956503603556214</v>
          </cell>
          <cell r="L30">
            <v>61.942329902584028</v>
          </cell>
        </row>
        <row r="31">
          <cell r="B31">
            <v>2034</v>
          </cell>
          <cell r="C31">
            <v>0</v>
          </cell>
          <cell r="F31">
            <v>0</v>
          </cell>
          <cell r="I31">
            <v>0</v>
          </cell>
          <cell r="L31">
            <v>0</v>
          </cell>
        </row>
        <row r="32">
          <cell r="B32">
            <v>2035</v>
          </cell>
          <cell r="C32">
            <v>0</v>
          </cell>
          <cell r="F32">
            <v>0</v>
          </cell>
          <cell r="I32">
            <v>0</v>
          </cell>
          <cell r="L32">
            <v>0</v>
          </cell>
        </row>
        <row r="33">
          <cell r="B33">
            <v>0</v>
          </cell>
          <cell r="C33">
            <v>0</v>
          </cell>
          <cell r="F33">
            <v>0</v>
          </cell>
          <cell r="I33">
            <v>0</v>
          </cell>
          <cell r="L33">
            <v>0</v>
          </cell>
        </row>
        <row r="34">
          <cell r="B34">
            <v>0</v>
          </cell>
          <cell r="C34">
            <v>0</v>
          </cell>
          <cell r="F34">
            <v>0</v>
          </cell>
          <cell r="I34">
            <v>0</v>
          </cell>
          <cell r="L34">
            <v>0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Database"/>
      <sheetName val="Sensitivity"/>
      <sheetName val="LCF"/>
      <sheetName val="Other Inputs"/>
    </sheetNames>
    <sheetDataSet>
      <sheetData sheetId="0"/>
      <sheetData sheetId="1">
        <row r="26">
          <cell r="P26">
            <v>6494.6100000000006</v>
          </cell>
          <cell r="AK26">
            <v>0.78</v>
          </cell>
        </row>
        <row r="27">
          <cell r="AK27">
            <v>0.12</v>
          </cell>
        </row>
        <row r="40">
          <cell r="E40">
            <v>185.0314239906719</v>
          </cell>
        </row>
        <row r="101">
          <cell r="P101">
            <v>6636.6900000000005</v>
          </cell>
          <cell r="AB101">
            <v>1029.8527361187882</v>
          </cell>
          <cell r="AE101">
            <v>5.8034468814370763</v>
          </cell>
          <cell r="AG101">
            <v>0.16189707198567324</v>
          </cell>
          <cell r="AH101">
            <v>12.780759398399997</v>
          </cell>
          <cell r="AK101">
            <v>0.78</v>
          </cell>
          <cell r="AP101">
            <v>1.3600120185391169</v>
          </cell>
          <cell r="AR101">
            <v>0.19813038132066155</v>
          </cell>
        </row>
        <row r="102">
          <cell r="P102">
            <v>9560.7706930693093</v>
          </cell>
          <cell r="AB102">
            <v>722.04817413140142</v>
          </cell>
          <cell r="AE102">
            <v>0</v>
          </cell>
          <cell r="AG102">
            <v>0</v>
          </cell>
          <cell r="AH102">
            <v>18.411457075199998</v>
          </cell>
          <cell r="AK102">
            <v>0.12</v>
          </cell>
          <cell r="AP102">
            <v>0.1083633492976414</v>
          </cell>
          <cell r="AR102">
            <v>0</v>
          </cell>
        </row>
        <row r="103">
          <cell r="AC103">
            <v>7.682307239305719E-2</v>
          </cell>
        </row>
        <row r="147">
          <cell r="AB147">
            <v>829.91895118819082</v>
          </cell>
          <cell r="AC147">
            <v>7.7667383499954168E-2</v>
          </cell>
          <cell r="AE147">
            <v>9.51</v>
          </cell>
          <cell r="AG147">
            <v>0.12437668510559777</v>
          </cell>
          <cell r="AH147">
            <v>18.836854679167324</v>
          </cell>
          <cell r="AK147">
            <v>0.33</v>
          </cell>
          <cell r="AP147">
            <v>4.24</v>
          </cell>
          <cell r="AR147">
            <v>0.60998197616457206</v>
          </cell>
        </row>
      </sheetData>
      <sheetData sheetId="2"/>
      <sheetData sheetId="3"/>
      <sheetData sheetId="4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a  SST Resource Costs"/>
      <sheetName val="1b 423 MW month UN J"/>
      <sheetName val="1b 454 MW month SO J"/>
      <sheetName val="1b 477 MW month WV J"/>
      <sheetName val="1b 635 MW month DJ F"/>
      <sheetName val="1b 635 MW month US F"/>
      <sheetName val="1c payment factor model CCCT"/>
      <sheetName val="1d Discount Rate"/>
      <sheetName val="1e Inflation Rate"/>
      <sheetName val="1e i OPFC"/>
      <sheetName val="1f heat rate emission"/>
      <sheetName val="1g Price Curve Emission assumed"/>
      <sheetName val="1h wind and solar generation pr"/>
      <sheetName val="1i DSM Class 2 MWh"/>
      <sheetName val="1i DSM Class 2 Mw"/>
      <sheetName val="1i DSM Class 1 Mw"/>
      <sheetName val="1i DG "/>
      <sheetName val="2 Portfolio"/>
      <sheetName val="2a Stabuild"/>
      <sheetName val="3 L&amp;R Capacity"/>
      <sheetName val="3 L&amp;R Detail"/>
      <sheetName val="4 Transmission"/>
      <sheetName val="5 PDF 2015 IRP"/>
      <sheetName val="Not Updated &gt;"/>
      <sheetName val="Modeling"/>
    </sheetNames>
    <sheetDataSet>
      <sheetData sheetId="0">
        <row r="25">
          <cell r="E25">
            <v>434.39352450877141</v>
          </cell>
          <cell r="J25">
            <v>905.55768081134613</v>
          </cell>
          <cell r="K25">
            <v>2.004671347620901</v>
          </cell>
          <cell r="N25">
            <v>7.217552998800957</v>
          </cell>
          <cell r="P25">
            <v>6494.6100000000006</v>
          </cell>
        </row>
        <row r="26">
          <cell r="E26">
            <v>43</v>
          </cell>
          <cell r="J26">
            <v>480.65748619510435</v>
          </cell>
          <cell r="N26">
            <v>0</v>
          </cell>
          <cell r="P26">
            <v>8611.0186046511626</v>
          </cell>
        </row>
      </sheetData>
      <sheetData sheetId="1"/>
      <sheetData sheetId="2"/>
      <sheetData sheetId="3">
        <row r="16">
          <cell r="O16">
            <v>23.327442000000001</v>
          </cell>
        </row>
        <row r="17">
          <cell r="O17">
            <v>30.927267599999997</v>
          </cell>
        </row>
        <row r="20">
          <cell r="N20">
            <v>3.8745429917481408E-2</v>
          </cell>
          <cell r="O20">
            <v>0</v>
          </cell>
        </row>
        <row r="21">
          <cell r="N21">
            <v>0.13328427891613612</v>
          </cell>
          <cell r="O21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3">
          <cell r="C3" t="str">
            <v>Capacity (MW)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Description"/>
      <sheetName val="VDOC"/>
      <sheetName val="Forward Price Curve"/>
      <sheetName val="Inflation Forecast"/>
      <sheetName val="Internal Verification (Prior)"/>
      <sheetName val="Internal Verification (Diff)"/>
    </sheetNames>
    <sheetDataSet>
      <sheetData sheetId="0"/>
      <sheetData sheetId="1"/>
      <sheetData sheetId="2">
        <row r="2">
          <cell r="F2" t="str">
            <v>OFPC Dated</v>
          </cell>
          <cell r="G2">
            <v>42460</v>
          </cell>
          <cell r="I2" t="str">
            <v>* historical average prices</v>
          </cell>
        </row>
        <row r="5">
          <cell r="E5" t="str">
            <v>Forward Transaction Curves</v>
          </cell>
          <cell r="AV5" t="str">
            <v>Hermiston</v>
          </cell>
          <cell r="AW5" t="str">
            <v>Burner Tip Sumas + Transportation</v>
          </cell>
        </row>
        <row r="6">
          <cell r="E6" t="str">
            <v>HLH</v>
          </cell>
          <cell r="M6" t="str">
            <v>LLH</v>
          </cell>
          <cell r="U6" t="str">
            <v>Flat</v>
          </cell>
          <cell r="AC6" t="str">
            <v>Opal Gas</v>
          </cell>
          <cell r="AD6" t="str">
            <v>Sumas</v>
          </cell>
          <cell r="AE6" t="str">
            <v>Stanfield</v>
          </cell>
          <cell r="AF6" t="str">
            <v>San Juan</v>
          </cell>
          <cell r="AG6" t="str">
            <v>Henry Hub</v>
          </cell>
          <cell r="AH6" t="str">
            <v>AECO</v>
          </cell>
          <cell r="AI6" t="str">
            <v>SOCALBOR</v>
          </cell>
          <cell r="AJ6" t="str">
            <v>Burner Tip</v>
          </cell>
          <cell r="AQ6" t="str">
            <v>IRP Resources</v>
          </cell>
          <cell r="AX6" t="str">
            <v>Other</v>
          </cell>
        </row>
        <row r="7">
          <cell r="E7">
            <v>2</v>
          </cell>
          <cell r="F7">
            <v>2</v>
          </cell>
          <cell r="G7">
            <v>2</v>
          </cell>
          <cell r="H7">
            <v>2</v>
          </cell>
          <cell r="I7">
            <v>2</v>
          </cell>
          <cell r="J7">
            <v>2</v>
          </cell>
          <cell r="K7">
            <v>2</v>
          </cell>
          <cell r="M7">
            <v>5</v>
          </cell>
          <cell r="N7">
            <v>5</v>
          </cell>
          <cell r="O7">
            <v>5</v>
          </cell>
          <cell r="P7">
            <v>5</v>
          </cell>
          <cell r="Q7">
            <v>5</v>
          </cell>
          <cell r="U7">
            <v>5</v>
          </cell>
          <cell r="V7">
            <v>5</v>
          </cell>
          <cell r="W7">
            <v>5</v>
          </cell>
          <cell r="X7">
            <v>5</v>
          </cell>
          <cell r="AC7" t="str">
            <v>Fwd Price</v>
          </cell>
          <cell r="AD7" t="str">
            <v>Fwd Price</v>
          </cell>
          <cell r="AE7" t="str">
            <v>Fwd Price</v>
          </cell>
          <cell r="AF7" t="str">
            <v>Fwd Price</v>
          </cell>
          <cell r="AG7" t="str">
            <v>Fwd Price</v>
          </cell>
          <cell r="AH7" t="str">
            <v>Fwd Price</v>
          </cell>
          <cell r="AI7" t="str">
            <v>Fwd Price</v>
          </cell>
          <cell r="AJ7" t="str">
            <v>Currant Creek</v>
          </cell>
          <cell r="AK7" t="str">
            <v>Gadsby</v>
          </cell>
          <cell r="AL7" t="str">
            <v>Lakeside</v>
          </cell>
          <cell r="AM7" t="str">
            <v>Little Mountain</v>
          </cell>
          <cell r="AN7" t="str">
            <v>West Valley</v>
          </cell>
          <cell r="AO7" t="str">
            <v>Bridger</v>
          </cell>
          <cell r="AP7" t="str">
            <v>Naughton</v>
          </cell>
          <cell r="AQ7" t="str">
            <v>West Side</v>
          </cell>
          <cell r="AR7" t="str">
            <v>East Side</v>
          </cell>
          <cell r="AS7" t="str">
            <v>Cholla - Gas</v>
          </cell>
          <cell r="AT7" t="str">
            <v>IRP - Wyo NE</v>
          </cell>
          <cell r="AU7" t="str">
            <v>IRP - Utah Greenfield</v>
          </cell>
          <cell r="AV7" t="str">
            <v>Hermiston Delivered</v>
          </cell>
          <cell r="AW7" t="str">
            <v>IRP West Delivered - Southern OR</v>
          </cell>
          <cell r="AX7" t="str">
            <v>Chehalis With Tax</v>
          </cell>
        </row>
        <row r="8">
          <cell r="D8" t="str">
            <v>TENOR</v>
          </cell>
          <cell r="E8" t="str">
            <v>COB</v>
          </cell>
          <cell r="F8" t="str">
            <v>PV</v>
          </cell>
          <cell r="G8" t="str">
            <v>Mid C</v>
          </cell>
          <cell r="H8" t="str">
            <v>NOB</v>
          </cell>
          <cell r="J8" t="str">
            <v>FourC</v>
          </cell>
          <cell r="K8" t="str">
            <v>Mona</v>
          </cell>
          <cell r="L8" t="str">
            <v>Mead</v>
          </cell>
          <cell r="M8" t="str">
            <v>COB</v>
          </cell>
          <cell r="N8" t="str">
            <v>PV</v>
          </cell>
          <cell r="O8" t="str">
            <v>Mid C</v>
          </cell>
          <cell r="P8" t="str">
            <v>NOB</v>
          </cell>
          <cell r="R8" t="str">
            <v>FourC</v>
          </cell>
          <cell r="S8" t="str">
            <v>Mona</v>
          </cell>
          <cell r="T8" t="str">
            <v>Mead</v>
          </cell>
          <cell r="U8" t="str">
            <v>COB</v>
          </cell>
          <cell r="V8" t="str">
            <v>PV</v>
          </cell>
          <cell r="W8" t="str">
            <v>Mid C</v>
          </cell>
          <cell r="X8" t="str">
            <v>NOB</v>
          </cell>
          <cell r="Z8" t="str">
            <v>FourC</v>
          </cell>
          <cell r="AC8" t="str">
            <v>Flat</v>
          </cell>
          <cell r="AD8" t="str">
            <v>Flat</v>
          </cell>
          <cell r="AE8" t="str">
            <v>Flat</v>
          </cell>
          <cell r="AF8" t="str">
            <v>Flat</v>
          </cell>
          <cell r="AG8" t="str">
            <v>Flat</v>
          </cell>
          <cell r="AH8" t="str">
            <v>Flat</v>
          </cell>
          <cell r="AI8" t="str">
            <v>Flat</v>
          </cell>
          <cell r="AZ8" t="str">
            <v>Match</v>
          </cell>
          <cell r="BA8" t="str">
            <v>Expected Value</v>
          </cell>
          <cell r="BF8" t="str">
            <v>SUMAS</v>
          </cell>
        </row>
        <row r="9">
          <cell r="D9">
            <v>39448</v>
          </cell>
          <cell r="E9">
            <v>78.725384615384598</v>
          </cell>
          <cell r="F9">
            <v>65.525384615384624</v>
          </cell>
          <cell r="G9">
            <v>75.457692307692312</v>
          </cell>
          <cell r="J9">
            <v>68.290769230769243</v>
          </cell>
          <cell r="M9">
            <v>64.223658536585361</v>
          </cell>
          <cell r="N9">
            <v>55.096341463414653</v>
          </cell>
          <cell r="O9">
            <v>64.538048780487799</v>
          </cell>
          <cell r="R9">
            <v>54.715121951219515</v>
          </cell>
          <cell r="U9">
            <v>72.332150537634391</v>
          </cell>
          <cell r="V9">
            <v>60.927634408602167</v>
          </cell>
          <cell r="W9">
            <v>70.643655913978492</v>
          </cell>
          <cell r="Z9">
            <v>62.305806451612909</v>
          </cell>
          <cell r="AC9">
            <v>7.3319047619047621</v>
          </cell>
          <cell r="AD9">
            <v>8.332105263157894</v>
          </cell>
          <cell r="AE9">
            <v>7.5944999999999991</v>
          </cell>
          <cell r="AF9">
            <v>7.4871428571428593</v>
          </cell>
          <cell r="AG9">
            <v>7.9828571428571422</v>
          </cell>
          <cell r="AH9">
            <v>7.2584392029172662</v>
          </cell>
          <cell r="AI9">
            <v>7.7015000000000002</v>
          </cell>
          <cell r="AJ9">
            <v>7.5160332044689344</v>
          </cell>
          <cell r="AK9">
            <v>7.6132154932925165</v>
          </cell>
          <cell r="AL9">
            <v>7.528627363916554</v>
          </cell>
          <cell r="AM9">
            <v>7.6132154932925165</v>
          </cell>
          <cell r="AN9">
            <v>7.6810430839002271</v>
          </cell>
          <cell r="AQ9">
            <v>8.313909445050454</v>
          </cell>
          <cell r="AR9">
            <v>7.4381170971355193</v>
          </cell>
          <cell r="AX9">
            <v>8.882154051333039</v>
          </cell>
          <cell r="BC9">
            <v>2008</v>
          </cell>
          <cell r="BE9">
            <v>2013</v>
          </cell>
          <cell r="BF9">
            <v>3.6015504352278547</v>
          </cell>
        </row>
        <row r="10">
          <cell r="D10">
            <v>39479</v>
          </cell>
          <cell r="E10">
            <v>74.400399999999991</v>
          </cell>
          <cell r="F10">
            <v>69.507599999999996</v>
          </cell>
          <cell r="G10">
            <v>70.823599999999999</v>
          </cell>
          <cell r="J10">
            <v>71.858400000000017</v>
          </cell>
          <cell r="M10">
            <v>65.377297297297289</v>
          </cell>
          <cell r="N10">
            <v>56.046486486486494</v>
          </cell>
          <cell r="O10">
            <v>64.765945945945944</v>
          </cell>
          <cell r="R10">
            <v>56.30756756756756</v>
          </cell>
          <cell r="U10">
            <v>70.562988505747114</v>
          </cell>
          <cell r="V10">
            <v>63.782758620689648</v>
          </cell>
          <cell r="W10">
            <v>68.247356321839092</v>
          </cell>
          <cell r="Z10">
            <v>65.244827586206895</v>
          </cell>
          <cell r="AC10">
            <v>7.706999999999999</v>
          </cell>
          <cell r="AD10">
            <v>8.2856249999999996</v>
          </cell>
          <cell r="AE10">
            <v>8.1125000000000007</v>
          </cell>
          <cell r="AF10">
            <v>7.8744999999999976</v>
          </cell>
          <cell r="AG10">
            <v>8.5455000000000005</v>
          </cell>
          <cell r="AH10">
            <v>7.8400466597904286</v>
          </cell>
          <cell r="AI10">
            <v>8.2052631578947377</v>
          </cell>
          <cell r="AJ10">
            <v>7.8848378369529026</v>
          </cell>
          <cell r="AK10">
            <v>8.1793978754946082</v>
          </cell>
          <cell r="AL10">
            <v>7.9500481385889898</v>
          </cell>
          <cell r="AM10">
            <v>8.1793978754946082</v>
          </cell>
          <cell r="AN10">
            <v>8.0641429922451291</v>
          </cell>
          <cell r="AQ10">
            <v>8.5591219754383978</v>
          </cell>
          <cell r="AR10">
            <v>7.8184225195173873</v>
          </cell>
          <cell r="AX10">
            <v>8.8329301606748949</v>
          </cell>
          <cell r="BC10">
            <v>2008</v>
          </cell>
          <cell r="BE10">
            <v>2014</v>
          </cell>
          <cell r="BF10">
            <v>4.8499999999999961</v>
          </cell>
        </row>
        <row r="11">
          <cell r="D11">
            <v>39508</v>
          </cell>
          <cell r="E11">
            <v>77.979230769230739</v>
          </cell>
          <cell r="F11">
            <v>74.812692307692288</v>
          </cell>
          <cell r="G11">
            <v>73.018846153846169</v>
          </cell>
          <cell r="J11">
            <v>77.018461538461537</v>
          </cell>
          <cell r="M11">
            <v>71.098048780487801</v>
          </cell>
          <cell r="N11">
            <v>61.990731707317067</v>
          </cell>
          <cell r="O11">
            <v>70.044146341463417</v>
          </cell>
          <cell r="R11">
            <v>63.183414634146331</v>
          </cell>
          <cell r="U11">
            <v>74.95076978629811</v>
          </cell>
          <cell r="V11">
            <v>69.169649082493507</v>
          </cell>
          <cell r="W11">
            <v>71.709657945704649</v>
          </cell>
          <cell r="Z11">
            <v>70.92955125890424</v>
          </cell>
          <cell r="AC11">
            <v>8.2575000000000003</v>
          </cell>
          <cell r="AD11">
            <v>9.0211764705882338</v>
          </cell>
          <cell r="AE11">
            <v>8.8905555555555562</v>
          </cell>
          <cell r="AF11">
            <v>8.5030000000000001</v>
          </cell>
          <cell r="AG11">
            <v>9.4109999999999978</v>
          </cell>
          <cell r="AH11">
            <v>8.6205643037299122</v>
          </cell>
          <cell r="AI11">
            <v>8.9049999999999994</v>
          </cell>
          <cell r="AJ11">
            <v>8.4486773669469795</v>
          </cell>
          <cell r="AK11">
            <v>8.7649028018671622</v>
          </cell>
          <cell r="AL11">
            <v>8.5185484966505154</v>
          </cell>
          <cell r="AM11">
            <v>8.7649028018671622</v>
          </cell>
          <cell r="AN11">
            <v>8.6419712086659057</v>
          </cell>
          <cell r="AQ11">
            <v>9.348576922946588</v>
          </cell>
          <cell r="AR11">
            <v>8.3765691280543457</v>
          </cell>
          <cell r="AX11">
            <v>9.617372496665741</v>
          </cell>
          <cell r="BC11">
            <v>2008</v>
          </cell>
          <cell r="BE11">
            <v>2015</v>
          </cell>
          <cell r="BF11">
            <v>2.3073983614951357</v>
          </cell>
        </row>
        <row r="12">
          <cell r="D12">
            <v>39539</v>
          </cell>
          <cell r="E12">
            <v>92.386538461538493</v>
          </cell>
          <cell r="F12">
            <v>87.712692307692322</v>
          </cell>
          <cell r="G12">
            <v>90.132692307692324</v>
          </cell>
          <cell r="J12">
            <v>88.496923076923068</v>
          </cell>
          <cell r="M12">
            <v>81.458421052631564</v>
          </cell>
          <cell r="N12">
            <v>72.140263157894708</v>
          </cell>
          <cell r="O12">
            <v>83.797631578947403</v>
          </cell>
          <cell r="R12">
            <v>71.502105263157887</v>
          </cell>
          <cell r="U12">
            <v>87.772444444444446</v>
          </cell>
          <cell r="V12">
            <v>81.137666666666661</v>
          </cell>
          <cell r="W12">
            <v>87.457888888888917</v>
          </cell>
          <cell r="Z12">
            <v>81.321333333333314</v>
          </cell>
          <cell r="AC12">
            <v>8.8013636363636358</v>
          </cell>
          <cell r="AD12">
            <v>9.7714999999999996</v>
          </cell>
          <cell r="AE12">
            <v>9.6831818181818168</v>
          </cell>
          <cell r="AF12">
            <v>9.1022727272727266</v>
          </cell>
          <cell r="AG12">
            <v>10.18</v>
          </cell>
          <cell r="AH12">
            <v>9.3077136561330747</v>
          </cell>
          <cell r="AI12">
            <v>9.7980952380952395</v>
          </cell>
          <cell r="AJ12">
            <v>9.0359001990244767</v>
          </cell>
          <cell r="AK12">
            <v>9.3418827871104373</v>
          </cell>
          <cell r="AL12">
            <v>9.1105528215078682</v>
          </cell>
          <cell r="AM12">
            <v>9.3418827871104373</v>
          </cell>
          <cell r="AN12">
            <v>9.2502806634268122</v>
          </cell>
          <cell r="AQ12">
            <v>10.153337570932747</v>
          </cell>
          <cell r="AR12">
            <v>8.927987191892564</v>
          </cell>
          <cell r="AX12">
            <v>10.417836820361376</v>
          </cell>
          <cell r="BC12">
            <v>2008</v>
          </cell>
          <cell r="BE12">
            <v>2016</v>
          </cell>
          <cell r="BF12">
            <v>1.7969341861327399</v>
          </cell>
        </row>
        <row r="13">
          <cell r="D13">
            <v>39569</v>
          </cell>
          <cell r="E13">
            <v>79.2703846153846</v>
          </cell>
          <cell r="F13">
            <v>82.511538461538464</v>
          </cell>
          <cell r="G13">
            <v>61.980769230769241</v>
          </cell>
          <cell r="J13">
            <v>82.396153846153837</v>
          </cell>
          <cell r="M13">
            <v>51.750487804878027</v>
          </cell>
          <cell r="N13">
            <v>57.139756097560991</v>
          </cell>
          <cell r="O13">
            <v>39.470487804878054</v>
          </cell>
          <cell r="R13">
            <v>53.736585365853664</v>
          </cell>
          <cell r="U13">
            <v>67.137956989247286</v>
          </cell>
          <cell r="V13">
            <v>71.326129032258081</v>
          </cell>
          <cell r="W13">
            <v>52.05688172043012</v>
          </cell>
          <cell r="Z13">
            <v>69.761290322580649</v>
          </cell>
          <cell r="AC13">
            <v>8.5771428571428565</v>
          </cell>
          <cell r="AD13">
            <v>10.37</v>
          </cell>
          <cell r="AE13">
            <v>10.369523809523809</v>
          </cell>
          <cell r="AF13">
            <v>8.5804999999999989</v>
          </cell>
          <cell r="AG13">
            <v>11.267619047619045</v>
          </cell>
          <cell r="AH13">
            <v>10.051486634942915</v>
          </cell>
          <cell r="AI13">
            <v>10.016500000000002</v>
          </cell>
          <cell r="AJ13">
            <v>8.8045460345529172</v>
          </cell>
          <cell r="AK13">
            <v>9.1020031870962335</v>
          </cell>
          <cell r="AL13">
            <v>8.8772912188156692</v>
          </cell>
          <cell r="AM13">
            <v>9.1020031870962335</v>
          </cell>
          <cell r="AN13">
            <v>9.0116401085519442</v>
          </cell>
          <cell r="AQ13">
            <v>10.823407587851031</v>
          </cell>
          <cell r="AR13">
            <v>8.7006519194391743</v>
          </cell>
          <cell r="AX13">
            <v>11.055845655984811</v>
          </cell>
          <cell r="BC13">
            <v>2008</v>
          </cell>
          <cell r="BE13">
            <v>2017</v>
          </cell>
          <cell r="BF13">
            <v>2.4630833333333335</v>
          </cell>
        </row>
        <row r="14">
          <cell r="D14">
            <v>39600</v>
          </cell>
          <cell r="E14">
            <v>81.297199999999989</v>
          </cell>
          <cell r="F14">
            <v>104.68279999999997</v>
          </cell>
          <cell r="G14">
            <v>37.669200000000004</v>
          </cell>
          <cell r="J14">
            <v>102.62</v>
          </cell>
          <cell r="M14">
            <v>39.079749999999997</v>
          </cell>
          <cell r="N14">
            <v>64.561749999999989</v>
          </cell>
          <cell r="O14">
            <v>2.5017500000000004</v>
          </cell>
          <cell r="R14">
            <v>55.176749999999991</v>
          </cell>
          <cell r="U14">
            <v>62.533888888888882</v>
          </cell>
          <cell r="V14">
            <v>86.851222222222205</v>
          </cell>
          <cell r="W14">
            <v>22.039222222222222</v>
          </cell>
          <cell r="Z14">
            <v>81.534111111111102</v>
          </cell>
          <cell r="AC14">
            <v>8.5471428571428572</v>
          </cell>
          <cell r="AD14">
            <v>11.218333333333334</v>
          </cell>
          <cell r="AE14">
            <v>11.441500000000001</v>
          </cell>
          <cell r="AF14">
            <v>11.068571428571429</v>
          </cell>
          <cell r="AG14">
            <v>12.682380952380951</v>
          </cell>
          <cell r="AH14">
            <v>11.086526245728127</v>
          </cell>
          <cell r="AI14">
            <v>11.626842105263162</v>
          </cell>
          <cell r="AJ14">
            <v>8.7714885092908634</v>
          </cell>
          <cell r="AK14">
            <v>9.0664791188192506</v>
          </cell>
          <cell r="AL14">
            <v>8.8439683135772658</v>
          </cell>
          <cell r="AM14">
            <v>9.0664791188192506</v>
          </cell>
          <cell r="AN14">
            <v>8.974294638566624</v>
          </cell>
          <cell r="AQ14">
            <v>11.824765796670206</v>
          </cell>
          <cell r="AR14">
            <v>8.6702352105270784</v>
          </cell>
          <cell r="AX14">
            <v>11.960123755552436</v>
          </cell>
          <cell r="BC14">
            <v>2008</v>
          </cell>
          <cell r="BE14">
            <v>2018</v>
          </cell>
          <cell r="BF14">
            <v>2.6083333333333334</v>
          </cell>
        </row>
        <row r="15">
          <cell r="D15">
            <v>39630</v>
          </cell>
          <cell r="E15">
            <v>86.078846153846158</v>
          </cell>
          <cell r="F15">
            <v>105.61269230769231</v>
          </cell>
          <cell r="G15">
            <v>74.334999999999994</v>
          </cell>
          <cell r="J15">
            <v>104.05346153846153</v>
          </cell>
          <cell r="M15">
            <v>52.099024390243912</v>
          </cell>
          <cell r="N15">
            <v>70.805121951219533</v>
          </cell>
          <cell r="O15">
            <v>43.183170731707314</v>
          </cell>
          <cell r="R15">
            <v>65.662682926829277</v>
          </cell>
          <cell r="U15">
            <v>71.098494623655924</v>
          </cell>
          <cell r="V15">
            <v>90.267419354838722</v>
          </cell>
          <cell r="W15">
            <v>60.601397849462366</v>
          </cell>
          <cell r="Z15">
            <v>87.128494623655911</v>
          </cell>
          <cell r="AC15">
            <v>8.6661904761904776</v>
          </cell>
          <cell r="AD15">
            <v>8.9277777777777807</v>
          </cell>
          <cell r="AE15">
            <v>9.8215789473684243</v>
          </cell>
          <cell r="AF15">
            <v>9.3547619047619044</v>
          </cell>
          <cell r="AG15">
            <v>11.08363636363636</v>
          </cell>
          <cell r="AH15">
            <v>9.3604193753032821</v>
          </cell>
          <cell r="AI15">
            <v>10.267727272727273</v>
          </cell>
          <cell r="AJ15">
            <v>8.8888716470739411</v>
          </cell>
          <cell r="AK15">
            <v>9.1849516482006131</v>
          </cell>
          <cell r="AL15">
            <v>8.962337783920681</v>
          </cell>
          <cell r="AM15">
            <v>9.1849516482006131</v>
          </cell>
          <cell r="AN15">
            <v>9.0869578942688207</v>
          </cell>
          <cell r="AQ15">
            <v>9.7841530749281684</v>
          </cell>
          <cell r="AR15">
            <v>8.7909364363687299</v>
          </cell>
          <cell r="AX15">
            <v>9.5179630508448589</v>
          </cell>
          <cell r="BC15">
            <v>2008</v>
          </cell>
          <cell r="BE15">
            <v>2019</v>
          </cell>
          <cell r="BF15">
            <v>2.7815833333333333</v>
          </cell>
        </row>
        <row r="16">
          <cell r="D16">
            <v>39661</v>
          </cell>
          <cell r="E16">
            <v>79.849230769230786</v>
          </cell>
          <cell r="F16">
            <v>78.850769230769231</v>
          </cell>
          <cell r="G16">
            <v>72.201538461538448</v>
          </cell>
          <cell r="J16">
            <v>77.876153846153855</v>
          </cell>
          <cell r="M16">
            <v>61.563170731707288</v>
          </cell>
          <cell r="N16">
            <v>54.683902439024415</v>
          </cell>
          <cell r="O16">
            <v>60.276097560975579</v>
          </cell>
          <cell r="R16">
            <v>53.216341463414643</v>
          </cell>
          <cell r="U16">
            <v>71.787634408602145</v>
          </cell>
          <cell r="V16">
            <v>68.196559139784966</v>
          </cell>
          <cell r="W16">
            <v>66.944086021505356</v>
          </cell>
          <cell r="Z16">
            <v>67.004623655913989</v>
          </cell>
          <cell r="AC16">
            <v>5.4861904761904761</v>
          </cell>
          <cell r="AD16">
            <v>7.0268421052631593</v>
          </cell>
          <cell r="AE16">
            <v>7.4027777777777795</v>
          </cell>
          <cell r="AF16">
            <v>7.0890476190476193</v>
          </cell>
          <cell r="AG16">
            <v>8.2514285714285709</v>
          </cell>
          <cell r="AH16">
            <v>7.1169349152283434</v>
          </cell>
          <cell r="AI16">
            <v>7.6229999999999993</v>
          </cell>
          <cell r="AJ16">
            <v>5.6255909994465254</v>
          </cell>
          <cell r="AK16">
            <v>5.8120370765871909</v>
          </cell>
          <cell r="AL16">
            <v>5.6720916371467975</v>
          </cell>
          <cell r="AM16">
            <v>5.8120370765871909</v>
          </cell>
          <cell r="AN16">
            <v>5.7485186644772845</v>
          </cell>
          <cell r="AQ16">
            <v>7.5316167651431147</v>
          </cell>
          <cell r="AR16">
            <v>5.5667652916865826</v>
          </cell>
          <cell r="AX16">
            <v>7.4912673115406552</v>
          </cell>
          <cell r="BC16">
            <v>2008</v>
          </cell>
          <cell r="BE16">
            <v>2020</v>
          </cell>
          <cell r="BF16">
            <v>2.9817499999999999</v>
          </cell>
        </row>
        <row r="17">
          <cell r="D17">
            <v>39692</v>
          </cell>
          <cell r="E17">
            <v>65.461199999999991</v>
          </cell>
          <cell r="F17">
            <v>58.1828</v>
          </cell>
          <cell r="G17">
            <v>59.518800000000013</v>
          </cell>
          <cell r="J17">
            <v>56.3416</v>
          </cell>
          <cell r="M17">
            <v>50.751750000000001</v>
          </cell>
          <cell r="N17">
            <v>41.91375</v>
          </cell>
          <cell r="O17">
            <v>49.761249999999997</v>
          </cell>
          <cell r="R17">
            <v>39.564749999999997</v>
          </cell>
          <cell r="U17">
            <v>58.923666666666662</v>
          </cell>
          <cell r="V17">
            <v>50.952111111111108</v>
          </cell>
          <cell r="W17">
            <v>55.182111111111119</v>
          </cell>
          <cell r="Z17">
            <v>48.885222222222218</v>
          </cell>
          <cell r="AC17">
            <v>3.6161904761904755</v>
          </cell>
          <cell r="AD17">
            <v>6.0505555555555572</v>
          </cell>
          <cell r="AE17">
            <v>6.1315000000000008</v>
          </cell>
          <cell r="AF17">
            <v>4.8536842105263158</v>
          </cell>
          <cell r="AG17">
            <v>7.6210526315789462</v>
          </cell>
          <cell r="AH17">
            <v>5.8834462332523749</v>
          </cell>
          <cell r="AI17">
            <v>6.0659999999999989</v>
          </cell>
          <cell r="AJ17">
            <v>3.7089194788667195</v>
          </cell>
          <cell r="AK17">
            <v>3.8323463965700091</v>
          </cell>
          <cell r="AL17">
            <v>3.7395741881617441</v>
          </cell>
          <cell r="AM17">
            <v>3.8323463965700091</v>
          </cell>
          <cell r="AN17">
            <v>3.7912760485944839</v>
          </cell>
          <cell r="AQ17">
            <v>6.3596527025754401</v>
          </cell>
          <cell r="AR17">
            <v>3.6707904361659494</v>
          </cell>
          <cell r="AX17">
            <v>6.4504243754278541</v>
          </cell>
          <cell r="BC17">
            <v>2008</v>
          </cell>
          <cell r="BE17">
            <v>2021</v>
          </cell>
          <cell r="BF17">
            <v>3.1508333333333329</v>
          </cell>
        </row>
        <row r="18">
          <cell r="D18">
            <v>39722</v>
          </cell>
          <cell r="E18">
            <v>57.628888888888881</v>
          </cell>
          <cell r="F18">
            <v>45.880370370370372</v>
          </cell>
          <cell r="G18">
            <v>53.493703703703709</v>
          </cell>
          <cell r="J18">
            <v>45.691851851851851</v>
          </cell>
          <cell r="M18">
            <v>44.858461538461547</v>
          </cell>
          <cell r="N18">
            <v>32.073333333333338</v>
          </cell>
          <cell r="O18">
            <v>44.141282051282047</v>
          </cell>
          <cell r="R18">
            <v>29.69717948717949</v>
          </cell>
          <cell r="U18">
            <v>52.273548387096774</v>
          </cell>
          <cell r="V18">
            <v>40.090322580645164</v>
          </cell>
          <cell r="W18">
            <v>49.571720430107533</v>
          </cell>
          <cell r="Z18">
            <v>38.984408602150538</v>
          </cell>
          <cell r="AC18">
            <v>3.0608695652173914</v>
          </cell>
          <cell r="AD18">
            <v>5.9733333333333336</v>
          </cell>
          <cell r="AE18">
            <v>6.0172727272727267</v>
          </cell>
          <cell r="AF18">
            <v>3.2963636363636373</v>
          </cell>
          <cell r="AG18">
            <v>6.7360869565217394</v>
          </cell>
          <cell r="AH18">
            <v>5.7465860019886392</v>
          </cell>
          <cell r="AI18">
            <v>4.4035000000000002</v>
          </cell>
          <cell r="AJ18">
            <v>3.1392463261293799</v>
          </cell>
          <cell r="AK18">
            <v>3.2436483687389654</v>
          </cell>
          <cell r="AL18">
            <v>3.1651929940243151</v>
          </cell>
          <cell r="AM18">
            <v>3.2436483687389654</v>
          </cell>
          <cell r="AN18">
            <v>3.2087788834882813</v>
          </cell>
          <cell r="AQ18">
            <v>6.259839269496231</v>
          </cell>
          <cell r="AR18">
            <v>3.1077559527703458</v>
          </cell>
          <cell r="AX18">
            <v>6.3679721483371727</v>
          </cell>
          <cell r="BC18">
            <v>2008</v>
          </cell>
          <cell r="BE18">
            <v>2022</v>
          </cell>
          <cell r="BF18">
            <v>3.4098250000000001</v>
          </cell>
        </row>
        <row r="19">
          <cell r="D19">
            <v>39753</v>
          </cell>
          <cell r="E19">
            <v>53.02791666666667</v>
          </cell>
          <cell r="F19">
            <v>41.85291666666668</v>
          </cell>
          <cell r="G19">
            <v>49.028333333333336</v>
          </cell>
          <cell r="J19">
            <v>40.650416666666665</v>
          </cell>
          <cell r="M19">
            <v>46.560476190476194</v>
          </cell>
          <cell r="N19">
            <v>34.052142857142861</v>
          </cell>
          <cell r="O19">
            <v>45.445238095238096</v>
          </cell>
          <cell r="R19">
            <v>30.861666666666661</v>
          </cell>
          <cell r="U19">
            <v>50.004993725645605</v>
          </cell>
          <cell r="V19">
            <v>38.206785218941953</v>
          </cell>
          <cell r="W19">
            <v>47.353571758800605</v>
          </cell>
          <cell r="Z19">
            <v>36.075092464170133</v>
          </cell>
          <cell r="AC19">
            <v>4.1894444444444439</v>
          </cell>
          <cell r="AD19">
            <v>5.7781250000000002</v>
          </cell>
          <cell r="AE19">
            <v>5.8228571428571438</v>
          </cell>
          <cell r="AF19">
            <v>4.4744444444444449</v>
          </cell>
          <cell r="AG19">
            <v>6.6966666666666663</v>
          </cell>
          <cell r="AH19">
            <v>5.6319301093545198</v>
          </cell>
          <cell r="AI19">
            <v>4.968</v>
          </cell>
          <cell r="AJ19">
            <v>4.2922810943346974</v>
          </cell>
          <cell r="AK19">
            <v>4.4359835182381024</v>
          </cell>
          <cell r="AL19">
            <v>4.3276289446338359</v>
          </cell>
          <cell r="AM19">
            <v>4.4359835182381024</v>
          </cell>
          <cell r="AN19">
            <v>4.3800896110285015</v>
          </cell>
          <cell r="AQ19">
            <v>6.0566070647935168</v>
          </cell>
          <cell r="AR19">
            <v>4.2520070723354397</v>
          </cell>
          <cell r="AX19">
            <v>6.1592225012251482</v>
          </cell>
          <cell r="BC19">
            <v>2008</v>
          </cell>
          <cell r="BE19">
            <v>2023</v>
          </cell>
          <cell r="BF19">
            <v>3.7135999999999996</v>
          </cell>
        </row>
        <row r="20">
          <cell r="D20">
            <v>39783</v>
          </cell>
          <cell r="E20">
            <v>61.353846153846163</v>
          </cell>
          <cell r="F20">
            <v>46.731538461538449</v>
          </cell>
          <cell r="G20">
            <v>60.764230769230764</v>
          </cell>
          <cell r="J20">
            <v>45.996153846153852</v>
          </cell>
          <cell r="M20">
            <v>48.092926829268308</v>
          </cell>
          <cell r="N20">
            <v>35.501707317073183</v>
          </cell>
          <cell r="O20">
            <v>49.43219512195121</v>
          </cell>
          <cell r="R20">
            <v>32.814146341463406</v>
          </cell>
          <cell r="U20">
            <v>55.507634408602165</v>
          </cell>
          <cell r="V20">
            <v>41.780752688172036</v>
          </cell>
          <cell r="W20">
            <v>55.768387096774184</v>
          </cell>
          <cell r="Z20">
            <v>40.184731182795694</v>
          </cell>
          <cell r="AC20">
            <v>4.5114285714285716</v>
          </cell>
          <cell r="AD20">
            <v>7.2705882352941167</v>
          </cell>
          <cell r="AE20">
            <v>5.7772222222222229</v>
          </cell>
          <cell r="AF20">
            <v>5.1305000000000005</v>
          </cell>
          <cell r="AG20">
            <v>5.8361904761904766</v>
          </cell>
          <cell r="AH20">
            <v>5.3669332415599467</v>
          </cell>
          <cell r="AI20">
            <v>5.4779999999999998</v>
          </cell>
          <cell r="AJ20">
            <v>4.6156359947571932</v>
          </cell>
          <cell r="AK20">
            <v>4.7661311569701343</v>
          </cell>
          <cell r="AL20">
            <v>4.6537314687629765</v>
          </cell>
          <cell r="AM20">
            <v>4.7661311569701343</v>
          </cell>
          <cell r="AN20">
            <v>4.7000620492121543</v>
          </cell>
          <cell r="AQ20">
            <v>6.8132911016891811</v>
          </cell>
          <cell r="AR20">
            <v>4.5784636544951551</v>
          </cell>
          <cell r="AX20">
            <v>7.7497185757731879</v>
          </cell>
          <cell r="BC20">
            <v>2008</v>
          </cell>
          <cell r="BE20">
            <v>2024</v>
          </cell>
          <cell r="BF20">
            <v>4.022758333333333</v>
          </cell>
        </row>
        <row r="21">
          <cell r="D21">
            <v>39814</v>
          </cell>
          <cell r="E21">
            <v>43.297499999999999</v>
          </cell>
          <cell r="F21">
            <v>38.161999999999999</v>
          </cell>
          <cell r="G21">
            <v>39.683499999999995</v>
          </cell>
          <cell r="J21">
            <v>39.159500000000001</v>
          </cell>
          <cell r="M21">
            <v>36.313000000000002</v>
          </cell>
          <cell r="N21">
            <v>29.185000000000002</v>
          </cell>
          <cell r="O21">
            <v>34.911999999999992</v>
          </cell>
          <cell r="R21">
            <v>28.627499999999998</v>
          </cell>
          <cell r="U21">
            <v>40.218311827956995</v>
          </cell>
          <cell r="V21">
            <v>34.20439784946236</v>
          </cell>
          <cell r="W21">
            <v>37.579935483870962</v>
          </cell>
          <cell r="Z21">
            <v>34.516360215053766</v>
          </cell>
          <cell r="AC21">
            <v>3.7221249999999997</v>
          </cell>
          <cell r="AD21">
            <v>5.1305263157894743</v>
          </cell>
          <cell r="AE21">
            <v>5.0019649999999993</v>
          </cell>
          <cell r="AF21">
            <v>3.9682249999999994</v>
          </cell>
          <cell r="AG21">
            <v>5.239865</v>
          </cell>
          <cell r="AH21">
            <v>4.7640000000000002</v>
          </cell>
          <cell r="AI21">
            <v>4.3970450000000003</v>
          </cell>
          <cell r="AJ21">
            <v>3.812681227482408</v>
          </cell>
          <cell r="AK21">
            <v>4.0309557105327265</v>
          </cell>
          <cell r="AL21">
            <v>3.8489923111805902</v>
          </cell>
          <cell r="AM21">
            <v>4.0309557105327265</v>
          </cell>
          <cell r="AN21">
            <v>3.8513013758056518</v>
          </cell>
          <cell r="AQ21">
            <v>5.2908556897149648</v>
          </cell>
          <cell r="AR21">
            <v>3.7781964219811419</v>
          </cell>
          <cell r="AX21">
            <v>5.521454691783803</v>
          </cell>
          <cell r="BC21">
            <v>2009</v>
          </cell>
          <cell r="BE21">
            <v>2025</v>
          </cell>
          <cell r="BF21">
            <v>4.1833499999999999</v>
          </cell>
        </row>
        <row r="22">
          <cell r="D22">
            <v>39845</v>
          </cell>
          <cell r="E22">
            <v>39.565263157894741</v>
          </cell>
          <cell r="F22">
            <v>33.076315789473682</v>
          </cell>
          <cell r="G22">
            <v>38.274210526315791</v>
          </cell>
          <cell r="J22">
            <v>33.42</v>
          </cell>
          <cell r="M22">
            <v>34.876842105263158</v>
          </cell>
          <cell r="N22">
            <v>25.523888888888891</v>
          </cell>
          <cell r="O22">
            <v>35.348947368421051</v>
          </cell>
          <cell r="R22">
            <v>27.382631578947368</v>
          </cell>
          <cell r="U22">
            <v>37.555939849624068</v>
          </cell>
          <cell r="V22">
            <v>29.839561403508771</v>
          </cell>
          <cell r="W22">
            <v>37.020526315789475</v>
          </cell>
          <cell r="Z22">
            <v>30.832556390977444</v>
          </cell>
          <cell r="AC22">
            <v>2.9910333333333337</v>
          </cell>
          <cell r="AD22">
            <v>4.22888888888889</v>
          </cell>
          <cell r="AE22">
            <v>4.1239499999999998</v>
          </cell>
          <cell r="AF22">
            <v>3.1568944444444438</v>
          </cell>
          <cell r="AG22">
            <v>4.5322888888888881</v>
          </cell>
          <cell r="AH22">
            <v>3.8778947368421051</v>
          </cell>
          <cell r="AI22">
            <v>3.6749611111111111</v>
          </cell>
          <cell r="AJ22">
            <v>3.0637749385425517</v>
          </cell>
          <cell r="AK22">
            <v>3.2391186952426576</v>
          </cell>
          <cell r="AL22">
            <v>3.0928978820522284</v>
          </cell>
          <cell r="AM22">
            <v>3.2391186952426576</v>
          </cell>
          <cell r="AN22">
            <v>3.0946830033003305</v>
          </cell>
          <cell r="AQ22">
            <v>4.3625429409008234</v>
          </cell>
          <cell r="AR22">
            <v>3.0369496748791787</v>
          </cell>
          <cell r="AX22">
            <v>4.5525379770243939</v>
          </cell>
          <cell r="BC22">
            <v>2009</v>
          </cell>
          <cell r="BE22">
            <v>2026</v>
          </cell>
          <cell r="BF22">
            <v>4.244600000000001</v>
          </cell>
        </row>
        <row r="23">
          <cell r="D23">
            <v>39873</v>
          </cell>
          <cell r="E23">
            <v>32.250909090909083</v>
          </cell>
          <cell r="F23">
            <v>29.420500000000004</v>
          </cell>
          <cell r="G23">
            <v>30.531818181818185</v>
          </cell>
          <cell r="J23">
            <v>29.566363636363644</v>
          </cell>
          <cell r="M23">
            <v>27.624545454545455</v>
          </cell>
          <cell r="N23">
            <v>20.869090909090911</v>
          </cell>
          <cell r="O23">
            <v>27.652727272727269</v>
          </cell>
          <cell r="R23">
            <v>21.131</v>
          </cell>
          <cell r="U23">
            <v>30.214810962926705</v>
          </cell>
          <cell r="V23">
            <v>25.656959256087116</v>
          </cell>
          <cell r="W23">
            <v>29.264708185488804</v>
          </cell>
          <cell r="Z23">
            <v>25.853895387250706</v>
          </cell>
          <cell r="AC23">
            <v>2.5717772727272727</v>
          </cell>
          <cell r="AD23">
            <v>3.6212500000000003</v>
          </cell>
          <cell r="AE23">
            <v>3.5326227272727277</v>
          </cell>
          <cell r="AF23">
            <v>2.6597954545454536</v>
          </cell>
          <cell r="AG23">
            <v>3.9590045454545448</v>
          </cell>
          <cell r="AH23">
            <v>3.3322727272727275</v>
          </cell>
          <cell r="AI23">
            <v>3.1600045454545453</v>
          </cell>
          <cell r="AJ23">
            <v>2.6347318939908577</v>
          </cell>
          <cell r="AK23">
            <v>2.7863486262686861</v>
          </cell>
          <cell r="AL23">
            <v>2.6600686598942747</v>
          </cell>
          <cell r="AM23">
            <v>2.7863486262686861</v>
          </cell>
          <cell r="AN23">
            <v>2.6621963631797629</v>
          </cell>
          <cell r="AQ23">
            <v>3.7371306537332849</v>
          </cell>
          <cell r="AR23">
            <v>2.6118700230429619</v>
          </cell>
          <cell r="AX23">
            <v>3.9034366465158148</v>
          </cell>
          <cell r="BC23">
            <v>2009</v>
          </cell>
          <cell r="BE23">
            <v>2027</v>
          </cell>
          <cell r="BF23">
            <v>4.544716666666667</v>
          </cell>
        </row>
        <row r="24">
          <cell r="D24">
            <v>39904</v>
          </cell>
          <cell r="E24">
            <v>25.44</v>
          </cell>
          <cell r="F24">
            <v>27.651</v>
          </cell>
          <cell r="G24">
            <v>22.585000000000001</v>
          </cell>
          <cell r="J24">
            <v>27.114999999999998</v>
          </cell>
          <cell r="M24">
            <v>18.443999999999999</v>
          </cell>
          <cell r="N24">
            <v>18.806000000000001</v>
          </cell>
          <cell r="O24">
            <v>16.989499999999996</v>
          </cell>
          <cell r="R24">
            <v>18.077000000000002</v>
          </cell>
          <cell r="U24">
            <v>22.486133333333331</v>
          </cell>
          <cell r="V24">
            <v>23.916444444444444</v>
          </cell>
          <cell r="W24">
            <v>20.222455555555555</v>
          </cell>
          <cell r="Z24">
            <v>23.298955555555555</v>
          </cell>
          <cell r="AC24">
            <v>2.4368476190476196</v>
          </cell>
          <cell r="AD24">
            <v>2.8893749999999998</v>
          </cell>
          <cell r="AE24">
            <v>3.000342857142857</v>
          </cell>
          <cell r="AF24">
            <v>2.7551380952380957</v>
          </cell>
          <cell r="AG24">
            <v>3.494590476190476</v>
          </cell>
          <cell r="AH24">
            <v>2.881904761904762</v>
          </cell>
          <cell r="AI24">
            <v>2.9885238095238087</v>
          </cell>
          <cell r="AJ24">
            <v>2.4984132034512858</v>
          </cell>
          <cell r="AK24">
            <v>2.6285813295912943</v>
          </cell>
          <cell r="AL24">
            <v>2.5226841786879808</v>
          </cell>
          <cell r="AM24">
            <v>2.6285813295912943</v>
          </cell>
          <cell r="AN24">
            <v>2.5265303909131536</v>
          </cell>
          <cell r="AQ24">
            <v>3.0774763380147281</v>
          </cell>
          <cell r="AR24">
            <v>2.4750661563901653</v>
          </cell>
          <cell r="AX24">
            <v>3.076012197874078</v>
          </cell>
          <cell r="BC24">
            <v>2009</v>
          </cell>
          <cell r="BE24">
            <v>2028</v>
          </cell>
          <cell r="BF24">
            <v>4.7537833333333337</v>
          </cell>
        </row>
        <row r="25">
          <cell r="D25">
            <v>39934</v>
          </cell>
          <cell r="E25">
            <v>28.402222222222221</v>
          </cell>
          <cell r="F25">
            <v>35.367777777777775</v>
          </cell>
          <cell r="G25">
            <v>26.400000000000002</v>
          </cell>
          <cell r="J25">
            <v>35.005000000000003</v>
          </cell>
          <cell r="M25">
            <v>18.915500000000002</v>
          </cell>
          <cell r="N25">
            <v>21.626315789473683</v>
          </cell>
          <cell r="O25">
            <v>17.418000000000003</v>
          </cell>
          <cell r="R25">
            <v>20.009999999999994</v>
          </cell>
          <cell r="U25">
            <v>24.015888291517324</v>
          </cell>
          <cell r="V25">
            <v>29.014198578884486</v>
          </cell>
          <cell r="W25">
            <v>22.247032258064522</v>
          </cell>
          <cell r="Z25">
            <v>28.071827956989242</v>
          </cell>
          <cell r="AC25">
            <v>2.8508849999999999</v>
          </cell>
          <cell r="AD25">
            <v>3.1135294117647061</v>
          </cell>
          <cell r="AE25">
            <v>3.3278349999999994</v>
          </cell>
          <cell r="AF25">
            <v>3.2155900000000002</v>
          </cell>
          <cell r="AG25">
            <v>3.8317099999999997</v>
          </cell>
          <cell r="AH25">
            <v>3.2385000000000006</v>
          </cell>
          <cell r="AI25">
            <v>3.4318050000000007</v>
          </cell>
          <cell r="AJ25">
            <v>2.9225161089968519</v>
          </cell>
          <cell r="AK25">
            <v>3.0741309020228242</v>
          </cell>
          <cell r="AL25">
            <v>2.9509446479883925</v>
          </cell>
          <cell r="AM25">
            <v>3.0741309020228242</v>
          </cell>
          <cell r="AN25">
            <v>2.9551408103101933</v>
          </cell>
          <cell r="AQ25">
            <v>3.3650851290780222</v>
          </cell>
          <cell r="AR25">
            <v>2.8948546395619998</v>
          </cell>
          <cell r="AX25">
            <v>3.3148820506309775</v>
          </cell>
          <cell r="BC25">
            <v>2009</v>
          </cell>
          <cell r="BE25">
            <v>2029</v>
          </cell>
          <cell r="BF25">
            <v>4.8993250000000002</v>
          </cell>
        </row>
        <row r="26">
          <cell r="D26">
            <v>39965</v>
          </cell>
          <cell r="E26">
            <v>25.154999999999998</v>
          </cell>
          <cell r="F26">
            <v>29.51</v>
          </cell>
          <cell r="G26">
            <v>22.744090909090911</v>
          </cell>
          <cell r="J26">
            <v>29.189545454545449</v>
          </cell>
          <cell r="M26">
            <v>13.768181818181818</v>
          </cell>
          <cell r="N26">
            <v>16.572272727272725</v>
          </cell>
          <cell r="O26">
            <v>12.18409090909091</v>
          </cell>
          <cell r="R26">
            <v>14.966818181818182</v>
          </cell>
          <cell r="U26">
            <v>20.347232323232319</v>
          </cell>
          <cell r="V26">
            <v>24.047404040404039</v>
          </cell>
          <cell r="W26">
            <v>18.285424242424245</v>
          </cell>
          <cell r="Z26">
            <v>23.184393939393935</v>
          </cell>
          <cell r="AC26">
            <v>2.5276545454545456</v>
          </cell>
          <cell r="AD26">
            <v>2.7189473684210519</v>
          </cell>
          <cell r="AE26">
            <v>2.9116545454545455</v>
          </cell>
          <cell r="AF26">
            <v>2.8423363636363637</v>
          </cell>
          <cell r="AG26">
            <v>3.8004318181818189</v>
          </cell>
          <cell r="AH26">
            <v>2.8250000000000002</v>
          </cell>
          <cell r="AI26">
            <v>3.0592272727272731</v>
          </cell>
          <cell r="AJ26">
            <v>2.5905923739384993</v>
          </cell>
          <cell r="AK26">
            <v>2.7240476975612671</v>
          </cell>
          <cell r="AL26">
            <v>2.6159289716912904</v>
          </cell>
          <cell r="AM26">
            <v>2.7240476975612671</v>
          </cell>
          <cell r="AN26">
            <v>2.6192790855635661</v>
          </cell>
          <cell r="AQ26">
            <v>2.9422126386761556</v>
          </cell>
          <cell r="AR26">
            <v>2.5671344179808839</v>
          </cell>
          <cell r="AX26">
            <v>2.8947404698893187</v>
          </cell>
          <cell r="BC26">
            <v>2009</v>
          </cell>
          <cell r="BE26">
            <v>2030</v>
          </cell>
          <cell r="BF26">
            <v>5.2143916666666659</v>
          </cell>
        </row>
        <row r="27">
          <cell r="D27">
            <v>39995</v>
          </cell>
          <cell r="E27">
            <v>37.748181818181827</v>
          </cell>
          <cell r="F27">
            <v>39.724090909090911</v>
          </cell>
          <cell r="G27">
            <v>35.278636363636359</v>
          </cell>
          <cell r="J27">
            <v>41.277727272727276</v>
          </cell>
          <cell r="M27">
            <v>27.668181818181814</v>
          </cell>
          <cell r="N27">
            <v>22.621363636363636</v>
          </cell>
          <cell r="O27">
            <v>26.672727272727272</v>
          </cell>
          <cell r="R27">
            <v>24.741818181818186</v>
          </cell>
          <cell r="U27">
            <v>33.304310850439883</v>
          </cell>
          <cell r="V27">
            <v>32.184178885630502</v>
          </cell>
          <cell r="W27">
            <v>31.484633431085037</v>
          </cell>
          <cell r="Z27">
            <v>33.987702834799613</v>
          </cell>
          <cell r="AC27">
            <v>2.8338181818181813</v>
          </cell>
          <cell r="AD27">
            <v>2.8426315789473686</v>
          </cell>
          <cell r="AE27">
            <v>2.9755363636363636</v>
          </cell>
          <cell r="AF27">
            <v>3.151368181818182</v>
          </cell>
          <cell r="AG27">
            <v>3.383577272727273</v>
          </cell>
          <cell r="AH27">
            <v>2.7168181818181814</v>
          </cell>
          <cell r="AI27">
            <v>3.2809590909090911</v>
          </cell>
          <cell r="AJ27">
            <v>2.9026108656348466</v>
          </cell>
          <cell r="AK27">
            <v>3.0492592326285637</v>
          </cell>
          <cell r="AL27">
            <v>2.9312627019726682</v>
          </cell>
          <cell r="AM27">
            <v>3.0492592326285637</v>
          </cell>
          <cell r="AN27">
            <v>2.933739186988086</v>
          </cell>
          <cell r="AQ27">
            <v>3.0401266797365927</v>
          </cell>
          <cell r="AR27">
            <v>2.8775507582055986</v>
          </cell>
          <cell r="AX27">
            <v>3.0258022118489327</v>
          </cell>
          <cell r="BC27">
            <v>2009</v>
          </cell>
          <cell r="BE27">
            <v>2031</v>
          </cell>
          <cell r="BF27">
            <v>5.352358333333334</v>
          </cell>
        </row>
        <row r="28">
          <cell r="D28">
            <v>40026</v>
          </cell>
          <cell r="E28">
            <v>40.376666666666672</v>
          </cell>
          <cell r="F28">
            <v>33.960952380952378</v>
          </cell>
          <cell r="G28">
            <v>38.56</v>
          </cell>
          <cell r="J28">
            <v>36.579047619047621</v>
          </cell>
          <cell r="M28">
            <v>29.740476190476187</v>
          </cell>
          <cell r="N28">
            <v>21.483809523809523</v>
          </cell>
          <cell r="O28">
            <v>29.395714285714288</v>
          </cell>
          <cell r="R28">
            <v>21.970499999999998</v>
          </cell>
          <cell r="U28">
            <v>35.687593445980546</v>
          </cell>
          <cell r="V28">
            <v>28.460276497695851</v>
          </cell>
          <cell r="W28">
            <v>34.519831029185866</v>
          </cell>
          <cell r="Z28">
            <v>30.138720174091141</v>
          </cell>
          <cell r="AC28">
            <v>2.8226666666666671</v>
          </cell>
          <cell r="AD28">
            <v>2.8570000000000002</v>
          </cell>
          <cell r="AE28">
            <v>2.8996714285714287</v>
          </cell>
          <cell r="AF28">
            <v>2.929271428571429</v>
          </cell>
          <cell r="AG28">
            <v>3.1403523809523812</v>
          </cell>
          <cell r="AH28">
            <v>2.58</v>
          </cell>
          <cell r="AI28">
            <v>3.1218047619047615</v>
          </cell>
          <cell r="AJ28">
            <v>2.8903695530278699</v>
          </cell>
          <cell r="AK28">
            <v>3.0350594661770334</v>
          </cell>
          <cell r="AL28">
            <v>2.9190270710911914</v>
          </cell>
          <cell r="AM28">
            <v>3.0350594661770334</v>
          </cell>
          <cell r="AN28">
            <v>2.9209048948223879</v>
          </cell>
          <cell r="AQ28">
            <v>3.0081672548276801</v>
          </cell>
          <cell r="AR28">
            <v>2.8662443451958506</v>
          </cell>
          <cell r="AX28">
            <v>3.0407207133181564</v>
          </cell>
          <cell r="BC28">
            <v>2009</v>
          </cell>
          <cell r="BE28">
            <v>2032</v>
          </cell>
          <cell r="BF28">
            <v>5.4964249999999995</v>
          </cell>
        </row>
        <row r="29">
          <cell r="D29">
            <v>40057</v>
          </cell>
          <cell r="E29">
            <v>40.785499999999999</v>
          </cell>
          <cell r="F29">
            <v>30.84333333333333</v>
          </cell>
          <cell r="G29">
            <v>38.766000000000005</v>
          </cell>
          <cell r="J29">
            <v>33.499499999999998</v>
          </cell>
          <cell r="M29">
            <v>26.757142857142856</v>
          </cell>
          <cell r="N29">
            <v>20.116190476190475</v>
          </cell>
          <cell r="O29">
            <v>25.889047619047616</v>
          </cell>
          <cell r="R29">
            <v>20.65</v>
          </cell>
          <cell r="U29">
            <v>34.550674603174599</v>
          </cell>
          <cell r="V29">
            <v>26.075714285714284</v>
          </cell>
          <cell r="W29">
            <v>33.042910052910052</v>
          </cell>
          <cell r="Z29">
            <v>27.788611111111113</v>
          </cell>
          <cell r="AC29">
            <v>2.878771428571429</v>
          </cell>
          <cell r="AD29">
            <v>3.1442857142857141</v>
          </cell>
          <cell r="AE29">
            <v>3.1514190476190471</v>
          </cell>
          <cell r="AF29">
            <v>2.9843142857142855</v>
          </cell>
          <cell r="AG29">
            <v>2.9857952380952382</v>
          </cell>
          <cell r="AH29">
            <v>2.8676190476190482</v>
          </cell>
          <cell r="AI29">
            <v>3.2245047619047615</v>
          </cell>
          <cell r="AJ29">
            <v>2.948450321000315</v>
          </cell>
          <cell r="AK29">
            <v>3.0970614920281601</v>
          </cell>
          <cell r="AL29">
            <v>2.9776453242585239</v>
          </cell>
          <cell r="AM29">
            <v>3.0970614920281601</v>
          </cell>
          <cell r="AN29">
            <v>2.9800632616048652</v>
          </cell>
          <cell r="AQ29">
            <v>3.2893780049086532</v>
          </cell>
          <cell r="AR29">
            <v>2.9231284189105033</v>
          </cell>
          <cell r="AX29">
            <v>3.3466085294601879</v>
          </cell>
          <cell r="BC29">
            <v>2009</v>
          </cell>
        </row>
        <row r="30">
          <cell r="D30">
            <v>40087</v>
          </cell>
          <cell r="E30">
            <v>46.68454545454545</v>
          </cell>
          <cell r="F30">
            <v>38.268095238095235</v>
          </cell>
          <cell r="G30">
            <v>44.32227272727274</v>
          </cell>
          <cell r="J30">
            <v>38.477272727272741</v>
          </cell>
          <cell r="M30">
            <v>37.622727272727268</v>
          </cell>
          <cell r="N30">
            <v>28.42136363636364</v>
          </cell>
          <cell r="O30">
            <v>36.750454545454545</v>
          </cell>
          <cell r="R30">
            <v>24.598181818181821</v>
          </cell>
          <cell r="U30">
            <v>42.884428152492667</v>
          </cell>
          <cell r="V30">
            <v>34.138820695433601</v>
          </cell>
          <cell r="W30">
            <v>41.146994134897369</v>
          </cell>
          <cell r="Z30">
            <v>32.657008797653972</v>
          </cell>
          <cell r="AC30">
            <v>3.9589409090909098</v>
          </cell>
          <cell r="AD30">
            <v>4.4565000000000001</v>
          </cell>
          <cell r="AE30">
            <v>4.4866636363636365</v>
          </cell>
          <cell r="AF30">
            <v>3.9905272727272729</v>
          </cell>
          <cell r="AG30">
            <v>3.9998863636363637</v>
          </cell>
          <cell r="AH30">
            <v>4.1768181818181809</v>
          </cell>
          <cell r="AI30">
            <v>4.219527272727273</v>
          </cell>
          <cell r="AJ30">
            <v>4.0546451438534747</v>
          </cell>
          <cell r="AK30">
            <v>4.2587875841351019</v>
          </cell>
          <cell r="AL30">
            <v>4.0946565294931725</v>
          </cell>
          <cell r="AM30">
            <v>4.2587875841351019</v>
          </cell>
          <cell r="AN30">
            <v>4.0977651817671328</v>
          </cell>
          <cell r="AQ30">
            <v>4.6702851804967089</v>
          </cell>
          <cell r="AR30">
            <v>4.0183017744001921</v>
          </cell>
          <cell r="AX30">
            <v>4.7424752308173819</v>
          </cell>
          <cell r="BC30">
            <v>2009</v>
          </cell>
        </row>
        <row r="31">
          <cell r="D31">
            <v>40118</v>
          </cell>
          <cell r="E31">
            <v>39.508333333333326</v>
          </cell>
          <cell r="F31">
            <v>34.387058823529408</v>
          </cell>
          <cell r="G31">
            <v>36.041111111111114</v>
          </cell>
          <cell r="J31">
            <v>33.659999999999997</v>
          </cell>
          <cell r="M31">
            <v>30.351111111111109</v>
          </cell>
          <cell r="N31">
            <v>26.473333333333336</v>
          </cell>
          <cell r="O31">
            <v>29.052222222222227</v>
          </cell>
          <cell r="R31">
            <v>23.610555555555557</v>
          </cell>
          <cell r="U31">
            <v>35.228189243334867</v>
          </cell>
          <cell r="V31">
            <v>30.688133039623615</v>
          </cell>
          <cell r="W31">
            <v>32.774459855139469</v>
          </cell>
          <cell r="Z31">
            <v>28.96282555093234</v>
          </cell>
          <cell r="AC31">
            <v>3.4653842105263162</v>
          </cell>
          <cell r="AD31">
            <v>4.108421052631579</v>
          </cell>
          <cell r="AE31">
            <v>3.9481210526315786</v>
          </cell>
          <cell r="AF31">
            <v>3.5501052631578944</v>
          </cell>
          <cell r="AG31">
            <v>3.6789473684210523</v>
          </cell>
          <cell r="AH31">
            <v>3.6268421052631576</v>
          </cell>
          <cell r="AI31">
            <v>3.7948000000000008</v>
          </cell>
          <cell r="AJ31">
            <v>3.5453160946414282</v>
          </cell>
          <cell r="AK31">
            <v>3.7393530085798785</v>
          </cell>
          <cell r="AL31">
            <v>3.5804886936248734</v>
          </cell>
          <cell r="AM31">
            <v>3.7393530085798785</v>
          </cell>
          <cell r="AN31">
            <v>3.5801069536969732</v>
          </cell>
          <cell r="AQ31">
            <v>4.2080642046790819</v>
          </cell>
          <cell r="AR31">
            <v>3.5178894266717191</v>
          </cell>
          <cell r="AX31">
            <v>4.4305691196850931</v>
          </cell>
          <cell r="BC31">
            <v>2009</v>
          </cell>
        </row>
        <row r="32">
          <cell r="D32">
            <v>40148</v>
          </cell>
          <cell r="E32">
            <v>59.913333333333313</v>
          </cell>
          <cell r="F32">
            <v>47.743809523809524</v>
          </cell>
          <cell r="G32">
            <v>56.827619047619052</v>
          </cell>
          <cell r="J32">
            <v>49.973333333333336</v>
          </cell>
          <cell r="M32">
            <v>47.307619047619049</v>
          </cell>
          <cell r="N32">
            <v>36.534285714285716</v>
          </cell>
          <cell r="O32">
            <v>46.026666666666664</v>
          </cell>
          <cell r="R32">
            <v>36.96</v>
          </cell>
          <cell r="U32">
            <v>54.355975422427022</v>
          </cell>
          <cell r="V32">
            <v>42.801976446492581</v>
          </cell>
          <cell r="W32">
            <v>52.065908858166928</v>
          </cell>
          <cell r="Z32">
            <v>44.236272401433695</v>
          </cell>
          <cell r="AC32">
            <v>5.1384409090909093</v>
          </cell>
          <cell r="AD32">
            <v>6.1505882352941166</v>
          </cell>
          <cell r="AE32">
            <v>5.579781818181818</v>
          </cell>
          <cell r="AF32">
            <v>5.3152909090909084</v>
          </cell>
          <cell r="AG32">
            <v>5.3473772727272726</v>
          </cell>
          <cell r="AH32">
            <v>5.2145454545454548</v>
          </cell>
          <cell r="AI32">
            <v>5.5375045454545457</v>
          </cell>
          <cell r="AJ32">
            <v>5.2484580714126619</v>
          </cell>
          <cell r="AK32">
            <v>5.518608728126229</v>
          </cell>
          <cell r="AL32">
            <v>5.3008825628862546</v>
          </cell>
          <cell r="AM32">
            <v>5.518608728126229</v>
          </cell>
          <cell r="AN32">
            <v>5.2933955740658973</v>
          </cell>
          <cell r="AQ32">
            <v>6.1248996979966881</v>
          </cell>
          <cell r="AR32">
            <v>5.2141853797940882</v>
          </cell>
          <cell r="AX32">
            <v>6.6194730874331524</v>
          </cell>
          <cell r="BC32">
            <v>2009</v>
          </cell>
        </row>
        <row r="33">
          <cell r="D33">
            <v>40179</v>
          </cell>
          <cell r="E33">
            <v>49.410000000000011</v>
          </cell>
          <cell r="F33">
            <v>47.435999999999986</v>
          </cell>
          <cell r="G33">
            <v>46.83720000000001</v>
          </cell>
          <cell r="J33">
            <v>47.727200000000003</v>
          </cell>
          <cell r="K33">
            <v>18.5</v>
          </cell>
          <cell r="M33">
            <v>41.740930232558156</v>
          </cell>
          <cell r="N33">
            <v>36.340930232558144</v>
          </cell>
          <cell r="O33">
            <v>41.236744186046501</v>
          </cell>
          <cell r="R33">
            <v>36.505116279069775</v>
          </cell>
          <cell r="S33">
            <v>19.087837837837835</v>
          </cell>
          <cell r="U33">
            <v>45.864086021505393</v>
          </cell>
          <cell r="V33">
            <v>42.306021505376336</v>
          </cell>
          <cell r="W33">
            <v>44.247741935483873</v>
          </cell>
          <cell r="Z33">
            <v>42.538494623655922</v>
          </cell>
          <cell r="AC33">
            <v>5.390080645161289</v>
          </cell>
          <cell r="AD33">
            <v>5.6470000000000002</v>
          </cell>
          <cell r="AE33">
            <v>5.6404548387096778</v>
          </cell>
          <cell r="AF33">
            <v>5.4001583333333336</v>
          </cell>
          <cell r="AG33">
            <v>5.8363677419354838</v>
          </cell>
          <cell r="AH33">
            <v>5.2759</v>
          </cell>
          <cell r="AI33">
            <v>5.8152225806451607</v>
          </cell>
          <cell r="AJ33">
            <v>5.3462862399193529</v>
          </cell>
          <cell r="AK33">
            <v>5.6734144896010168</v>
          </cell>
          <cell r="AL33">
            <v>5.4021374044991504</v>
          </cell>
          <cell r="AM33">
            <v>5.6734144896010168</v>
          </cell>
          <cell r="AN33">
            <v>5.4452225886035643</v>
          </cell>
          <cell r="AQ33">
            <v>5.783010150920453</v>
          </cell>
          <cell r="AR33">
            <v>5.4693204665530661</v>
          </cell>
          <cell r="AX33">
            <v>5.5657026724137939</v>
          </cell>
          <cell r="AZ33">
            <v>10</v>
          </cell>
          <cell r="BA33">
            <v>10</v>
          </cell>
          <cell r="BC33">
            <v>2010</v>
          </cell>
        </row>
        <row r="34">
          <cell r="D34">
            <v>40210</v>
          </cell>
          <cell r="E34">
            <v>46.676666666666669</v>
          </cell>
          <cell r="F34">
            <v>46.372500000000002</v>
          </cell>
          <cell r="G34">
            <v>44.652500000000003</v>
          </cell>
          <cell r="J34">
            <v>46.47291666666667</v>
          </cell>
          <cell r="K34">
            <v>17.462962962962962</v>
          </cell>
          <cell r="M34">
            <v>40.655277777777791</v>
          </cell>
          <cell r="N34">
            <v>36.706944444444453</v>
          </cell>
          <cell r="O34">
            <v>40.356666666666655</v>
          </cell>
          <cell r="R34">
            <v>36.980833333333337</v>
          </cell>
          <cell r="S34">
            <v>18.749999999999986</v>
          </cell>
          <cell r="U34">
            <v>44.096071428571442</v>
          </cell>
          <cell r="V34">
            <v>42.230119047619056</v>
          </cell>
          <cell r="W34">
            <v>42.811428571428564</v>
          </cell>
          <cell r="Z34">
            <v>42.404880952380957</v>
          </cell>
          <cell r="AC34">
            <v>5.0931035714285713</v>
          </cell>
          <cell r="AD34">
            <v>5.1623000000000001</v>
          </cell>
          <cell r="AE34">
            <v>5.2197178571428555</v>
          </cell>
          <cell r="AF34">
            <v>5.1614607142857141</v>
          </cell>
          <cell r="AG34">
            <v>5.3239535714285697</v>
          </cell>
          <cell r="AH34">
            <v>5.0307000000000004</v>
          </cell>
          <cell r="AI34">
            <v>5.3761964285714283</v>
          </cell>
          <cell r="AJ34">
            <v>5.215000126100203</v>
          </cell>
          <cell r="AK34">
            <v>5.5996553078150688</v>
          </cell>
          <cell r="AL34">
            <v>5.2689656446464843</v>
          </cell>
          <cell r="AM34">
            <v>5.6858622064513007</v>
          </cell>
          <cell r="AN34">
            <v>5.3108621973836927</v>
          </cell>
          <cell r="AQ34">
            <v>5.3191189256406286</v>
          </cell>
          <cell r="AR34">
            <v>5.1682182930432639</v>
          </cell>
          <cell r="AX34">
            <v>5.6173773840078969</v>
          </cell>
          <cell r="AZ34">
            <v>11</v>
          </cell>
          <cell r="BA34">
            <v>11</v>
          </cell>
          <cell r="BC34">
            <v>2010</v>
          </cell>
        </row>
        <row r="35">
          <cell r="D35">
            <v>40238</v>
          </cell>
          <cell r="E35">
            <v>42.818518518518523</v>
          </cell>
          <cell r="F35">
            <v>41.237407407407403</v>
          </cell>
          <cell r="G35">
            <v>40.290370370370368</v>
          </cell>
          <cell r="J35">
            <v>42.941851851851851</v>
          </cell>
          <cell r="K35">
            <v>17.25</v>
          </cell>
          <cell r="M35">
            <v>34.375897435897436</v>
          </cell>
          <cell r="N35">
            <v>31.7074358974359</v>
          </cell>
          <cell r="O35">
            <v>33.981025641025639</v>
          </cell>
          <cell r="R35">
            <v>32.468461538461533</v>
          </cell>
          <cell r="S35">
            <v>14.5</v>
          </cell>
          <cell r="U35">
            <v>39.284662318390453</v>
          </cell>
          <cell r="V35">
            <v>37.24841529488905</v>
          </cell>
          <cell r="W35">
            <v>37.649446802636575</v>
          </cell>
          <cell r="Z35">
            <v>38.557969769127233</v>
          </cell>
          <cell r="AC35">
            <v>4.0851193548387092</v>
          </cell>
          <cell r="AD35">
            <v>4.3258999999999999</v>
          </cell>
          <cell r="AE35">
            <v>4.318354838709678</v>
          </cell>
          <cell r="AF35">
            <v>4.1937580645161274</v>
          </cell>
          <cell r="AG35">
            <v>4.2962193548387111</v>
          </cell>
          <cell r="AH35">
            <v>4.0903</v>
          </cell>
          <cell r="AI35">
            <v>4.4077741935483878</v>
          </cell>
          <cell r="AJ35">
            <v>4.1831003662056254</v>
          </cell>
          <cell r="AK35">
            <v>4.4961616464267475</v>
          </cell>
          <cell r="AL35">
            <v>4.2265381459938274</v>
          </cell>
          <cell r="AM35">
            <v>4.5664493159869455</v>
          </cell>
          <cell r="AN35">
            <v>4.261541405434806</v>
          </cell>
          <cell r="AQ35">
            <v>4.4287941075931592</v>
          </cell>
          <cell r="AR35">
            <v>4.1462328762432419</v>
          </cell>
          <cell r="AX35">
            <v>4.7132293750000001</v>
          </cell>
          <cell r="AZ35">
            <v>12</v>
          </cell>
          <cell r="BA35">
            <v>12</v>
          </cell>
          <cell r="BC35">
            <v>2010</v>
          </cell>
        </row>
        <row r="36">
          <cell r="D36">
            <v>40269</v>
          </cell>
          <cell r="E36">
            <v>39.162307692307692</v>
          </cell>
          <cell r="F36">
            <v>35.741923076923072</v>
          </cell>
          <cell r="G36">
            <v>38.331153846153839</v>
          </cell>
          <cell r="J36">
            <v>36.860769230769229</v>
          </cell>
          <cell r="K36">
            <v>17</v>
          </cell>
          <cell r="M36">
            <v>32.75921052631579</v>
          </cell>
          <cell r="N36">
            <v>27.531578947368423</v>
          </cell>
          <cell r="O36">
            <v>32.108421052631591</v>
          </cell>
          <cell r="R36">
            <v>27.853157894736832</v>
          </cell>
          <cell r="S36">
            <v>13.7</v>
          </cell>
          <cell r="U36">
            <v>36.458777777777776</v>
          </cell>
          <cell r="V36">
            <v>32.275333333333336</v>
          </cell>
          <cell r="W36">
            <v>35.70377777777778</v>
          </cell>
          <cell r="Z36">
            <v>33.057555555555545</v>
          </cell>
          <cell r="AC36">
            <v>3.6682033333333348</v>
          </cell>
          <cell r="AD36">
            <v>3.9701</v>
          </cell>
          <cell r="AE36">
            <v>3.9924900000000019</v>
          </cell>
          <cell r="AF36">
            <v>3.7771966666666672</v>
          </cell>
          <cell r="AG36">
            <v>3.989069999999999</v>
          </cell>
          <cell r="AH36">
            <v>3.6642000000000001</v>
          </cell>
          <cell r="AI36">
            <v>3.9532800000000003</v>
          </cell>
          <cell r="AJ36">
            <v>3.7559936959826294</v>
          </cell>
          <cell r="AK36">
            <v>4.0233895570032585</v>
          </cell>
          <cell r="AL36">
            <v>3.7951094592833892</v>
          </cell>
          <cell r="AM36">
            <v>4.0862766362649303</v>
          </cell>
          <cell r="AN36">
            <v>3.8263014505971777</v>
          </cell>
          <cell r="AQ36">
            <v>4.0795502135432358</v>
          </cell>
          <cell r="AR36">
            <v>3.7235257673459752</v>
          </cell>
          <cell r="AX36">
            <v>4.2316363948346014</v>
          </cell>
          <cell r="AZ36">
            <v>13</v>
          </cell>
          <cell r="BA36">
            <v>13</v>
          </cell>
          <cell r="BC36">
            <v>2010</v>
          </cell>
        </row>
        <row r="37">
          <cell r="D37">
            <v>40299</v>
          </cell>
          <cell r="E37">
            <v>33.371200000000002</v>
          </cell>
          <cell r="F37">
            <v>34.373200000000004</v>
          </cell>
          <cell r="G37">
            <v>30.432399999999998</v>
          </cell>
          <cell r="J37">
            <v>32.786400000000008</v>
          </cell>
          <cell r="K37">
            <v>20.75</v>
          </cell>
          <cell r="M37">
            <v>26.730930232558141</v>
          </cell>
          <cell r="N37">
            <v>25.838372093023249</v>
          </cell>
          <cell r="O37">
            <v>25.368837209302328</v>
          </cell>
          <cell r="R37">
            <v>23.561860465116283</v>
          </cell>
          <cell r="S37">
            <v>15.75</v>
          </cell>
          <cell r="U37">
            <v>30.300967741935487</v>
          </cell>
          <cell r="V37">
            <v>30.426989247311827</v>
          </cell>
          <cell r="W37">
            <v>28.091182795698924</v>
          </cell>
          <cell r="Z37">
            <v>28.521290322580651</v>
          </cell>
          <cell r="AC37">
            <v>3.7177709677419348</v>
          </cell>
          <cell r="AD37">
            <v>3.7774000000000001</v>
          </cell>
          <cell r="AE37">
            <v>3.8474290322580651</v>
          </cell>
          <cell r="AF37">
            <v>3.7420967741935467</v>
          </cell>
          <cell r="AG37">
            <v>4.1149870967741933</v>
          </cell>
          <cell r="AH37">
            <v>3.6375999999999999</v>
          </cell>
          <cell r="AI37">
            <v>3.9315838709677426</v>
          </cell>
          <cell r="AJ37">
            <v>3.8065666428683969</v>
          </cell>
          <cell r="AK37">
            <v>4.0733293904274444</v>
          </cell>
          <cell r="AL37">
            <v>3.8461427124593168</v>
          </cell>
          <cell r="AM37">
            <v>4.1359497537042165</v>
          </cell>
          <cell r="AN37">
            <v>3.8762004868321673</v>
          </cell>
          <cell r="AQ37">
            <v>3.9065018928236981</v>
          </cell>
          <cell r="AR37">
            <v>3.7737819109215609</v>
          </cell>
          <cell r="AX37">
            <v>4.0258147368421051</v>
          </cell>
          <cell r="AZ37">
            <v>14</v>
          </cell>
          <cell r="BA37">
            <v>14</v>
          </cell>
          <cell r="BC37">
            <v>2010</v>
          </cell>
        </row>
        <row r="38">
          <cell r="D38">
            <v>40330</v>
          </cell>
          <cell r="E38">
            <v>24.434615384615384</v>
          </cell>
          <cell r="F38">
            <v>36.486153846153847</v>
          </cell>
          <cell r="G38">
            <v>16.866538461538461</v>
          </cell>
          <cell r="J38">
            <v>37.651538461538458</v>
          </cell>
          <cell r="K38">
            <v>32.715000000000003</v>
          </cell>
          <cell r="M38">
            <v>7.8536842105263158</v>
          </cell>
          <cell r="N38">
            <v>20.958684210526314</v>
          </cell>
          <cell r="O38">
            <v>3.353157894736841</v>
          </cell>
          <cell r="R38">
            <v>18.201052631578946</v>
          </cell>
          <cell r="S38">
            <v>19.8</v>
          </cell>
          <cell r="U38">
            <v>17.433777777777777</v>
          </cell>
          <cell r="V38">
            <v>29.930111111111113</v>
          </cell>
          <cell r="W38">
            <v>11.160888888888888</v>
          </cell>
          <cell r="Z38">
            <v>29.439111111111107</v>
          </cell>
          <cell r="AC38">
            <v>4.1044200000000002</v>
          </cell>
          <cell r="AD38">
            <v>4.0426000000000002</v>
          </cell>
          <cell r="AE38">
            <v>4.1491199999999999</v>
          </cell>
          <cell r="AF38">
            <v>4.2204233333333327</v>
          </cell>
          <cell r="AG38">
            <v>4.800113333333333</v>
          </cell>
          <cell r="AH38">
            <v>3.9102000000000001</v>
          </cell>
          <cell r="AI38">
            <v>4.3838033333333319</v>
          </cell>
          <cell r="AJ38">
            <v>4.202425855936414</v>
          </cell>
          <cell r="AK38">
            <v>4.4922295797317444</v>
          </cell>
          <cell r="AL38">
            <v>4.2459236005961261</v>
          </cell>
          <cell r="AM38">
            <v>4.5601948057625439</v>
          </cell>
          <cell r="AN38">
            <v>4.2774594654744167</v>
          </cell>
          <cell r="AQ38">
            <v>4.1969425871841191</v>
          </cell>
          <cell r="AR38">
            <v>4.1658016130994628</v>
          </cell>
          <cell r="AX38">
            <v>4.3081047755589692</v>
          </cell>
          <cell r="AZ38">
            <v>15</v>
          </cell>
          <cell r="BA38">
            <v>15</v>
          </cell>
          <cell r="BC38">
            <v>2010</v>
          </cell>
        </row>
        <row r="39">
          <cell r="D39">
            <v>40360</v>
          </cell>
          <cell r="E39">
            <v>40.05423076923077</v>
          </cell>
          <cell r="F39">
            <v>42.785769230769233</v>
          </cell>
          <cell r="G39">
            <v>36.675769230769234</v>
          </cell>
          <cell r="J39">
            <v>47.596538461538458</v>
          </cell>
          <cell r="K39">
            <v>33.854999999999997</v>
          </cell>
          <cell r="M39">
            <v>25.18195121951219</v>
          </cell>
          <cell r="N39">
            <v>29.066341463414641</v>
          </cell>
          <cell r="O39">
            <v>22.977317073170731</v>
          </cell>
          <cell r="R39">
            <v>26.725609756097565</v>
          </cell>
          <cell r="S39">
            <v>21.8</v>
          </cell>
          <cell r="U39">
            <v>33.497634408602153</v>
          </cell>
          <cell r="V39">
            <v>36.737419354838707</v>
          </cell>
          <cell r="W39">
            <v>30.63666666666667</v>
          </cell>
          <cell r="Z39">
            <v>38.395376344086024</v>
          </cell>
          <cell r="AC39">
            <v>3.8223290322580636</v>
          </cell>
          <cell r="AD39">
            <v>3.7722000000000002</v>
          </cell>
          <cell r="AE39">
            <v>3.8787225806451624</v>
          </cell>
          <cell r="AF39">
            <v>4.0646548387096786</v>
          </cell>
          <cell r="AG39">
            <v>4.6220129032258059</v>
          </cell>
          <cell r="AH39">
            <v>3.5945</v>
          </cell>
          <cell r="AI39">
            <v>4.2285225806451612</v>
          </cell>
          <cell r="AJ39">
            <v>3.9134048157243009</v>
          </cell>
          <cell r="AK39">
            <v>4.1785668719468454</v>
          </cell>
          <cell r="AL39">
            <v>3.9538553680539921</v>
          </cell>
          <cell r="AM39">
            <v>4.2406075963788865</v>
          </cell>
          <cell r="AN39">
            <v>3.9815255311506821</v>
          </cell>
          <cell r="AQ39">
            <v>3.9198706510913826</v>
          </cell>
          <cell r="AR39">
            <v>3.8797923180148679</v>
          </cell>
          <cell r="AX39">
            <v>4.0195594449088778</v>
          </cell>
          <cell r="AZ39">
            <v>16</v>
          </cell>
          <cell r="BA39">
            <v>16</v>
          </cell>
          <cell r="BC39">
            <v>2010</v>
          </cell>
        </row>
        <row r="40">
          <cell r="D40">
            <v>40391</v>
          </cell>
          <cell r="E40">
            <v>42.906923076923086</v>
          </cell>
          <cell r="F40">
            <v>41.395384615384614</v>
          </cell>
          <cell r="G40">
            <v>39.954999999999998</v>
          </cell>
          <cell r="J40">
            <v>45.906153846153856</v>
          </cell>
          <cell r="K40">
            <v>28.61</v>
          </cell>
          <cell r="M40">
            <v>28.83731707317073</v>
          </cell>
          <cell r="N40">
            <v>27.609512195121951</v>
          </cell>
          <cell r="O40">
            <v>28.090243902439024</v>
          </cell>
          <cell r="R40">
            <v>28.01829268292683</v>
          </cell>
          <cell r="S40">
            <v>18.899999999999999</v>
          </cell>
          <cell r="U40">
            <v>36.704193548387096</v>
          </cell>
          <cell r="V40">
            <v>35.317741935483873</v>
          </cell>
          <cell r="W40">
            <v>34.724301075268812</v>
          </cell>
          <cell r="Z40">
            <v>38.020107526881723</v>
          </cell>
          <cell r="AC40">
            <v>3.3450548387096775</v>
          </cell>
          <cell r="AD40">
            <v>3.4352999999999998</v>
          </cell>
          <cell r="AE40">
            <v>3.5622129032258067</v>
          </cell>
          <cell r="AF40">
            <v>3.6939935483870974</v>
          </cell>
          <cell r="AG40">
            <v>4.3449741935483877</v>
          </cell>
          <cell r="AH40">
            <v>3.2395999999999998</v>
          </cell>
          <cell r="AI40">
            <v>3.8541161290322576</v>
          </cell>
          <cell r="AJ40">
            <v>3.4246657471883628</v>
          </cell>
          <cell r="AK40">
            <v>3.6544737542543655</v>
          </cell>
          <cell r="AL40">
            <v>3.4600125608044054</v>
          </cell>
          <cell r="AM40">
            <v>3.7081923159808734</v>
          </cell>
          <cell r="AN40">
            <v>3.4834338537171634</v>
          </cell>
          <cell r="AQ40">
            <v>3.5851029952096471</v>
          </cell>
          <cell r="AR40">
            <v>3.3958886441343181</v>
          </cell>
          <cell r="AX40">
            <v>3.6603811741359347</v>
          </cell>
          <cell r="AZ40">
            <v>17</v>
          </cell>
          <cell r="BA40">
            <v>17</v>
          </cell>
          <cell r="BC40">
            <v>2010</v>
          </cell>
        </row>
        <row r="41">
          <cell r="D41">
            <v>40422</v>
          </cell>
          <cell r="E41">
            <v>39.429199999999994</v>
          </cell>
          <cell r="F41">
            <v>36.407199999999996</v>
          </cell>
          <cell r="G41">
            <v>36.7776</v>
          </cell>
          <cell r="J41">
            <v>38.206400000000002</v>
          </cell>
          <cell r="K41">
            <v>25.4925</v>
          </cell>
          <cell r="M41">
            <v>28.875999999999998</v>
          </cell>
          <cell r="N41">
            <v>26.311749999999996</v>
          </cell>
          <cell r="O41">
            <v>28.258250000000004</v>
          </cell>
          <cell r="R41">
            <v>25.102999999999998</v>
          </cell>
          <cell r="S41">
            <v>20.45</v>
          </cell>
          <cell r="U41">
            <v>34.738888888888887</v>
          </cell>
          <cell r="V41">
            <v>31.920333333333328</v>
          </cell>
          <cell r="W41">
            <v>32.99122222222222</v>
          </cell>
          <cell r="Z41">
            <v>32.382666666666665</v>
          </cell>
          <cell r="AC41">
            <v>3.4034</v>
          </cell>
          <cell r="AD41">
            <v>3.5771999999999999</v>
          </cell>
          <cell r="AE41">
            <v>3.6685633333333341</v>
          </cell>
          <cell r="AF41">
            <v>3.6450199999999993</v>
          </cell>
          <cell r="AG41">
            <v>3.8890833333333332</v>
          </cell>
          <cell r="AH41">
            <v>3.4868999999999999</v>
          </cell>
          <cell r="AI41">
            <v>3.807173333333334</v>
          </cell>
          <cell r="AJ41">
            <v>3.484435930139401</v>
          </cell>
          <cell r="AK41">
            <v>3.7177277936228172</v>
          </cell>
          <cell r="AL41">
            <v>3.5203185963787855</v>
          </cell>
          <cell r="AM41">
            <v>3.772260721038295</v>
          </cell>
          <cell r="AN41">
            <v>3.5439858868771035</v>
          </cell>
          <cell r="AQ41">
            <v>3.7122915224548474</v>
          </cell>
          <cell r="AR41">
            <v>3.4550442370475518</v>
          </cell>
          <cell r="AX41">
            <v>3.8115092558983665</v>
          </cell>
          <cell r="AZ41">
            <v>18</v>
          </cell>
          <cell r="BA41">
            <v>18</v>
          </cell>
          <cell r="BC41">
            <v>2010</v>
          </cell>
        </row>
        <row r="42">
          <cell r="D42">
            <v>40452</v>
          </cell>
          <cell r="E42">
            <v>34.553846153846152</v>
          </cell>
          <cell r="F42">
            <v>34.007692307692302</v>
          </cell>
          <cell r="G42">
            <v>31.53346153846153</v>
          </cell>
          <cell r="J42">
            <v>31.992692307692305</v>
          </cell>
          <cell r="K42">
            <v>22.704999999999998</v>
          </cell>
          <cell r="M42">
            <v>31.118292682926828</v>
          </cell>
          <cell r="N42">
            <v>25.140487804878042</v>
          </cell>
          <cell r="O42">
            <v>28.906829268292679</v>
          </cell>
          <cell r="R42">
            <v>21.886585365853655</v>
          </cell>
          <cell r="S42">
            <v>20.55</v>
          </cell>
          <cell r="U42">
            <v>33.039247311827957</v>
          </cell>
          <cell r="V42">
            <v>30.098494623655906</v>
          </cell>
          <cell r="W42">
            <v>30.375483870967738</v>
          </cell>
          <cell r="Z42">
            <v>27.537311827956987</v>
          </cell>
          <cell r="AC42">
            <v>3.1527193548387094</v>
          </cell>
          <cell r="AD42">
            <v>3.3765999999999998</v>
          </cell>
          <cell r="AE42">
            <v>3.4198451612903233</v>
          </cell>
          <cell r="AF42">
            <v>3.2446677419354835</v>
          </cell>
          <cell r="AG42">
            <v>3.4406451612903224</v>
          </cell>
          <cell r="AH42">
            <v>3.2601</v>
          </cell>
          <cell r="AI42">
            <v>3.3912419354838717</v>
          </cell>
          <cell r="AJ42">
            <v>3.2277579671140288</v>
          </cell>
          <cell r="AK42">
            <v>3.4413984842436274</v>
          </cell>
          <cell r="AL42">
            <v>3.2608867161504724</v>
          </cell>
          <cell r="AM42">
            <v>3.4912911785756218</v>
          </cell>
          <cell r="AN42">
            <v>3.2819414331585746</v>
          </cell>
          <cell r="AQ42">
            <v>3.4820880277744837</v>
          </cell>
          <cell r="AR42">
            <v>3.2008815632553076</v>
          </cell>
          <cell r="AX42">
            <v>3.5974898126730741</v>
          </cell>
          <cell r="AZ42">
            <v>19</v>
          </cell>
          <cell r="BA42">
            <v>19</v>
          </cell>
          <cell r="BC42">
            <v>2010</v>
          </cell>
        </row>
        <row r="43">
          <cell r="D43">
            <v>40483</v>
          </cell>
          <cell r="E43">
            <v>37.280400000000007</v>
          </cell>
          <cell r="F43">
            <v>34.014800000000001</v>
          </cell>
          <cell r="G43">
            <v>34.891200000000005</v>
          </cell>
          <cell r="J43">
            <v>34.8964</v>
          </cell>
          <cell r="K43">
            <v>26.802499999999998</v>
          </cell>
          <cell r="M43">
            <v>32.270000000000003</v>
          </cell>
          <cell r="N43">
            <v>26.763250000000006</v>
          </cell>
          <cell r="O43">
            <v>30.29975</v>
          </cell>
          <cell r="R43">
            <v>26.357500000000005</v>
          </cell>
          <cell r="S43">
            <v>21.95</v>
          </cell>
          <cell r="U43">
            <v>35.049694868238568</v>
          </cell>
          <cell r="V43">
            <v>30.786301317614431</v>
          </cell>
          <cell r="W43">
            <v>32.847017683772535</v>
          </cell>
          <cell r="Z43">
            <v>31.094753814147023</v>
          </cell>
          <cell r="AC43">
            <v>3.5536333333333334</v>
          </cell>
          <cell r="AD43">
            <v>4.0456000000000003</v>
          </cell>
          <cell r="AE43">
            <v>3.932240000000002</v>
          </cell>
          <cell r="AF43">
            <v>3.5921399999999997</v>
          </cell>
          <cell r="AG43">
            <v>3.6722733333333348</v>
          </cell>
          <cell r="AH43">
            <v>3.6012</v>
          </cell>
          <cell r="AI43">
            <v>3.7366333333333341</v>
          </cell>
          <cell r="AJ43">
            <v>3.638020971856692</v>
          </cell>
          <cell r="AK43">
            <v>3.8801113692510918</v>
          </cell>
          <cell r="AL43">
            <v>3.675108532736385</v>
          </cell>
          <cell r="AM43">
            <v>3.9338614574825304</v>
          </cell>
          <cell r="AN43">
            <v>3.6952110657349428</v>
          </cell>
          <cell r="AQ43">
            <v>4.0873633925159751</v>
          </cell>
          <cell r="AR43">
            <v>3.6073643560106801</v>
          </cell>
          <cell r="AX43">
            <v>4.3854462806673205</v>
          </cell>
          <cell r="AZ43">
            <v>20</v>
          </cell>
          <cell r="BA43">
            <v>20</v>
          </cell>
          <cell r="BC43">
            <v>2010</v>
          </cell>
        </row>
        <row r="44">
          <cell r="D44">
            <v>40513</v>
          </cell>
          <cell r="E44">
            <v>36.541153846153847</v>
          </cell>
          <cell r="F44">
            <v>35.143461538461537</v>
          </cell>
          <cell r="G44">
            <v>34.547692307692301</v>
          </cell>
          <cell r="J44">
            <v>35.601538461538453</v>
          </cell>
          <cell r="K44">
            <v>26.8</v>
          </cell>
          <cell r="M44">
            <v>31.386585365853666</v>
          </cell>
          <cell r="N44">
            <v>26.858536585365851</v>
          </cell>
          <cell r="O44">
            <v>30.720975609756096</v>
          </cell>
          <cell r="R44">
            <v>26.864634146341459</v>
          </cell>
          <cell r="S44">
            <v>23.72</v>
          </cell>
          <cell r="U44">
            <v>34.268709677419359</v>
          </cell>
          <cell r="V44">
            <v>31.490967741935481</v>
          </cell>
          <cell r="W44">
            <v>32.860645161290314</v>
          </cell>
          <cell r="Z44">
            <v>31.749784946236556</v>
          </cell>
          <cell r="AC44">
            <v>3.9984838709677417</v>
          </cell>
          <cell r="AD44">
            <v>4.1589999999999998</v>
          </cell>
          <cell r="AE44">
            <v>4.1347193548387109</v>
          </cell>
          <cell r="AF44">
            <v>4.0336290322580659</v>
          </cell>
          <cell r="AG44">
            <v>4.2206322580645148</v>
          </cell>
          <cell r="AH44">
            <v>3.8946000000000001</v>
          </cell>
          <cell r="AI44">
            <v>4.1651645161290336</v>
          </cell>
          <cell r="AJ44">
            <v>4.0927478785743308</v>
          </cell>
          <cell r="AK44">
            <v>4.3421798800758173</v>
          </cell>
          <cell r="AL44">
            <v>4.1340089575732577</v>
          </cell>
          <cell r="AM44">
            <v>4.3970483361914106</v>
          </cell>
          <cell r="AN44">
            <v>4.1488234407244677</v>
          </cell>
          <cell r="AQ44">
            <v>4.2492008963289489</v>
          </cell>
          <cell r="AR44">
            <v>4.0583939997645153</v>
          </cell>
          <cell r="AX44">
            <v>4.501174977240213</v>
          </cell>
          <cell r="AZ44">
            <v>21</v>
          </cell>
          <cell r="BA44">
            <v>21</v>
          </cell>
          <cell r="BC44">
            <v>2010</v>
          </cell>
        </row>
        <row r="45">
          <cell r="D45">
            <v>40544</v>
          </cell>
          <cell r="E45">
            <v>33.130000000000003</v>
          </cell>
          <cell r="F45">
            <v>34.247083333333336</v>
          </cell>
          <cell r="G45">
            <v>29.288333333333327</v>
          </cell>
          <cell r="J45">
            <v>34.357500000000002</v>
          </cell>
          <cell r="K45">
            <v>31.993809523809524</v>
          </cell>
          <cell r="M45">
            <v>23.308055555555555</v>
          </cell>
          <cell r="N45">
            <v>24.498611111111114</v>
          </cell>
          <cell r="O45">
            <v>21.349166666666665</v>
          </cell>
          <cell r="R45">
            <v>23.983611111111113</v>
          </cell>
          <cell r="S45">
            <v>21.733333333333334</v>
          </cell>
          <cell r="U45">
            <v>28.588670848267622</v>
          </cell>
          <cell r="V45">
            <v>29.739725209080049</v>
          </cell>
          <cell r="W45">
            <v>25.617535842293901</v>
          </cell>
          <cell r="Z45">
            <v>29.560970728793311</v>
          </cell>
          <cell r="AC45">
            <v>4.2362928571428569</v>
          </cell>
          <cell r="AD45">
            <v>4.2891000000000004</v>
          </cell>
          <cell r="AE45">
            <v>4.263464285714285</v>
          </cell>
          <cell r="AF45">
            <v>4.2339499999999992</v>
          </cell>
          <cell r="AG45">
            <v>4.4850250000000011</v>
          </cell>
          <cell r="AH45">
            <v>3.9861</v>
          </cell>
          <cell r="AI45">
            <v>4.3601928571428576</v>
          </cell>
          <cell r="AJ45">
            <v>4.2018729776785708</v>
          </cell>
          <cell r="AK45">
            <v>4.4589769356203002</v>
          </cell>
          <cell r="AL45">
            <v>4.2457687753759394</v>
          </cell>
          <cell r="AM45">
            <v>4.4589769356203002</v>
          </cell>
          <cell r="AN45">
            <v>4.2796312478853382</v>
          </cell>
          <cell r="AQ45">
            <v>4.4666179896143738</v>
          </cell>
          <cell r="AR45">
            <v>4.2948212833125954</v>
          </cell>
          <cell r="AX45">
            <v>4.2273517500000004</v>
          </cell>
          <cell r="AZ45">
            <v>22</v>
          </cell>
          <cell r="BA45">
            <v>22</v>
          </cell>
          <cell r="BC45">
            <v>2011</v>
          </cell>
        </row>
        <row r="46">
          <cell r="D46">
            <v>40575</v>
          </cell>
          <cell r="E46">
            <v>33.274583333333332</v>
          </cell>
          <cell r="F46">
            <v>34.708750000000002</v>
          </cell>
          <cell r="G46">
            <v>28.200416666666666</v>
          </cell>
          <cell r="J46">
            <v>35.345833333333331</v>
          </cell>
          <cell r="K46">
            <v>34.738095238095241</v>
          </cell>
          <cell r="M46">
            <v>18.837222222222223</v>
          </cell>
          <cell r="N46">
            <v>24.172777777777771</v>
          </cell>
          <cell r="O46">
            <v>15.437777777777777</v>
          </cell>
          <cell r="R46">
            <v>22.92861111111111</v>
          </cell>
          <cell r="S46">
            <v>17.984375</v>
          </cell>
          <cell r="U46">
            <v>27.087142857142858</v>
          </cell>
          <cell r="V46">
            <v>30.193333333333332</v>
          </cell>
          <cell r="W46">
            <v>22.730714285714281</v>
          </cell>
          <cell r="Z46">
            <v>30.024166666666666</v>
          </cell>
          <cell r="AC46">
            <v>4.0086785714285718</v>
          </cell>
          <cell r="AD46">
            <v>3.9933999999999998</v>
          </cell>
          <cell r="AE46">
            <v>3.9718035714285711</v>
          </cell>
          <cell r="AF46">
            <v>4.0938357142857118</v>
          </cell>
          <cell r="AG46">
            <v>4.0804535714285697</v>
          </cell>
          <cell r="AH46">
            <v>3.7324000000000002</v>
          </cell>
          <cell r="AI46">
            <v>4.1683500000000002</v>
          </cell>
          <cell r="AJ46">
            <v>4.1046208784698717</v>
          </cell>
          <cell r="AK46">
            <v>4.4073751740980756</v>
          </cell>
          <cell r="AL46">
            <v>4.1470960441048463</v>
          </cell>
          <cell r="AM46">
            <v>4.4752268763903666</v>
          </cell>
          <cell r="AN46">
            <v>4.1800719714188999</v>
          </cell>
          <cell r="AQ46">
            <v>4.160240344988491</v>
          </cell>
          <cell r="AR46">
            <v>4.0643024604299898</v>
          </cell>
          <cell r="AX46">
            <v>4.3454341757156953</v>
          </cell>
          <cell r="AZ46">
            <v>23</v>
          </cell>
          <cell r="BA46">
            <v>23</v>
          </cell>
          <cell r="BC46">
            <v>2011</v>
          </cell>
        </row>
        <row r="47">
          <cell r="D47">
            <v>40603</v>
          </cell>
          <cell r="E47">
            <v>24.07185185185185</v>
          </cell>
          <cell r="F47">
            <v>28.418888888888887</v>
          </cell>
          <cell r="G47">
            <v>20.508518518518517</v>
          </cell>
          <cell r="J47">
            <v>28.518888888888888</v>
          </cell>
          <cell r="K47">
            <v>30.543333333333333</v>
          </cell>
          <cell r="M47">
            <v>15.10692307692308</v>
          </cell>
          <cell r="N47">
            <v>16.66</v>
          </cell>
          <cell r="O47">
            <v>12.034102564102565</v>
          </cell>
          <cell r="R47">
            <v>16.245128205128204</v>
          </cell>
          <cell r="S47">
            <v>14.623421052631569</v>
          </cell>
          <cell r="U47">
            <v>20.319371570555958</v>
          </cell>
          <cell r="V47">
            <v>23.496931359353969</v>
          </cell>
          <cell r="W47">
            <v>16.961353832349797</v>
          </cell>
          <cell r="Z47">
            <v>23.381419746695652</v>
          </cell>
          <cell r="AC47">
            <v>3.7675612903225804</v>
          </cell>
          <cell r="AD47">
            <v>3.8117999999999999</v>
          </cell>
          <cell r="AE47">
            <v>3.8739677419354841</v>
          </cell>
          <cell r="AF47">
            <v>3.7637161290322587</v>
          </cell>
          <cell r="AG47">
            <v>3.9418645161290304</v>
          </cell>
          <cell r="AH47">
            <v>3.8235999999999999</v>
          </cell>
          <cell r="AI47">
            <v>3.9111741935483861</v>
          </cell>
          <cell r="AJ47">
            <v>3.8579257163155205</v>
          </cell>
          <cell r="AK47">
            <v>4.1466510774149139</v>
          </cell>
          <cell r="AL47">
            <v>3.8979868463468237</v>
          </cell>
          <cell r="AM47">
            <v>4.2114749124170237</v>
          </cell>
          <cell r="AN47">
            <v>3.9302691161778736</v>
          </cell>
          <cell r="AQ47">
            <v>4.0143749782203644</v>
          </cell>
          <cell r="AR47">
            <v>3.8201083333224428</v>
          </cell>
          <cell r="AX47">
            <v>4.1530982527624314</v>
          </cell>
          <cell r="AZ47">
            <v>24</v>
          </cell>
          <cell r="BA47">
            <v>24</v>
          </cell>
          <cell r="BC47">
            <v>2011</v>
          </cell>
        </row>
        <row r="48">
          <cell r="D48">
            <v>40634</v>
          </cell>
          <cell r="E48">
            <v>31.356538461538467</v>
          </cell>
          <cell r="F48">
            <v>34.864230769230772</v>
          </cell>
          <cell r="G48">
            <v>29.414230769230773</v>
          </cell>
          <cell r="J48">
            <v>33.880384615384621</v>
          </cell>
          <cell r="K48">
            <v>35</v>
          </cell>
          <cell r="M48">
            <v>12.336315789473684</v>
          </cell>
          <cell r="N48">
            <v>20.74868421052631</v>
          </cell>
          <cell r="O48">
            <v>9.9902631578947396</v>
          </cell>
          <cell r="R48">
            <v>15.346052631578944</v>
          </cell>
          <cell r="S48">
            <v>12.61269230769231</v>
          </cell>
          <cell r="U48">
            <v>23.32577777777778</v>
          </cell>
          <cell r="V48">
            <v>28.904333333333334</v>
          </cell>
          <cell r="W48">
            <v>21.213000000000005</v>
          </cell>
          <cell r="Z48">
            <v>26.05477777777778</v>
          </cell>
          <cell r="AC48">
            <v>3.9275499999999992</v>
          </cell>
          <cell r="AD48">
            <v>4.0407000000000002</v>
          </cell>
          <cell r="AE48">
            <v>4.0897599999999992</v>
          </cell>
          <cell r="AF48">
            <v>3.955873333333332</v>
          </cell>
          <cell r="AG48">
            <v>4.2362933333333332</v>
          </cell>
          <cell r="AH48">
            <v>3.9146999999999998</v>
          </cell>
          <cell r="AI48">
            <v>4.2324266666666661</v>
          </cell>
          <cell r="AJ48">
            <v>4.0215472535573458</v>
          </cell>
          <cell r="AK48">
            <v>4.3078483439053645</v>
          </cell>
          <cell r="AL48">
            <v>4.0634285513457904</v>
          </cell>
          <cell r="AM48">
            <v>4.3751816200925751</v>
          </cell>
          <cell r="AN48">
            <v>4.0968258563346458</v>
          </cell>
          <cell r="AQ48">
            <v>4.2463473619673566</v>
          </cell>
          <cell r="AR48">
            <v>3.9821386246708514</v>
          </cell>
          <cell r="AX48">
            <v>4.3068872775517431</v>
          </cell>
          <cell r="AZ48">
            <v>25</v>
          </cell>
          <cell r="BA48">
            <v>25</v>
          </cell>
          <cell r="BC48">
            <v>2011</v>
          </cell>
        </row>
        <row r="49">
          <cell r="D49">
            <v>40664</v>
          </cell>
          <cell r="E49">
            <v>28.235600000000005</v>
          </cell>
          <cell r="F49">
            <v>35.446799999999996</v>
          </cell>
          <cell r="G49">
            <v>25.412799999999994</v>
          </cell>
          <cell r="J49">
            <v>35.658799999999999</v>
          </cell>
          <cell r="K49">
            <v>28.68</v>
          </cell>
          <cell r="M49">
            <v>6.88046511627907</v>
          </cell>
          <cell r="N49">
            <v>15.705348837209304</v>
          </cell>
          <cell r="O49">
            <v>4.5779069767441873</v>
          </cell>
          <cell r="R49">
            <v>14.526744186046514</v>
          </cell>
          <cell r="S49">
            <v>7.2581249999999997</v>
          </cell>
          <cell r="U49">
            <v>18.361720430107528</v>
          </cell>
          <cell r="V49">
            <v>26.319032258064517</v>
          </cell>
          <cell r="W49">
            <v>15.779462365591394</v>
          </cell>
          <cell r="Z49">
            <v>25.888064516129031</v>
          </cell>
          <cell r="AC49">
            <v>4.0053064516129044</v>
          </cell>
          <cell r="AD49">
            <v>4.0259</v>
          </cell>
          <cell r="AE49">
            <v>4.1204999999999998</v>
          </cell>
          <cell r="AF49">
            <v>4.0366258064516138</v>
          </cell>
          <cell r="AG49">
            <v>4.28276129032258</v>
          </cell>
          <cell r="AH49">
            <v>3.9861</v>
          </cell>
          <cell r="AI49">
            <v>4.2362290322580654</v>
          </cell>
          <cell r="AJ49">
            <v>4.1009696577504666</v>
          </cell>
          <cell r="AK49">
            <v>4.3883640570071787</v>
          </cell>
          <cell r="AL49">
            <v>4.1436065733209464</v>
          </cell>
          <cell r="AM49">
            <v>4.455827531011102</v>
          </cell>
          <cell r="AN49">
            <v>4.1759890408428291</v>
          </cell>
          <cell r="AQ49">
            <v>4.2546024087037937</v>
          </cell>
          <cell r="AR49">
            <v>4.0608873097153175</v>
          </cell>
          <cell r="AX49">
            <v>4.2906569463262114</v>
          </cell>
          <cell r="AZ49">
            <v>26</v>
          </cell>
          <cell r="BA49">
            <v>26</v>
          </cell>
          <cell r="BC49">
            <v>2011</v>
          </cell>
        </row>
        <row r="50">
          <cell r="D50">
            <v>40695</v>
          </cell>
          <cell r="E50">
            <v>29.411538461538463</v>
          </cell>
          <cell r="F50">
            <v>38.581153846153832</v>
          </cell>
          <cell r="G50">
            <v>24.652307692307684</v>
          </cell>
          <cell r="J50">
            <v>39.738076923076925</v>
          </cell>
          <cell r="K50">
            <v>32.041666666666664</v>
          </cell>
          <cell r="M50">
            <v>2.5457894736842102</v>
          </cell>
          <cell r="N50">
            <v>11.85578947368421</v>
          </cell>
          <cell r="O50">
            <v>-1.266842105263158</v>
          </cell>
          <cell r="R50">
            <v>8.6521052631578979</v>
          </cell>
          <cell r="S50">
            <v>3.7857894736842108</v>
          </cell>
          <cell r="U50">
            <v>18.068222222222222</v>
          </cell>
          <cell r="V50">
            <v>27.297111111111104</v>
          </cell>
          <cell r="W50">
            <v>13.708666666666661</v>
          </cell>
          <cell r="Z50">
            <v>26.612888888888893</v>
          </cell>
          <cell r="AC50">
            <v>4.2541333333333329</v>
          </cell>
          <cell r="AD50">
            <v>4.2436999999999996</v>
          </cell>
          <cell r="AE50">
            <v>4.3704900000000002</v>
          </cell>
          <cell r="AF50">
            <v>4.3426333333333345</v>
          </cell>
          <cell r="AG50">
            <v>4.5393533333333336</v>
          </cell>
          <cell r="AH50">
            <v>4.2196999999999996</v>
          </cell>
          <cell r="AI50">
            <v>4.5450600000000003</v>
          </cell>
          <cell r="AJ50">
            <v>4.3557140630347186</v>
          </cell>
          <cell r="AK50">
            <v>4.6560887034277201</v>
          </cell>
          <cell r="AL50">
            <v>4.4007984368272899</v>
          </cell>
          <cell r="AM50">
            <v>4.7265330374786103</v>
          </cell>
          <cell r="AN50">
            <v>4.4334846078269026</v>
          </cell>
          <cell r="AQ50">
            <v>4.4985636946084657</v>
          </cell>
          <cell r="AR50">
            <v>4.3128894180001343</v>
          </cell>
          <cell r="AX50">
            <v>4.5224123672981733</v>
          </cell>
          <cell r="AZ50">
            <v>27</v>
          </cell>
          <cell r="BA50">
            <v>27</v>
          </cell>
          <cell r="BC50">
            <v>2011</v>
          </cell>
        </row>
        <row r="51">
          <cell r="D51">
            <v>40725</v>
          </cell>
          <cell r="E51">
            <v>36.794399999999996</v>
          </cell>
          <cell r="F51">
            <v>45.283999999999999</v>
          </cell>
          <cell r="G51">
            <v>31.407999999999998</v>
          </cell>
          <cell r="J51">
            <v>47.928400000000003</v>
          </cell>
          <cell r="K51">
            <v>46.309999999999988</v>
          </cell>
          <cell r="M51">
            <v>13.161395348837209</v>
          </cell>
          <cell r="N51">
            <v>26.829534883720928</v>
          </cell>
          <cell r="O51">
            <v>8.3960465116279082</v>
          </cell>
          <cell r="R51">
            <v>25.770232558139536</v>
          </cell>
          <cell r="S51">
            <v>18.511515151515152</v>
          </cell>
          <cell r="U51">
            <v>25.867311827956989</v>
          </cell>
          <cell r="V51">
            <v>36.751290322580644</v>
          </cell>
          <cell r="W51">
            <v>20.76806451612903</v>
          </cell>
          <cell r="Z51">
            <v>37.683225806451617</v>
          </cell>
          <cell r="AC51">
            <v>4.0678322580645165</v>
          </cell>
          <cell r="AD51">
            <v>4.0002000000000004</v>
          </cell>
          <cell r="AE51">
            <v>4.1386870967741931</v>
          </cell>
          <cell r="AF51">
            <v>4.1675548387096786</v>
          </cell>
          <cell r="AG51">
            <v>4.4062935483870982</v>
          </cell>
          <cell r="AH51">
            <v>3.8679000000000001</v>
          </cell>
          <cell r="AI51">
            <v>4.4131677419354842</v>
          </cell>
          <cell r="AJ51">
            <v>4.1647577207302975</v>
          </cell>
          <cell r="AK51">
            <v>4.4469507911891144</v>
          </cell>
          <cell r="AL51">
            <v>4.2078063594619657</v>
          </cell>
          <cell r="AM51">
            <v>4.512976310716212</v>
          </cell>
          <cell r="AN51">
            <v>4.2372537411710507</v>
          </cell>
          <cell r="AQ51">
            <v>4.2506263760865792</v>
          </cell>
          <cell r="AR51">
            <v>4.1242109945964316</v>
          </cell>
          <cell r="AV51">
            <v>4.1386870967741931</v>
          </cell>
          <cell r="AW51">
            <v>4.1018569738863295</v>
          </cell>
          <cell r="AX51">
            <v>4.2625103895669625</v>
          </cell>
          <cell r="AZ51">
            <v>28</v>
          </cell>
          <cell r="BA51">
            <v>28</v>
          </cell>
          <cell r="BC51">
            <v>2011</v>
          </cell>
        </row>
        <row r="52">
          <cell r="D52">
            <v>40756</v>
          </cell>
          <cell r="E52">
            <v>36.964814814814815</v>
          </cell>
          <cell r="F52">
            <v>42.402592592592597</v>
          </cell>
          <cell r="G52">
            <v>34.105925925925924</v>
          </cell>
          <cell r="J52">
            <v>43.508518518518535</v>
          </cell>
          <cell r="K52">
            <v>41.365000000000002</v>
          </cell>
          <cell r="M52">
            <v>23.315128205128207</v>
          </cell>
          <cell r="N52">
            <v>27.174358974358974</v>
          </cell>
          <cell r="O52">
            <v>20.768974358974358</v>
          </cell>
          <cell r="R52">
            <v>25.518974358974358</v>
          </cell>
          <cell r="S52">
            <v>20.599487179487181</v>
          </cell>
          <cell r="U52">
            <v>31.240752688172044</v>
          </cell>
          <cell r="V52">
            <v>36.016559139784945</v>
          </cell>
          <cell r="W52">
            <v>28.513010752688174</v>
          </cell>
          <cell r="Z52">
            <v>35.964516129032269</v>
          </cell>
          <cell r="AC52">
            <v>3.8676548387096781</v>
          </cell>
          <cell r="AD52">
            <v>3.8016000000000001</v>
          </cell>
          <cell r="AE52">
            <v>3.8647741935483864</v>
          </cell>
          <cell r="AF52">
            <v>3.9244225806451607</v>
          </cell>
          <cell r="AG52">
            <v>4.0577612903225804</v>
          </cell>
          <cell r="AH52">
            <v>3.7193000000000001</v>
          </cell>
          <cell r="AI52">
            <v>4.1702258064516124</v>
          </cell>
          <cell r="AJ52">
            <v>3.9597034089837706</v>
          </cell>
          <cell r="AK52">
            <v>4.2254144640664748</v>
          </cell>
          <cell r="AL52">
            <v>4.0005724772970996</v>
          </cell>
          <cell r="AM52">
            <v>4.2875255101353629</v>
          </cell>
          <cell r="AN52">
            <v>4.0276528933831344</v>
          </cell>
          <cell r="AQ52">
            <v>4.0042578247431804</v>
          </cell>
          <cell r="AR52">
            <v>3.9214791540507168</v>
          </cell>
          <cell r="AV52">
            <v>3.8647741935483864</v>
          </cell>
          <cell r="AW52">
            <v>3.8984775576036865</v>
          </cell>
          <cell r="AX52">
            <v>4.0506811840582104</v>
          </cell>
          <cell r="AZ52">
            <v>29</v>
          </cell>
          <cell r="BA52">
            <v>29</v>
          </cell>
          <cell r="BC52">
            <v>2011</v>
          </cell>
        </row>
        <row r="53">
          <cell r="D53">
            <v>40787</v>
          </cell>
          <cell r="E53">
            <v>38.910800000000002</v>
          </cell>
          <cell r="F53">
            <v>39.95600000000001</v>
          </cell>
          <cell r="G53">
            <v>33.800800000000002</v>
          </cell>
          <cell r="J53">
            <v>39.192</v>
          </cell>
          <cell r="K53">
            <v>33.653846153846153</v>
          </cell>
          <cell r="M53">
            <v>30.829500000000007</v>
          </cell>
          <cell r="N53">
            <v>27.849499999999999</v>
          </cell>
          <cell r="O53">
            <v>28.767249999999997</v>
          </cell>
          <cell r="R53">
            <v>26.070999999999991</v>
          </cell>
          <cell r="S53">
            <v>23.605454545454545</v>
          </cell>
          <cell r="U53">
            <v>35.319111111111113</v>
          </cell>
          <cell r="V53">
            <v>34.575333333333333</v>
          </cell>
          <cell r="W53">
            <v>31.563666666666666</v>
          </cell>
          <cell r="Z53">
            <v>33.36044444444444</v>
          </cell>
          <cell r="AC53">
            <v>3.7801633333333338</v>
          </cell>
          <cell r="AD53">
            <v>3.7496999999999998</v>
          </cell>
          <cell r="AE53">
            <v>3.8288700000000011</v>
          </cell>
          <cell r="AF53">
            <v>3.7213800000000012</v>
          </cell>
          <cell r="AG53">
            <v>3.9165866666666673</v>
          </cell>
          <cell r="AH53">
            <v>3.5230999999999999</v>
          </cell>
          <cell r="AI53">
            <v>4.1329099999999999</v>
          </cell>
          <cell r="AJ53">
            <v>3.8701701065000274</v>
          </cell>
          <cell r="AK53">
            <v>4.1292878558991628</v>
          </cell>
          <cell r="AL53">
            <v>3.9100250572023718</v>
          </cell>
          <cell r="AM53">
            <v>4.1898576897933024</v>
          </cell>
          <cell r="AN53">
            <v>3.9363123651124297</v>
          </cell>
          <cell r="AQ53">
            <v>3.958437543871288</v>
          </cell>
          <cell r="AR53">
            <v>3.8328711883059885</v>
          </cell>
          <cell r="AV53">
            <v>3.8288700000000011</v>
          </cell>
          <cell r="AW53">
            <v>3.8453285560675878</v>
          </cell>
          <cell r="AX53">
            <v>3.9953081339712915</v>
          </cell>
          <cell r="AZ53">
            <v>30</v>
          </cell>
          <cell r="BA53">
            <v>30</v>
          </cell>
          <cell r="BC53">
            <v>2011</v>
          </cell>
        </row>
        <row r="54">
          <cell r="D54">
            <v>40817</v>
          </cell>
          <cell r="E54">
            <v>28.854230769230771</v>
          </cell>
          <cell r="F54">
            <v>34.768076923076933</v>
          </cell>
          <cell r="G54">
            <v>26.867692307692309</v>
          </cell>
          <cell r="J54">
            <v>33.060384615384606</v>
          </cell>
          <cell r="K54">
            <v>32.328571428571429</v>
          </cell>
          <cell r="M54">
            <v>26.516829268292685</v>
          </cell>
          <cell r="N54">
            <v>24.839756097560976</v>
          </cell>
          <cell r="O54">
            <v>25.095121951219507</v>
          </cell>
          <cell r="R54">
            <v>23.467804878048778</v>
          </cell>
          <cell r="S54">
            <v>24.384</v>
          </cell>
          <cell r="U54">
            <v>27.823763440860219</v>
          </cell>
          <cell r="V54">
            <v>30.391075268817207</v>
          </cell>
          <cell r="W54">
            <v>26.086236559139785</v>
          </cell>
          <cell r="Z54">
            <v>28.831397849462359</v>
          </cell>
          <cell r="AC54">
            <v>3.3656935483870969</v>
          </cell>
          <cell r="AD54">
            <v>3.3111999999999999</v>
          </cell>
          <cell r="AE54">
            <v>3.3717580645161287</v>
          </cell>
          <cell r="AF54">
            <v>3.2983483870967749</v>
          </cell>
          <cell r="AG54">
            <v>3.559374193548388</v>
          </cell>
          <cell r="AH54">
            <v>3.2825000000000002</v>
          </cell>
          <cell r="AI54">
            <v>3.5289580645161291</v>
          </cell>
          <cell r="AJ54">
            <v>3.4458012093583612</v>
          </cell>
          <cell r="AK54">
            <v>3.6738736856076657</v>
          </cell>
          <cell r="AL54">
            <v>3.4811678894680149</v>
          </cell>
          <cell r="AM54">
            <v>3.7271367580619641</v>
          </cell>
          <cell r="AN54">
            <v>3.5036449060437294</v>
          </cell>
          <cell r="AQ54">
            <v>3.4913029654932286</v>
          </cell>
          <cell r="AR54">
            <v>3.4131124431710518</v>
          </cell>
          <cell r="AV54">
            <v>3.3717580645161287</v>
          </cell>
          <cell r="AW54">
            <v>3.3962758166922677</v>
          </cell>
          <cell r="AX54">
            <v>3.5278114872129014</v>
          </cell>
          <cell r="AZ54">
            <v>31</v>
          </cell>
          <cell r="BA54">
            <v>31</v>
          </cell>
          <cell r="BC54">
            <v>2011</v>
          </cell>
        </row>
        <row r="55">
          <cell r="D55">
            <v>40848</v>
          </cell>
          <cell r="E55">
            <v>35.332399999999993</v>
          </cell>
          <cell r="F55">
            <v>32.903199999999998</v>
          </cell>
          <cell r="G55">
            <v>33.456799999999994</v>
          </cell>
          <cell r="J55">
            <v>33.300416666666671</v>
          </cell>
          <cell r="K55">
            <v>33.892857142857146</v>
          </cell>
          <cell r="M55">
            <v>28.722000000000001</v>
          </cell>
          <cell r="N55">
            <v>24.369999999999997</v>
          </cell>
          <cell r="O55">
            <v>27.936249999999994</v>
          </cell>
          <cell r="R55">
            <v>24.598000000000006</v>
          </cell>
          <cell r="S55">
            <v>25.137948717948717</v>
          </cell>
          <cell r="U55">
            <v>32.389350901525653</v>
          </cell>
          <cell r="V55">
            <v>29.104091539528429</v>
          </cell>
          <cell r="W55">
            <v>30.998968446601936</v>
          </cell>
          <cell r="Z55">
            <v>29.425970411465563</v>
          </cell>
          <cell r="AC55">
            <v>3.3350699999999986</v>
          </cell>
          <cell r="AD55">
            <v>3.698</v>
          </cell>
          <cell r="AE55">
            <v>3.4328233333333324</v>
          </cell>
          <cell r="AF55">
            <v>3.1446500000000013</v>
          </cell>
          <cell r="AG55">
            <v>3.2044333333333332</v>
          </cell>
          <cell r="AH55">
            <v>3.1827000000000001</v>
          </cell>
          <cell r="AI55">
            <v>3.4967366666666675</v>
          </cell>
          <cell r="AJ55">
            <v>3.4142674453217157</v>
          </cell>
          <cell r="AK55">
            <v>3.6414682693529348</v>
          </cell>
          <cell r="AL55">
            <v>3.4490739658771203</v>
          </cell>
          <cell r="AM55">
            <v>3.6919125020419261</v>
          </cell>
          <cell r="AN55">
            <v>3.4679401089028032</v>
          </cell>
          <cell r="AQ55">
            <v>3.7253381499959231</v>
          </cell>
          <cell r="AR55">
            <v>3.3820981142394149</v>
          </cell>
          <cell r="AV55">
            <v>3.4328233333333324</v>
          </cell>
          <cell r="AW55">
            <v>3.7923843676395284</v>
          </cell>
          <cell r="AX55">
            <v>4.0086465161923446</v>
          </cell>
          <cell r="AZ55">
            <v>32</v>
          </cell>
          <cell r="BA55">
            <v>32</v>
          </cell>
          <cell r="BC55">
            <v>2011</v>
          </cell>
        </row>
        <row r="56">
          <cell r="D56">
            <v>40878</v>
          </cell>
          <cell r="E56">
            <v>33.998846153846152</v>
          </cell>
          <cell r="F56">
            <v>31.979615384615382</v>
          </cell>
          <cell r="G56">
            <v>32.139615384615382</v>
          </cell>
          <cell r="J56">
            <v>32.193913043478261</v>
          </cell>
          <cell r="K56">
            <v>32.9848</v>
          </cell>
          <cell r="M56">
            <v>29.889024390243904</v>
          </cell>
          <cell r="N56">
            <v>25.501463414634138</v>
          </cell>
          <cell r="O56">
            <v>28.964634146341464</v>
          </cell>
          <cell r="R56">
            <v>25.322926829268294</v>
          </cell>
          <cell r="S56">
            <v>26.4</v>
          </cell>
          <cell r="U56">
            <v>32.186989247311828</v>
          </cell>
          <cell r="V56">
            <v>29.123655913978489</v>
          </cell>
          <cell r="W56">
            <v>30.739892473118278</v>
          </cell>
          <cell r="Z56">
            <v>29.164768583450211</v>
          </cell>
          <cell r="AC56">
            <v>3.1880806451612886</v>
          </cell>
          <cell r="AD56">
            <v>3.5922999999999998</v>
          </cell>
          <cell r="AE56">
            <v>3.362896774193548</v>
          </cell>
          <cell r="AF56">
            <v>3.1767483870967737</v>
          </cell>
          <cell r="AG56">
            <v>3.1702193548387112</v>
          </cell>
          <cell r="AH56">
            <v>2.9327999999999999</v>
          </cell>
          <cell r="AI56">
            <v>3.4745741935483876</v>
          </cell>
          <cell r="AJ56">
            <v>3.2632394473182598</v>
          </cell>
          <cell r="AK56">
            <v>3.4621171624553897</v>
          </cell>
          <cell r="AL56">
            <v>3.2961378287047802</v>
          </cell>
          <cell r="AM56">
            <v>3.5058650100438471</v>
          </cell>
          <cell r="AN56">
            <v>3.3079497475536641</v>
          </cell>
          <cell r="AQ56">
            <v>3.6336831772618359</v>
          </cell>
          <cell r="AR56">
            <v>3.2332330597136805</v>
          </cell>
          <cell r="AV56">
            <v>3.362896774193548</v>
          </cell>
          <cell r="AW56">
            <v>3.6841406400409622</v>
          </cell>
          <cell r="AX56">
            <v>3.8878506541812974</v>
          </cell>
          <cell r="AZ56">
            <v>33</v>
          </cell>
          <cell r="BA56">
            <v>33</v>
          </cell>
          <cell r="BC56">
            <v>2011</v>
          </cell>
        </row>
        <row r="57">
          <cell r="D57">
            <v>40909</v>
          </cell>
          <cell r="E57">
            <v>27.6496346282959</v>
          </cell>
          <cell r="F57">
            <v>26.93274932861328</v>
          </cell>
          <cell r="G57">
            <v>26.048149337768553</v>
          </cell>
          <cell r="J57">
            <v>26.62460698579487</v>
          </cell>
          <cell r="K57">
            <v>26.333333333333332</v>
          </cell>
          <cell r="M57">
            <v>23.698442889798073</v>
          </cell>
          <cell r="N57">
            <v>20.933731878957442</v>
          </cell>
          <cell r="O57">
            <v>23.902762443788589</v>
          </cell>
          <cell r="R57">
            <v>20.309167341752485</v>
          </cell>
          <cell r="S57">
            <v>19.321428571428573</v>
          </cell>
          <cell r="U57">
            <v>25.822739523399054</v>
          </cell>
          <cell r="V57">
            <v>24.15901007769714</v>
          </cell>
          <cell r="W57">
            <v>25.056196257756316</v>
          </cell>
          <cell r="Z57">
            <v>23.704564999839789</v>
          </cell>
          <cell r="AC57">
            <v>2.6816417094199889</v>
          </cell>
          <cell r="AD57">
            <v>2.9435483870967754</v>
          </cell>
          <cell r="AE57">
            <v>2.7876374952254759</v>
          </cell>
          <cell r="AF57">
            <v>2.6337199134211384</v>
          </cell>
          <cell r="AG57">
            <v>2.6832826445179601</v>
          </cell>
          <cell r="AH57">
            <v>2.460967741935483</v>
          </cell>
          <cell r="AI57">
            <v>2.9218864979282504</v>
          </cell>
          <cell r="AJ57">
            <v>2.7647071965166568</v>
          </cell>
          <cell r="AK57">
            <v>2.9313287149251308</v>
          </cell>
          <cell r="AL57">
            <v>2.7908695546573399</v>
          </cell>
          <cell r="AM57">
            <v>2.9313287149251308</v>
          </cell>
          <cell r="AN57">
            <v>2.8063216974341807</v>
          </cell>
          <cell r="AO57">
            <v>2.7244636194542942</v>
          </cell>
          <cell r="AP57">
            <v>2.7244636194542942</v>
          </cell>
          <cell r="AQ57">
            <v>2.9909401012799206</v>
          </cell>
          <cell r="AR57">
            <v>2.7244636194542942</v>
          </cell>
          <cell r="AV57">
            <v>2.7876374952254759</v>
          </cell>
          <cell r="AW57">
            <v>3.0141185279602589</v>
          </cell>
          <cell r="AX57">
            <v>3.0445170300955136</v>
          </cell>
          <cell r="AZ57">
            <v>10</v>
          </cell>
          <cell r="BA57">
            <v>10</v>
          </cell>
          <cell r="BC57">
            <v>2012</v>
          </cell>
        </row>
        <row r="58">
          <cell r="D58">
            <v>40940</v>
          </cell>
          <cell r="E58">
            <v>26.32771453857422</v>
          </cell>
          <cell r="F58">
            <v>26.093944931030272</v>
          </cell>
          <cell r="G58">
            <v>24.489936141967775</v>
          </cell>
          <cell r="J58">
            <v>26.378868961334227</v>
          </cell>
          <cell r="K58">
            <v>24.041666666666664</v>
          </cell>
          <cell r="M58">
            <v>22.071719465584589</v>
          </cell>
          <cell r="N58">
            <v>19.825340534078663</v>
          </cell>
          <cell r="O58">
            <v>22.186006546020508</v>
          </cell>
          <cell r="R58">
            <v>20.062999657222203</v>
          </cell>
          <cell r="S58">
            <v>20</v>
          </cell>
          <cell r="U58">
            <v>24.517693645463684</v>
          </cell>
          <cell r="V58">
            <v>23.427986739223265</v>
          </cell>
          <cell r="W58">
            <v>23.510104014955715</v>
          </cell>
          <cell r="Z58">
            <v>23.692809602114174</v>
          </cell>
          <cell r="AC58">
            <v>2.5321517401728135</v>
          </cell>
          <cell r="AD58">
            <v>2.5862068965517242</v>
          </cell>
          <cell r="AE58">
            <v>2.5677496235946129</v>
          </cell>
          <cell r="AF58">
            <v>2.4778468773282807</v>
          </cell>
          <cell r="AG58">
            <v>2.524458720766265</v>
          </cell>
          <cell r="AH58">
            <v>2.1510344827586207</v>
          </cell>
          <cell r="AI58">
            <v>2.7416885145779313</v>
          </cell>
          <cell r="AJ58">
            <v>2.6024892885109474</v>
          </cell>
          <cell r="AK58">
            <v>2.7463334395628891</v>
          </cell>
          <cell r="AL58">
            <v>2.6269914894155502</v>
          </cell>
          <cell r="AM58">
            <v>2.7849804441442814</v>
          </cell>
          <cell r="AN58">
            <v>2.641754645165642</v>
          </cell>
          <cell r="AO58">
            <v>2.5728356964933701</v>
          </cell>
          <cell r="AP58">
            <v>2.5728356964933701</v>
          </cell>
          <cell r="AQ58">
            <v>2.692965292260812</v>
          </cell>
          <cell r="AR58">
            <v>2.5728356964933701</v>
          </cell>
          <cell r="AV58">
            <v>2.5677496235946129</v>
          </cell>
          <cell r="AW58">
            <v>2.6520704119065091</v>
          </cell>
          <cell r="AX58">
            <v>2.7679135181375645</v>
          </cell>
          <cell r="AZ58">
            <v>11</v>
          </cell>
          <cell r="BA58">
            <v>11</v>
          </cell>
          <cell r="BC58">
            <v>2012</v>
          </cell>
        </row>
        <row r="59">
          <cell r="D59">
            <v>40969</v>
          </cell>
          <cell r="E59">
            <v>21.266605157118576</v>
          </cell>
          <cell r="F59">
            <v>22.60693960923415</v>
          </cell>
          <cell r="G59">
            <v>18.590418595534103</v>
          </cell>
          <cell r="J59">
            <v>23.415833473205566</v>
          </cell>
          <cell r="K59">
            <v>21.75</v>
          </cell>
          <cell r="M59">
            <v>15.881117272377015</v>
          </cell>
          <cell r="N59">
            <v>17.613360945383707</v>
          </cell>
          <cell r="O59">
            <v>13.716821497182051</v>
          </cell>
          <cell r="R59">
            <v>17.680380935668946</v>
          </cell>
          <cell r="S59">
            <v>17.033333206176756</v>
          </cell>
          <cell r="U59">
            <v>19.012383444931999</v>
          </cell>
          <cell r="V59">
            <v>20.516760653032954</v>
          </cell>
          <cell r="W59">
            <v>16.550460725295224</v>
          </cell>
          <cell r="Z59">
            <v>21.015125883469512</v>
          </cell>
          <cell r="AC59">
            <v>2.0632196510991743</v>
          </cell>
          <cell r="AD59">
            <v>2.1867741935483869</v>
          </cell>
          <cell r="AE59">
            <v>2.1224009913782917</v>
          </cell>
          <cell r="AF59">
            <v>2.05366256929213</v>
          </cell>
          <cell r="AG59">
            <v>2.1799600662723666</v>
          </cell>
          <cell r="AH59">
            <v>1.8241935483870961</v>
          </cell>
          <cell r="AI59">
            <v>2.3005557444787796</v>
          </cell>
          <cell r="AJ59">
            <v>2.1209003738528138</v>
          </cell>
          <cell r="AK59">
            <v>2.2393279042905188</v>
          </cell>
          <cell r="AL59">
            <v>2.1408938026699667</v>
          </cell>
          <cell r="AM59">
            <v>2.2712662889824564</v>
          </cell>
          <cell r="AN59">
            <v>2.1535414030079738</v>
          </cell>
          <cell r="AO59">
            <v>2.0971971032550707</v>
          </cell>
          <cell r="AP59">
            <v>2.0971971032550707</v>
          </cell>
          <cell r="AQ59">
            <v>2.2568759774759704</v>
          </cell>
          <cell r="AR59">
            <v>2.0971971032550707</v>
          </cell>
          <cell r="AV59">
            <v>2.1224009913782917</v>
          </cell>
          <cell r="AW59">
            <v>2.2473766905252148</v>
          </cell>
          <cell r="AX59">
            <v>2.3413461776403</v>
          </cell>
          <cell r="AZ59">
            <v>12</v>
          </cell>
          <cell r="BA59">
            <v>12</v>
          </cell>
          <cell r="BC59">
            <v>2012</v>
          </cell>
        </row>
        <row r="60">
          <cell r="D60">
            <v>41000</v>
          </cell>
          <cell r="E60">
            <v>17.611616325378417</v>
          </cell>
          <cell r="F60">
            <v>21.520949325561524</v>
          </cell>
          <cell r="G60">
            <v>15.027443466186524</v>
          </cell>
          <cell r="J60">
            <v>21.934617538452148</v>
          </cell>
          <cell r="K60">
            <v>19.666666666666668</v>
          </cell>
          <cell r="M60">
            <v>5.1611335476239519</v>
          </cell>
          <cell r="N60">
            <v>15.416087786356607</v>
          </cell>
          <cell r="O60">
            <v>2.1689162555616348</v>
          </cell>
          <cell r="R60">
            <v>15.717310619354247</v>
          </cell>
          <cell r="S60">
            <v>16.869753021664089</v>
          </cell>
          <cell r="U60">
            <v>12.07806842415421</v>
          </cell>
          <cell r="V60">
            <v>18.807677530359339</v>
          </cell>
          <cell r="W60">
            <v>9.3125424836865722</v>
          </cell>
          <cell r="Z60">
            <v>19.171370018853079</v>
          </cell>
          <cell r="AC60">
            <v>1.8822214643160502</v>
          </cell>
          <cell r="AD60">
            <v>1.863666666666667</v>
          </cell>
          <cell r="AE60">
            <v>1.8664118369420371</v>
          </cell>
          <cell r="AF60">
            <v>1.8375245968500773</v>
          </cell>
          <cell r="AG60">
            <v>1.9404195388158163</v>
          </cell>
          <cell r="AH60">
            <v>1.6613333333333338</v>
          </cell>
          <cell r="AI60">
            <v>2.2195964256922402</v>
          </cell>
          <cell r="AJ60">
            <v>1.9291907913995578</v>
          </cell>
          <cell r="AK60">
            <v>2.0449493734648603</v>
          </cell>
          <cell r="AL60">
            <v>1.9475028834776846</v>
          </cell>
          <cell r="AM60">
            <v>2.0746767956696122</v>
          </cell>
          <cell r="AN60">
            <v>1.9599289459592708</v>
          </cell>
          <cell r="AO60">
            <v>1.913610343154529</v>
          </cell>
          <cell r="AP60">
            <v>1.913610343154529</v>
          </cell>
          <cell r="AQ60">
            <v>1.9579372291613348</v>
          </cell>
          <cell r="AR60">
            <v>1.913610343154529</v>
          </cell>
          <cell r="AV60">
            <v>1.8664118369420371</v>
          </cell>
          <cell r="AW60">
            <v>1.9200134414049312</v>
          </cell>
          <cell r="AX60">
            <v>1.9805244066965111</v>
          </cell>
          <cell r="AZ60">
            <v>13</v>
          </cell>
          <cell r="BA60">
            <v>13</v>
          </cell>
          <cell r="BC60">
            <v>2012</v>
          </cell>
        </row>
        <row r="61">
          <cell r="D61">
            <v>41030</v>
          </cell>
          <cell r="E61">
            <v>17.097981526301457</v>
          </cell>
          <cell r="F61">
            <v>26.763666226313664</v>
          </cell>
          <cell r="G61">
            <v>10.754950963533842</v>
          </cell>
          <cell r="J61">
            <v>26.529938822207242</v>
          </cell>
          <cell r="K61">
            <v>27.138000030517578</v>
          </cell>
          <cell r="M61">
            <v>5.6278190035973825</v>
          </cell>
          <cell r="N61">
            <v>16.952822131495321</v>
          </cell>
          <cell r="O61">
            <v>2.8241771603784254E-2</v>
          </cell>
          <cell r="R61">
            <v>15.863968229293823</v>
          </cell>
          <cell r="S61">
            <v>16.706172837151421</v>
          </cell>
          <cell r="U61">
            <v>12.041243209840522</v>
          </cell>
          <cell r="V61">
            <v>22.438455388813104</v>
          </cell>
          <cell r="W61">
            <v>6.0259716423603757</v>
          </cell>
          <cell r="Z61">
            <v>21.827736732858316</v>
          </cell>
          <cell r="AC61">
            <v>2.2573464762779976</v>
          </cell>
          <cell r="AD61">
            <v>2.212903225806452</v>
          </cell>
          <cell r="AE61">
            <v>2.2330018704937351</v>
          </cell>
          <cell r="AF61">
            <v>2.2421824855189167</v>
          </cell>
          <cell r="AG61">
            <v>2.4331222887962096</v>
          </cell>
          <cell r="AH61">
            <v>2.0445161290322575</v>
          </cell>
          <cell r="AI61">
            <v>2.4589199635290329</v>
          </cell>
          <cell r="AJ61">
            <v>2.3132566348277401</v>
          </cell>
          <cell r="AK61">
            <v>2.4498561108350385</v>
          </cell>
          <cell r="AL61">
            <v>2.3351739753828205</v>
          </cell>
          <cell r="AM61">
            <v>2.484756334648861</v>
          </cell>
          <cell r="AN61">
            <v>2.3490642644607216</v>
          </cell>
          <cell r="AO61">
            <v>2.2941002629861016</v>
          </cell>
          <cell r="AP61">
            <v>2.2941002629861016</v>
          </cell>
          <cell r="AQ61">
            <v>2.3274580924867871</v>
          </cell>
          <cell r="AR61">
            <v>2.2941002629861016</v>
          </cell>
          <cell r="AV61">
            <v>2.2330018704937351</v>
          </cell>
          <cell r="AW61">
            <v>2.2738498741706707</v>
          </cell>
          <cell r="AX61">
            <v>2.351940353012782</v>
          </cell>
          <cell r="AZ61">
            <v>14</v>
          </cell>
          <cell r="BA61">
            <v>14</v>
          </cell>
          <cell r="BC61">
            <v>2012</v>
          </cell>
        </row>
        <row r="62">
          <cell r="D62">
            <v>41061</v>
          </cell>
          <cell r="E62">
            <v>15.626247749328613</v>
          </cell>
          <cell r="F62">
            <v>29.098941802978516</v>
          </cell>
          <cell r="G62">
            <v>8.6325372457504272</v>
          </cell>
          <cell r="J62">
            <v>29.955785404552113</v>
          </cell>
          <cell r="K62">
            <v>27.908884833840762</v>
          </cell>
          <cell r="M62">
            <v>5.3191235299621313</v>
          </cell>
          <cell r="N62">
            <v>16.964352062770299</v>
          </cell>
          <cell r="O62">
            <v>-1.9612413860325302</v>
          </cell>
          <cell r="R62">
            <v>16.539845576653114</v>
          </cell>
          <cell r="S62">
            <v>14.777777777777779</v>
          </cell>
          <cell r="U62">
            <v>11.274350856707208</v>
          </cell>
          <cell r="V62">
            <v>23.975448357112821</v>
          </cell>
          <cell r="W62">
            <v>4.1596084901087345</v>
          </cell>
          <cell r="Z62">
            <v>24.291277477216983</v>
          </cell>
          <cell r="AC62">
            <v>2.2723171472549439</v>
          </cell>
          <cell r="AD62">
            <v>2.1629999999999998</v>
          </cell>
          <cell r="AE62">
            <v>2.1831410129865012</v>
          </cell>
          <cell r="AF62">
            <v>2.3069931268692017</v>
          </cell>
          <cell r="AG62">
            <v>2.4245250781377155</v>
          </cell>
          <cell r="AH62">
            <v>1.9033333333333335</v>
          </cell>
          <cell r="AI62">
            <v>2.5920022885004679</v>
          </cell>
          <cell r="AJ62">
            <v>2.3281769029612298</v>
          </cell>
          <cell r="AK62">
            <v>2.4633259060046035</v>
          </cell>
          <cell r="AL62">
            <v>2.3501635226734203</v>
          </cell>
          <cell r="AM62">
            <v>2.4976799993049021</v>
          </cell>
          <cell r="AN62">
            <v>2.3630806617543323</v>
          </cell>
          <cell r="AO62">
            <v>2.3092850393092035</v>
          </cell>
          <cell r="AP62">
            <v>2.3092850393092035</v>
          </cell>
          <cell r="AQ62">
            <v>2.275958315066763</v>
          </cell>
          <cell r="AR62">
            <v>2.3092850393092035</v>
          </cell>
          <cell r="AV62">
            <v>2.1831410129865012</v>
          </cell>
          <cell r="AW62">
            <v>2.2232893617021277</v>
          </cell>
          <cell r="AX62">
            <v>2.2989176925009418</v>
          </cell>
          <cell r="AZ62">
            <v>15</v>
          </cell>
          <cell r="BA62">
            <v>15</v>
          </cell>
          <cell r="BC62">
            <v>2012</v>
          </cell>
        </row>
        <row r="63">
          <cell r="D63">
            <v>41091</v>
          </cell>
          <cell r="E63">
            <v>28.829323043823241</v>
          </cell>
          <cell r="F63">
            <v>33.111901702880857</v>
          </cell>
          <cell r="G63">
            <v>22.278988647460938</v>
          </cell>
          <cell r="J63">
            <v>36.800406417846681</v>
          </cell>
          <cell r="K63">
            <v>37.707738058907644</v>
          </cell>
          <cell r="M63">
            <v>10.043677283871558</v>
          </cell>
          <cell r="N63">
            <v>19.727264065896311</v>
          </cell>
          <cell r="O63">
            <v>1.3918885698001231</v>
          </cell>
          <cell r="R63">
            <v>19.571188465241462</v>
          </cell>
          <cell r="S63">
            <v>21.3</v>
          </cell>
          <cell r="U63">
            <v>20.143486832232675</v>
          </cell>
          <cell r="V63">
            <v>26.923305806210582</v>
          </cell>
          <cell r="W63">
            <v>12.621512267467228</v>
          </cell>
          <cell r="Z63">
            <v>28.834208869867922</v>
          </cell>
          <cell r="AC63">
            <v>2.7241213706231888</v>
          </cell>
          <cell r="AD63">
            <v>2.5493548387096769</v>
          </cell>
          <cell r="AE63">
            <v>2.593643549949892</v>
          </cell>
          <cell r="AF63">
            <v>2.734352642490018</v>
          </cell>
          <cell r="AG63">
            <v>2.9351023089501167</v>
          </cell>
          <cell r="AH63">
            <v>2.306774193548387</v>
          </cell>
          <cell r="AI63">
            <v>2.9137065179886354</v>
          </cell>
          <cell r="AJ63">
            <v>2.7903273788675165</v>
          </cell>
          <cell r="AK63">
            <v>2.9487260531815429</v>
          </cell>
          <cell r="AL63">
            <v>2.8165539135343516</v>
          </cell>
          <cell r="AM63">
            <v>2.988705526759035</v>
          </cell>
          <cell r="AN63">
            <v>2.8303868113921644</v>
          </cell>
          <cell r="AO63">
            <v>2.7675508100448205</v>
          </cell>
          <cell r="AP63">
            <v>2.7675508100448205</v>
          </cell>
          <cell r="AQ63">
            <v>2.6873085336983791</v>
          </cell>
          <cell r="AR63">
            <v>2.7675508100448205</v>
          </cell>
          <cell r="AV63">
            <v>2.593643549949892</v>
          </cell>
          <cell r="AW63">
            <v>2.614732967284374</v>
          </cell>
          <cell r="AX63">
            <v>2.7085393420692587</v>
          </cell>
          <cell r="AZ63">
            <v>16</v>
          </cell>
          <cell r="BA63">
            <v>16</v>
          </cell>
          <cell r="BC63">
            <v>2012</v>
          </cell>
        </row>
        <row r="64">
          <cell r="D64">
            <v>41122</v>
          </cell>
          <cell r="E64">
            <v>38.336470639264142</v>
          </cell>
          <cell r="F64">
            <v>43.012896643744575</v>
          </cell>
          <cell r="G64">
            <v>31.010871745921946</v>
          </cell>
          <cell r="J64">
            <v>46.20262075353552</v>
          </cell>
          <cell r="K64">
            <v>48.1</v>
          </cell>
          <cell r="M64">
            <v>20.057938544980942</v>
          </cell>
          <cell r="N64">
            <v>21.655047385923325</v>
          </cell>
          <cell r="O64">
            <v>16.760642405479185</v>
          </cell>
          <cell r="R64">
            <v>22.475801321176384</v>
          </cell>
          <cell r="S64">
            <v>20.392857142857142</v>
          </cell>
          <cell r="U64">
            <v>30.671279761016347</v>
          </cell>
          <cell r="V64">
            <v>34.056379213045339</v>
          </cell>
          <cell r="W64">
            <v>25.034969119284657</v>
          </cell>
          <cell r="Z64">
            <v>36.252664217384911</v>
          </cell>
          <cell r="AC64">
            <v>2.7493084169203237</v>
          </cell>
          <cell r="AD64">
            <v>2.6980645161290338</v>
          </cell>
          <cell r="AE64">
            <v>2.6344474515607281</v>
          </cell>
          <cell r="AF64">
            <v>2.7438066928617415</v>
          </cell>
          <cell r="AG64">
            <v>2.8482474511669529</v>
          </cell>
          <cell r="AH64">
            <v>2.2277419354838712</v>
          </cell>
          <cell r="AI64">
            <v>2.964137338822888</v>
          </cell>
          <cell r="AJ64">
            <v>2.8159820875161095</v>
          </cell>
          <cell r="AK64">
            <v>2.9748623229694511</v>
          </cell>
          <cell r="AL64">
            <v>2.8423954264075966</v>
          </cell>
          <cell r="AM64">
            <v>3.0148825334110989</v>
          </cell>
          <cell r="AN64">
            <v>2.8558422171159905</v>
          </cell>
          <cell r="AO64">
            <v>2.7930980727460426</v>
          </cell>
          <cell r="AP64">
            <v>2.7930980727460426</v>
          </cell>
          <cell r="AQ64">
            <v>2.7851384020633221</v>
          </cell>
          <cell r="AR64">
            <v>2.7930980727460426</v>
          </cell>
          <cell r="AV64">
            <v>2.6344474515607281</v>
          </cell>
          <cell r="AW64">
            <v>2.7654013334640668</v>
          </cell>
          <cell r="AX64">
            <v>2.8664667771924583</v>
          </cell>
          <cell r="AZ64">
            <v>17</v>
          </cell>
          <cell r="BA64">
            <v>17</v>
          </cell>
          <cell r="BC64">
            <v>2012</v>
          </cell>
        </row>
        <row r="65">
          <cell r="D65">
            <v>41153</v>
          </cell>
          <cell r="E65">
            <v>30.655804793039959</v>
          </cell>
          <cell r="F65">
            <v>30.466750860214233</v>
          </cell>
          <cell r="G65">
            <v>25.707043091456097</v>
          </cell>
          <cell r="J65">
            <v>31.19901744524638</v>
          </cell>
          <cell r="K65">
            <v>29.6484375</v>
          </cell>
          <cell r="M65">
            <v>25.323825391133628</v>
          </cell>
          <cell r="N65">
            <v>22.890306663513183</v>
          </cell>
          <cell r="O65">
            <v>23.19349454243978</v>
          </cell>
          <cell r="R65">
            <v>22.833174641927084</v>
          </cell>
          <cell r="S65">
            <v>22.71590909090909</v>
          </cell>
          <cell r="U65">
            <v>28.167547738817003</v>
          </cell>
          <cell r="V65">
            <v>26.931076901753745</v>
          </cell>
          <cell r="W65">
            <v>24.534053768581813</v>
          </cell>
          <cell r="Z65">
            <v>27.294957470364043</v>
          </cell>
          <cell r="AC65">
            <v>2.7449691534042358</v>
          </cell>
          <cell r="AD65">
            <v>2.6309999999999998</v>
          </cell>
          <cell r="AE65">
            <v>2.6933001120885214</v>
          </cell>
          <cell r="AF65">
            <v>2.7335243701934813</v>
          </cell>
          <cell r="AG65">
            <v>2.8269959688186646</v>
          </cell>
          <cell r="AH65">
            <v>2.3669999999999995</v>
          </cell>
          <cell r="AI65">
            <v>3.0693836212158203</v>
          </cell>
          <cell r="AJ65">
            <v>2.8114626406951575</v>
          </cell>
          <cell r="AK65">
            <v>2.9698032471217397</v>
          </cell>
          <cell r="AL65">
            <v>2.8378527417662545</v>
          </cell>
          <cell r="AM65">
            <v>3.0096674481354819</v>
          </cell>
          <cell r="AN65">
            <v>2.8511673849048438</v>
          </cell>
          <cell r="AO65">
            <v>2.7886967505875195</v>
          </cell>
          <cell r="AP65">
            <v>2.7886967505875195</v>
          </cell>
          <cell r="AQ65">
            <v>2.7808993139905183</v>
          </cell>
          <cell r="AR65">
            <v>2.7886967505875195</v>
          </cell>
          <cell r="AV65">
            <v>2.6933001120885214</v>
          </cell>
          <cell r="AW65">
            <v>2.6974534954407297</v>
          </cell>
          <cell r="AX65">
            <v>2.7952168815259872</v>
          </cell>
          <cell r="AZ65">
            <v>18</v>
          </cell>
          <cell r="BA65">
            <v>18</v>
          </cell>
          <cell r="BC65">
            <v>2012</v>
          </cell>
        </row>
        <row r="66">
          <cell r="D66">
            <v>41183</v>
          </cell>
          <cell r="E66">
            <v>34.995923360188804</v>
          </cell>
          <cell r="F66">
            <v>33.54598907188133</v>
          </cell>
          <cell r="G66">
            <v>32.514803356594513</v>
          </cell>
          <cell r="J66">
            <v>33.280020589413851</v>
          </cell>
          <cell r="K66">
            <v>34.299999999999997</v>
          </cell>
          <cell r="M66">
            <v>28.447858502787927</v>
          </cell>
          <cell r="N66">
            <v>26.129514386576989</v>
          </cell>
          <cell r="O66">
            <v>27.603075458157448</v>
          </cell>
          <cell r="R66">
            <v>25.47777043218198</v>
          </cell>
          <cell r="S66">
            <v>23</v>
          </cell>
          <cell r="U66">
            <v>32.24996067805295</v>
          </cell>
          <cell r="V66">
            <v>30.435854526431122</v>
          </cell>
          <cell r="W66">
            <v>30.455046495959618</v>
          </cell>
          <cell r="Z66">
            <v>30.008109233155327</v>
          </cell>
          <cell r="AC66">
            <v>2.7449691534042358</v>
          </cell>
          <cell r="AD66">
            <v>3.4</v>
          </cell>
          <cell r="AE66">
            <v>3.3698674248110865</v>
          </cell>
          <cell r="AF66">
            <v>3.2707284342858101</v>
          </cell>
          <cell r="AG66">
            <v>3.3155171486639206</v>
          </cell>
          <cell r="AH66">
            <v>3.1</v>
          </cell>
          <cell r="AI66">
            <v>3.5376054702266568</v>
          </cell>
          <cell r="AJ66">
            <v>2.8112452799030176</v>
          </cell>
          <cell r="AK66">
            <v>2.9685227147767637</v>
          </cell>
          <cell r="AL66">
            <v>2.8376293397964538</v>
          </cell>
          <cell r="AM66">
            <v>3.0080198104256208</v>
          </cell>
          <cell r="AN66">
            <v>2.8504263987866829</v>
          </cell>
          <cell r="AO66">
            <v>2.7886967505875195</v>
          </cell>
          <cell r="AP66">
            <v>2.7886967505875195</v>
          </cell>
          <cell r="AQ66">
            <v>3.527123730414957</v>
          </cell>
          <cell r="AR66">
            <v>2.7886967505875195</v>
          </cell>
          <cell r="AV66">
            <v>3.3698674248110865</v>
          </cell>
          <cell r="AW66">
            <v>3.4765821681864235</v>
          </cell>
          <cell r="AX66">
            <v>3.6116339384957392</v>
          </cell>
          <cell r="AZ66">
            <v>19</v>
          </cell>
          <cell r="BA66">
            <v>19</v>
          </cell>
          <cell r="BC66">
            <v>2012</v>
          </cell>
        </row>
        <row r="67">
          <cell r="D67">
            <v>41214</v>
          </cell>
          <cell r="E67">
            <v>33.085558010981636</v>
          </cell>
          <cell r="F67">
            <v>29.187144059401291</v>
          </cell>
          <cell r="G67">
            <v>28.921864729661209</v>
          </cell>
          <cell r="J67">
            <v>29.29536207516988</v>
          </cell>
          <cell r="K67">
            <v>26.8125</v>
          </cell>
          <cell r="M67">
            <v>28.611296971638996</v>
          </cell>
          <cell r="N67">
            <v>25.889020983378092</v>
          </cell>
          <cell r="O67">
            <v>26.517282168070476</v>
          </cell>
          <cell r="R67">
            <v>25.991530338923138</v>
          </cell>
          <cell r="S67">
            <v>25.75</v>
          </cell>
          <cell r="U67">
            <v>31.093549975435192</v>
          </cell>
          <cell r="V67">
            <v>27.718770262725219</v>
          </cell>
          <cell r="W67">
            <v>27.851308554528583</v>
          </cell>
          <cell r="Z67">
            <v>27.824446697451151</v>
          </cell>
          <cell r="AC67">
            <v>3.4974970897038777</v>
          </cell>
          <cell r="AD67">
            <v>3.56</v>
          </cell>
          <cell r="AE67">
            <v>3.5403907696406045</v>
          </cell>
          <cell r="AF67">
            <v>3.3543479522069295</v>
          </cell>
          <cell r="AG67">
            <v>3.51839173634847</v>
          </cell>
          <cell r="AH67">
            <v>3.36</v>
          </cell>
          <cell r="AI67">
            <v>3.6581818898518881</v>
          </cell>
          <cell r="AJ67">
            <v>3.5807914405463155</v>
          </cell>
          <cell r="AK67">
            <v>3.7743113411178912</v>
          </cell>
          <cell r="AL67">
            <v>3.614070707742024</v>
          </cell>
          <cell r="AM67">
            <v>3.8224027677012842</v>
          </cell>
          <cell r="AN67">
            <v>3.6272477586258733</v>
          </cell>
          <cell r="AO67">
            <v>3.5519870805394844</v>
          </cell>
          <cell r="AP67">
            <v>3.5519870805394844</v>
          </cell>
          <cell r="AQ67">
            <v>3.6977450414665558</v>
          </cell>
          <cell r="AR67">
            <v>3.5519870805394844</v>
          </cell>
          <cell r="AV67">
            <v>3.5403907696406045</v>
          </cell>
          <cell r="AW67">
            <v>3.638689564336373</v>
          </cell>
          <cell r="AX67">
            <v>3.7931746543893179</v>
          </cell>
          <cell r="AZ67">
            <v>20</v>
          </cell>
          <cell r="BA67">
            <v>20</v>
          </cell>
          <cell r="BC67">
            <v>2012</v>
          </cell>
        </row>
        <row r="68">
          <cell r="D68">
            <v>41244</v>
          </cell>
          <cell r="E68">
            <v>28.767815589904785</v>
          </cell>
          <cell r="F68">
            <v>29.566002065485176</v>
          </cell>
          <cell r="G68">
            <v>26.215554324063387</v>
          </cell>
          <cell r="J68">
            <v>30.415204801057513</v>
          </cell>
          <cell r="K68">
            <v>28</v>
          </cell>
          <cell r="M68">
            <v>23.137341101964314</v>
          </cell>
          <cell r="N68">
            <v>24.828593254089355</v>
          </cell>
          <cell r="O68">
            <v>20.830708106358845</v>
          </cell>
          <cell r="R68">
            <v>24.916666724465109</v>
          </cell>
          <cell r="S68">
            <v>24.786974994849999</v>
          </cell>
          <cell r="U68">
            <v>26.164477923437683</v>
          </cell>
          <cell r="V68">
            <v>27.375587238710761</v>
          </cell>
          <cell r="W68">
            <v>23.725786718027955</v>
          </cell>
          <cell r="Z68">
            <v>27.872869991450276</v>
          </cell>
          <cell r="AC68">
            <v>3.3117233276367188</v>
          </cell>
          <cell r="AD68">
            <v>3.39</v>
          </cell>
          <cell r="AE68">
            <v>3.400296652317047</v>
          </cell>
          <cell r="AF68">
            <v>3.2059900045394896</v>
          </cell>
          <cell r="AG68">
            <v>3.3305364131927488</v>
          </cell>
          <cell r="AH68">
            <v>3.2</v>
          </cell>
          <cell r="AI68">
            <v>3.5047111272811891</v>
          </cell>
          <cell r="AJ68">
            <v>3.3890444849027528</v>
          </cell>
          <cell r="AK68">
            <v>3.5638724112874596</v>
          </cell>
          <cell r="AL68">
            <v>3.4203492897250638</v>
          </cell>
          <cell r="AM68">
            <v>3.6066385380938955</v>
          </cell>
          <cell r="AN68">
            <v>3.4289025150863504</v>
          </cell>
          <cell r="AO68">
            <v>3.3635564465328316</v>
          </cell>
          <cell r="AP68">
            <v>3.3635564465328316</v>
          </cell>
          <cell r="AQ68">
            <v>3.537669616614421</v>
          </cell>
          <cell r="AR68">
            <v>3.3635564465328316</v>
          </cell>
          <cell r="AV68">
            <v>3.400296652317047</v>
          </cell>
          <cell r="AW68">
            <v>3.4664504559270521</v>
          </cell>
          <cell r="AX68">
            <v>3.6092079274588142</v>
          </cell>
          <cell r="AZ68">
            <v>21</v>
          </cell>
          <cell r="BA68">
            <v>21</v>
          </cell>
          <cell r="BC68">
            <v>2012</v>
          </cell>
        </row>
        <row r="69">
          <cell r="D69">
            <v>41275</v>
          </cell>
          <cell r="E69">
            <v>31.297465617840107</v>
          </cell>
          <cell r="F69">
            <v>31.524325957665077</v>
          </cell>
          <cell r="G69">
            <v>28.95862755408654</v>
          </cell>
          <cell r="J69">
            <v>30.633130874633789</v>
          </cell>
          <cell r="K69">
            <v>26.5</v>
          </cell>
          <cell r="L69">
            <v>31.942371661846455</v>
          </cell>
          <cell r="M69">
            <v>27.161099033970988</v>
          </cell>
          <cell r="N69">
            <v>25.603552972116777</v>
          </cell>
          <cell r="O69">
            <v>25.350108792704919</v>
          </cell>
          <cell r="R69">
            <v>25.114062309265137</v>
          </cell>
          <cell r="S69">
            <v>23.25</v>
          </cell>
          <cell r="T69">
            <v>26.77777442932129</v>
          </cell>
          <cell r="U69">
            <v>29.473906156134365</v>
          </cell>
          <cell r="V69">
            <v>28.91409270597174</v>
          </cell>
          <cell r="W69">
            <v>27.367775196918299</v>
          </cell>
          <cell r="Z69">
            <v>28.199993120008902</v>
          </cell>
          <cell r="AC69">
            <v>3.3832109359002884</v>
          </cell>
          <cell r="AD69">
            <v>3.5345161290322591</v>
          </cell>
          <cell r="AE69">
            <v>3.4593488554800711</v>
          </cell>
          <cell r="AF69">
            <v>3.3435166035929034</v>
          </cell>
          <cell r="AG69">
            <v>3.3431087386223579</v>
          </cell>
          <cell r="AH69">
            <v>3.0716129032258066</v>
          </cell>
          <cell r="AI69">
            <v>3.5252570567592496</v>
          </cell>
          <cell r="AJ69">
            <v>3.4787925595439044</v>
          </cell>
          <cell r="AK69">
            <v>3.6649659470909675</v>
          </cell>
          <cell r="AL69">
            <v>3.4470467277486807</v>
          </cell>
          <cell r="AM69">
            <v>3.7079819793338187</v>
          </cell>
          <cell r="AN69">
            <v>3.5128612570802433</v>
          </cell>
          <cell r="AO69">
            <v>3.4092037797233905</v>
          </cell>
          <cell r="AP69">
            <v>3.4092037797233905</v>
          </cell>
          <cell r="AQ69">
            <v>3.6539177655385968</v>
          </cell>
          <cell r="AR69">
            <v>3.446890569699113</v>
          </cell>
          <cell r="AV69">
            <v>3.4593488554800711</v>
          </cell>
          <cell r="AW69">
            <v>3.6241530125340575</v>
          </cell>
          <cell r="AX69">
            <v>3.7636409683579402</v>
          </cell>
          <cell r="AZ69">
            <v>9</v>
          </cell>
          <cell r="BA69">
            <v>9</v>
          </cell>
          <cell r="BC69">
            <v>2013</v>
          </cell>
        </row>
        <row r="70">
          <cell r="D70">
            <v>41306</v>
          </cell>
          <cell r="E70">
            <v>31.272661526997883</v>
          </cell>
          <cell r="F70">
            <v>31.747950951258343</v>
          </cell>
          <cell r="G70">
            <v>28.824120601018269</v>
          </cell>
          <cell r="J70">
            <v>31.006250018165225</v>
          </cell>
          <cell r="K70">
            <v>26.5</v>
          </cell>
          <cell r="L70">
            <v>33.096590735695578</v>
          </cell>
          <cell r="M70">
            <v>29.57547242300851</v>
          </cell>
          <cell r="N70">
            <v>27.545449256896973</v>
          </cell>
          <cell r="O70">
            <v>27.909026895250594</v>
          </cell>
          <cell r="R70">
            <v>27.892857142857142</v>
          </cell>
          <cell r="S70">
            <v>28.013888888888889</v>
          </cell>
          <cell r="T70">
            <v>29.24764040538243</v>
          </cell>
          <cell r="U70">
            <v>30.545294768145293</v>
          </cell>
          <cell r="V70">
            <v>29.94687879653204</v>
          </cell>
          <cell r="W70">
            <v>28.431937584260691</v>
          </cell>
          <cell r="Z70">
            <v>29.67193878589033</v>
          </cell>
          <cell r="AC70">
            <v>3.3206803628376553</v>
          </cell>
          <cell r="AD70">
            <v>3.4621428571428567</v>
          </cell>
          <cell r="AE70">
            <v>3.3815681508609226</v>
          </cell>
          <cell r="AF70">
            <v>3.255419441631862</v>
          </cell>
          <cell r="AG70">
            <v>3.3014219488416399</v>
          </cell>
          <cell r="AH70">
            <v>3.0392857142857146</v>
          </cell>
          <cell r="AI70">
            <v>3.515863367489406</v>
          </cell>
          <cell r="AJ70">
            <v>3.4144987160345219</v>
          </cell>
          <cell r="AK70">
            <v>3.5970732810687114</v>
          </cell>
          <cell r="AL70">
            <v>3.3832821776506723</v>
          </cell>
          <cell r="AM70">
            <v>3.6392577923982383</v>
          </cell>
          <cell r="AN70">
            <v>3.4479088490075074</v>
          </cell>
          <cell r="AO70">
            <v>3.3461646913478615</v>
          </cell>
          <cell r="AP70">
            <v>3.3461646913478615</v>
          </cell>
          <cell r="AQ70">
            <v>3.5761662758292028</v>
          </cell>
          <cell r="AR70">
            <v>3.3832656479829621</v>
          </cell>
          <cell r="AV70">
            <v>3.3815681508609226</v>
          </cell>
          <cell r="AW70">
            <v>3.5505954641151098</v>
          </cell>
          <cell r="AX70">
            <v>3.6862372959627714</v>
          </cell>
          <cell r="AZ70">
            <v>10</v>
          </cell>
          <cell r="BA70">
            <v>10</v>
          </cell>
          <cell r="BC70">
            <v>2013</v>
          </cell>
        </row>
        <row r="71">
          <cell r="D71">
            <v>41334</v>
          </cell>
          <cell r="E71">
            <v>34.909356850844162</v>
          </cell>
          <cell r="F71">
            <v>33.376208745516266</v>
          </cell>
          <cell r="G71">
            <v>32.559329619774452</v>
          </cell>
          <cell r="J71">
            <v>33.70884270138211</v>
          </cell>
          <cell r="K71">
            <v>32.5</v>
          </cell>
          <cell r="L71">
            <v>35.255068412193886</v>
          </cell>
          <cell r="M71">
            <v>32.283559141487913</v>
          </cell>
          <cell r="N71">
            <v>27.892318602531187</v>
          </cell>
          <cell r="O71">
            <v>30.326296467934885</v>
          </cell>
          <cell r="R71">
            <v>28.224206288655598</v>
          </cell>
          <cell r="S71">
            <v>26</v>
          </cell>
          <cell r="T71">
            <v>30.131183200412327</v>
          </cell>
          <cell r="U71">
            <v>33.753723134882527</v>
          </cell>
          <cell r="V71">
            <v>30.962706623368053</v>
          </cell>
          <cell r="W71">
            <v>31.576554598709123</v>
          </cell>
          <cell r="Z71">
            <v>31.295012140195613</v>
          </cell>
          <cell r="AC71">
            <v>3.7207639678832023</v>
          </cell>
          <cell r="AD71">
            <v>3.8477419354838713</v>
          </cell>
          <cell r="AE71">
            <v>3.7366811152427428</v>
          </cell>
          <cell r="AF71">
            <v>3.6688532598557009</v>
          </cell>
          <cell r="AG71">
            <v>3.80381013501075</v>
          </cell>
          <cell r="AH71">
            <v>3.3848387096774211</v>
          </cell>
          <cell r="AI71">
            <v>3.8571912550157115</v>
          </cell>
          <cell r="AJ71">
            <v>3.8260176186987267</v>
          </cell>
          <cell r="AK71">
            <v>4.0310251800168917</v>
          </cell>
          <cell r="AL71">
            <v>3.7910278915357276</v>
          </cell>
          <cell r="AM71">
            <v>4.0784367344382995</v>
          </cell>
          <cell r="AN71">
            <v>3.8636623929093239</v>
          </cell>
          <cell r="AO71">
            <v>3.7495018830733269</v>
          </cell>
          <cell r="AP71">
            <v>3.7495018830733269</v>
          </cell>
          <cell r="AQ71">
            <v>3.9597156569813508</v>
          </cell>
          <cell r="AR71">
            <v>3.7903511232022815</v>
          </cell>
          <cell r="AV71">
            <v>3.7366811152427428</v>
          </cell>
          <cell r="AW71">
            <v>3.9425042743001031</v>
          </cell>
          <cell r="AX71">
            <v>4.0967433301190628</v>
          </cell>
          <cell r="AZ71">
            <v>11</v>
          </cell>
          <cell r="BA71">
            <v>11</v>
          </cell>
          <cell r="BC71">
            <v>2013</v>
          </cell>
        </row>
        <row r="72">
          <cell r="D72">
            <v>41365</v>
          </cell>
          <cell r="E72">
            <v>35.91379583798922</v>
          </cell>
          <cell r="F72">
            <v>37.45842698904184</v>
          </cell>
          <cell r="G72">
            <v>31.066688170799843</v>
          </cell>
          <cell r="J72">
            <v>36.733654022216797</v>
          </cell>
          <cell r="K72">
            <v>31.666666666666668</v>
          </cell>
          <cell r="L72">
            <v>39.60871210965243</v>
          </cell>
          <cell r="M72">
            <v>24.313376204172769</v>
          </cell>
          <cell r="N72">
            <v>29.362461153666178</v>
          </cell>
          <cell r="O72">
            <v>18.525704646110533</v>
          </cell>
          <cell r="R72">
            <v>27.169312250046502</v>
          </cell>
          <cell r="S72">
            <v>21.502941131591797</v>
          </cell>
          <cell r="T72">
            <v>29.900574651257745</v>
          </cell>
          <cell r="U72">
            <v>31.015840881488941</v>
          </cell>
          <cell r="V72">
            <v>34.040130302994342</v>
          </cell>
          <cell r="W72">
            <v>25.771606238153247</v>
          </cell>
          <cell r="Z72">
            <v>32.695376385078227</v>
          </cell>
          <cell r="AC72">
            <v>3.9649584929148358</v>
          </cell>
          <cell r="AD72">
            <v>3.876666666666666</v>
          </cell>
          <cell r="AE72">
            <v>3.9404437065124513</v>
          </cell>
          <cell r="AF72">
            <v>3.9444854656855264</v>
          </cell>
          <cell r="AG72">
            <v>4.1617949326833088</v>
          </cell>
          <cell r="AH72">
            <v>3.6093333333333333</v>
          </cell>
          <cell r="AI72">
            <v>4.1129435618718464</v>
          </cell>
          <cell r="AJ72">
            <v>4.0769379596004711</v>
          </cell>
          <cell r="AK72">
            <v>4.2946590430755078</v>
          </cell>
          <cell r="AL72">
            <v>4.0396114707052595</v>
          </cell>
          <cell r="AM72">
            <v>4.3449642841741758</v>
          </cell>
          <cell r="AN72">
            <v>4.1166791000684197</v>
          </cell>
          <cell r="AO72">
            <v>3.9956822631710827</v>
          </cell>
          <cell r="AP72">
            <v>3.9956822631710827</v>
          </cell>
          <cell r="AQ72">
            <v>4.0802038809888046</v>
          </cell>
          <cell r="AR72">
            <v>4.0388193008901467</v>
          </cell>
          <cell r="AV72">
            <v>3.9404437065124513</v>
          </cell>
          <cell r="AW72">
            <v>3.9719023139207907</v>
          </cell>
          <cell r="AX72">
            <v>4.1274449800189501</v>
          </cell>
          <cell r="AZ72">
            <v>12</v>
          </cell>
          <cell r="BA72">
            <v>12</v>
          </cell>
          <cell r="BC72">
            <v>2013</v>
          </cell>
        </row>
        <row r="73">
          <cell r="D73">
            <v>41395</v>
          </cell>
          <cell r="E73">
            <v>36.551815766554611</v>
          </cell>
          <cell r="F73">
            <v>38.030562327458306</v>
          </cell>
          <cell r="G73">
            <v>34.003132526691147</v>
          </cell>
          <cell r="J73">
            <v>38.090104103088379</v>
          </cell>
          <cell r="K73">
            <v>34.192307692307693</v>
          </cell>
          <cell r="L73">
            <v>38.74853409661187</v>
          </cell>
          <cell r="M73">
            <v>15.858042355506651</v>
          </cell>
          <cell r="N73">
            <v>26.366779573502079</v>
          </cell>
          <cell r="O73">
            <v>12.16799545840871</v>
          </cell>
          <cell r="R73">
            <v>24.795833301544189</v>
          </cell>
          <cell r="S73">
            <v>22.285294027889478</v>
          </cell>
          <cell r="T73">
            <v>26.351948044516824</v>
          </cell>
          <cell r="U73">
            <v>27.428754370286157</v>
          </cell>
          <cell r="V73">
            <v>32.888464554208788</v>
          </cell>
          <cell r="W73">
            <v>24.37688930303975</v>
          </cell>
          <cell r="Z73">
            <v>32.229189018536637</v>
          </cell>
          <cell r="AC73">
            <v>3.8649873733520508</v>
          </cell>
          <cell r="AD73">
            <v>3.8522580645161293</v>
          </cell>
          <cell r="AE73">
            <v>3.8310358447413289</v>
          </cell>
          <cell r="AF73">
            <v>3.8610231261099539</v>
          </cell>
          <cell r="AG73">
            <v>4.0376374029344131</v>
          </cell>
          <cell r="AH73">
            <v>3.5399999999999996</v>
          </cell>
          <cell r="AI73">
            <v>4.0297800879324637</v>
          </cell>
          <cell r="AJ73">
            <v>3.976448131264664</v>
          </cell>
          <cell r="AK73">
            <v>4.1904299617282987</v>
          </cell>
          <cell r="AL73">
            <v>3.9381216078527332</v>
          </cell>
          <cell r="AM73">
            <v>4.2379814796091058</v>
          </cell>
          <cell r="AN73">
            <v>4.0128725939613625</v>
          </cell>
          <cell r="AO73">
            <v>3.8948981517763803</v>
          </cell>
          <cell r="AP73">
            <v>3.8948981517763803</v>
          </cell>
          <cell r="AQ73">
            <v>4.0109121468670654</v>
          </cell>
          <cell r="AR73">
            <v>3.9370985850142968</v>
          </cell>
          <cell r="AV73">
            <v>3.8310358447413289</v>
          </cell>
          <cell r="AW73">
            <v>3.9470943027910654</v>
          </cell>
          <cell r="AX73">
            <v>4.1218314640198521</v>
          </cell>
          <cell r="AZ73">
            <v>13</v>
          </cell>
          <cell r="BA73">
            <v>13</v>
          </cell>
          <cell r="BC73">
            <v>2013</v>
          </cell>
        </row>
        <row r="74">
          <cell r="D74">
            <v>41426</v>
          </cell>
          <cell r="E74">
            <v>36.065062026977536</v>
          </cell>
          <cell r="F74">
            <v>38.480907897949216</v>
          </cell>
          <cell r="G74">
            <v>33.701189041137695</v>
          </cell>
          <cell r="J74">
            <v>41.718358491596426</v>
          </cell>
          <cell r="K74">
            <v>36</v>
          </cell>
          <cell r="L74">
            <v>41.233072757720947</v>
          </cell>
          <cell r="M74">
            <v>22.666805426279705</v>
          </cell>
          <cell r="N74">
            <v>27.37865384419759</v>
          </cell>
          <cell r="O74">
            <v>20.41423199971517</v>
          </cell>
          <cell r="R74">
            <v>25.453030152754351</v>
          </cell>
          <cell r="S74">
            <v>21</v>
          </cell>
          <cell r="T74">
            <v>27.752046886243317</v>
          </cell>
          <cell r="U74">
            <v>30.110281315556275</v>
          </cell>
          <cell r="V74">
            <v>33.546572762948493</v>
          </cell>
          <cell r="W74">
            <v>27.795874800505459</v>
          </cell>
          <cell r="Z74">
            <v>34.489323674333278</v>
          </cell>
          <cell r="AC74">
            <v>3.6209050337473552</v>
          </cell>
          <cell r="AD74">
            <v>3.5913333333333344</v>
          </cell>
          <cell r="AE74">
            <v>3.6051401884659477</v>
          </cell>
          <cell r="AF74">
            <v>3.6562843322753906</v>
          </cell>
          <cell r="AG74">
            <v>3.8417826414108278</v>
          </cell>
          <cell r="AH74">
            <v>3.2486666666666655</v>
          </cell>
          <cell r="AI74">
            <v>3.8179467280705768</v>
          </cell>
          <cell r="AJ74">
            <v>3.7246801374804099</v>
          </cell>
          <cell r="AK74">
            <v>3.9200570590676835</v>
          </cell>
          <cell r="AL74">
            <v>3.6884192859264311</v>
          </cell>
          <cell r="AM74">
            <v>3.9632247394890876</v>
          </cell>
          <cell r="AN74">
            <v>3.7567968917139347</v>
          </cell>
          <cell r="AO74">
            <v>3.6488308694274028</v>
          </cell>
          <cell r="AP74">
            <v>3.6488308694274028</v>
          </cell>
          <cell r="AQ74">
            <v>3.7588308418899561</v>
          </cell>
          <cell r="AR74">
            <v>3.6887445561124901</v>
          </cell>
          <cell r="AV74">
            <v>3.6051401884659477</v>
          </cell>
          <cell r="AW74">
            <v>3.6818999424060723</v>
          </cell>
          <cell r="AX74">
            <v>3.8410119157506095</v>
          </cell>
          <cell r="AZ74">
            <v>14</v>
          </cell>
          <cell r="BA74">
            <v>14</v>
          </cell>
          <cell r="BC74">
            <v>2013</v>
          </cell>
        </row>
        <row r="75">
          <cell r="D75">
            <v>41456</v>
          </cell>
          <cell r="E75">
            <v>49.509358158817996</v>
          </cell>
          <cell r="F75">
            <v>48.126591717755353</v>
          </cell>
          <cell r="G75">
            <v>45.173704783121742</v>
          </cell>
          <cell r="J75">
            <v>52.800980287439685</v>
          </cell>
          <cell r="K75">
            <v>48.647435995248649</v>
          </cell>
          <cell r="L75">
            <v>54.534207661946617</v>
          </cell>
          <cell r="M75">
            <v>22.654156777166552</v>
          </cell>
          <cell r="N75">
            <v>27.19377117772256</v>
          </cell>
          <cell r="O75">
            <v>20.785248510299191</v>
          </cell>
          <cell r="R75">
            <v>27.264645927830745</v>
          </cell>
          <cell r="S75">
            <v>25.5</v>
          </cell>
          <cell r="T75">
            <v>27.902536226355512</v>
          </cell>
          <cell r="U75">
            <v>37.66996830239102</v>
          </cell>
          <cell r="V75">
            <v>38.898143952794655</v>
          </cell>
          <cell r="W75">
            <v>34.421804705855884</v>
          </cell>
          <cell r="Z75">
            <v>41.543026429977679</v>
          </cell>
          <cell r="AC75">
            <v>3.4623908996582031</v>
          </cell>
          <cell r="AD75">
            <v>3.4048387096774175</v>
          </cell>
          <cell r="AE75">
            <v>3.4138178825378418</v>
          </cell>
          <cell r="AF75">
            <v>3.498261636303317</v>
          </cell>
          <cell r="AG75">
            <v>3.624844766432239</v>
          </cell>
          <cell r="AH75">
            <v>2.7370967741935481</v>
          </cell>
          <cell r="AI75">
            <v>3.7592234534602009</v>
          </cell>
          <cell r="AJ75">
            <v>3.5610525833048516</v>
          </cell>
          <cell r="AK75">
            <v>3.7436850733749285</v>
          </cell>
          <cell r="AL75">
            <v>3.5260513676254868</v>
          </cell>
          <cell r="AM75">
            <v>3.7838240821815385</v>
          </cell>
          <cell r="AN75">
            <v>3.5901132256808377</v>
          </cell>
          <cell r="AO75">
            <v>3.4890276560839468</v>
          </cell>
          <cell r="AP75">
            <v>3.4890276560839468</v>
          </cell>
          <cell r="AQ75">
            <v>3.5631928055512105</v>
          </cell>
          <cell r="AR75">
            <v>3.5274562633884852</v>
          </cell>
          <cell r="AV75">
            <v>3.4138178825378418</v>
          </cell>
          <cell r="AW75">
            <v>3.492353623007844</v>
          </cell>
          <cell r="AX75">
            <v>3.6426949089536955</v>
          </cell>
          <cell r="AZ75">
            <v>15</v>
          </cell>
          <cell r="BA75">
            <v>15</v>
          </cell>
          <cell r="BC75">
            <v>2013</v>
          </cell>
        </row>
        <row r="76">
          <cell r="D76">
            <v>41487</v>
          </cell>
          <cell r="E76">
            <v>41.378745467574511</v>
          </cell>
          <cell r="F76">
            <v>38.36236600522642</v>
          </cell>
          <cell r="G76">
            <v>39.024165542037402</v>
          </cell>
          <cell r="J76">
            <v>42.778231121244886</v>
          </cell>
          <cell r="K76">
            <v>44.127192848607116</v>
          </cell>
          <cell r="L76">
            <v>43.078526108353223</v>
          </cell>
          <cell r="M76">
            <v>27.499853872483776</v>
          </cell>
          <cell r="N76">
            <v>26.111342337823682</v>
          </cell>
          <cell r="O76">
            <v>25.78296107630576</v>
          </cell>
          <cell r="R76">
            <v>25.856349309285481</v>
          </cell>
          <cell r="S76">
            <v>22</v>
          </cell>
          <cell r="T76">
            <v>30.732142857142858</v>
          </cell>
          <cell r="U76">
            <v>35.558565121246133</v>
          </cell>
          <cell r="V76">
            <v>33.224839951154301</v>
          </cell>
          <cell r="W76">
            <v>33.47140237898865</v>
          </cell>
          <cell r="Z76">
            <v>35.681958103326423</v>
          </cell>
          <cell r="AC76">
            <v>3.2912533360142864</v>
          </cell>
          <cell r="AD76">
            <v>3.141290322580645</v>
          </cell>
          <cell r="AE76">
            <v>3.2520532684941448</v>
          </cell>
          <cell r="AF76">
            <v>3.3139578527019871</v>
          </cell>
          <cell r="AG76">
            <v>3.4174632795395388</v>
          </cell>
          <cell r="AH76">
            <v>2.327096774193548</v>
          </cell>
          <cell r="AI76">
            <v>3.5470907611231648</v>
          </cell>
          <cell r="AJ76">
            <v>3.3853443698392667</v>
          </cell>
          <cell r="AK76">
            <v>3.5606923276988018</v>
          </cell>
          <cell r="AL76">
            <v>3.3521767005616034</v>
          </cell>
          <cell r="AM76">
            <v>3.5993492848988748</v>
          </cell>
          <cell r="AN76">
            <v>3.4136412625097203</v>
          </cell>
          <cell r="AO76">
            <v>3.3164983560867194</v>
          </cell>
          <cell r="AP76">
            <v>3.3164983560867194</v>
          </cell>
          <cell r="AQ76">
            <v>3.3429607464318063</v>
          </cell>
          <cell r="AR76">
            <v>3.3533236182481545</v>
          </cell>
          <cell r="AV76">
            <v>3.2520532684941448</v>
          </cell>
          <cell r="AW76">
            <v>3.2244926746423874</v>
          </cell>
          <cell r="AX76">
            <v>3.3609657751092858</v>
          </cell>
          <cell r="AZ76">
            <v>16</v>
          </cell>
          <cell r="BA76">
            <v>16</v>
          </cell>
          <cell r="BC76">
            <v>2013</v>
          </cell>
        </row>
        <row r="77">
          <cell r="D77">
            <v>41518</v>
          </cell>
          <cell r="E77">
            <v>41.931162595748901</v>
          </cell>
          <cell r="F77">
            <v>36.75172440210978</v>
          </cell>
          <cell r="G77">
            <v>38.007077932357788</v>
          </cell>
          <cell r="J77">
            <v>38.018551635742185</v>
          </cell>
          <cell r="K77">
            <v>36.214285714285715</v>
          </cell>
          <cell r="L77">
            <v>40.11492395401001</v>
          </cell>
          <cell r="M77">
            <v>30.679527155558269</v>
          </cell>
          <cell r="N77">
            <v>27.836207898457847</v>
          </cell>
          <cell r="O77">
            <v>29.361372629801433</v>
          </cell>
          <cell r="R77">
            <v>27.642731917531865</v>
          </cell>
          <cell r="S77">
            <v>23.929487228393555</v>
          </cell>
          <cell r="T77">
            <v>28.054951320994984</v>
          </cell>
          <cell r="U77">
            <v>36.680399390326606</v>
          </cell>
          <cell r="V77">
            <v>32.591150033738884</v>
          </cell>
          <cell r="W77">
            <v>33.972415457831488</v>
          </cell>
          <cell r="Z77">
            <v>33.176502433910699</v>
          </cell>
          <cell r="AC77">
            <v>3.4704447905222575</v>
          </cell>
          <cell r="AD77">
            <v>3.312333333333334</v>
          </cell>
          <cell r="AE77">
            <v>3.3913676023483275</v>
          </cell>
          <cell r="AF77">
            <v>3.5141662836074827</v>
          </cell>
          <cell r="AG77">
            <v>3.6060872554779051</v>
          </cell>
          <cell r="AH77">
            <v>2.0203333333333329</v>
          </cell>
          <cell r="AI77">
            <v>3.7322997967402141</v>
          </cell>
          <cell r="AJ77">
            <v>3.5699924160735428</v>
          </cell>
          <cell r="AK77">
            <v>3.758026819892637</v>
          </cell>
          <cell r="AL77">
            <v>3.5353129174479072</v>
          </cell>
          <cell r="AM77">
            <v>3.7996089525372856</v>
          </cell>
          <cell r="AN77">
            <v>3.6010958512917393</v>
          </cell>
          <cell r="AO77">
            <v>3.4971470433385217</v>
          </cell>
          <cell r="AP77">
            <v>3.4971470433385217</v>
          </cell>
          <cell r="AQ77">
            <v>3.5036674186527845</v>
          </cell>
          <cell r="AR77">
            <v>3.5356511055375024</v>
          </cell>
          <cell r="AV77">
            <v>3.3913676023483275</v>
          </cell>
          <cell r="AW77">
            <v>3.3983345394179634</v>
          </cell>
          <cell r="AX77">
            <v>3.5442127339007223</v>
          </cell>
          <cell r="AZ77">
            <v>17</v>
          </cell>
          <cell r="BA77">
            <v>17</v>
          </cell>
          <cell r="BC77">
            <v>2013</v>
          </cell>
        </row>
        <row r="78">
          <cell r="D78">
            <v>41548</v>
          </cell>
          <cell r="E78">
            <v>38.680703269110786</v>
          </cell>
          <cell r="F78">
            <v>34.183741110342517</v>
          </cell>
          <cell r="G78">
            <v>36.819579936839915</v>
          </cell>
          <cell r="J78">
            <v>33.518525675723424</v>
          </cell>
          <cell r="K78">
            <v>33.5</v>
          </cell>
          <cell r="L78">
            <v>34.932561662462021</v>
          </cell>
          <cell r="M78">
            <v>30.943010699364446</v>
          </cell>
          <cell r="N78">
            <v>28.190948117163874</v>
          </cell>
          <cell r="O78">
            <v>30.635224373109878</v>
          </cell>
          <cell r="R78">
            <v>26.731555684407553</v>
          </cell>
          <cell r="S78">
            <v>25.066666793823241</v>
          </cell>
          <cell r="T78">
            <v>28.684482706004175</v>
          </cell>
          <cell r="U78">
            <v>35.435864449539743</v>
          </cell>
          <cell r="V78">
            <v>31.6706343712676</v>
          </cell>
          <cell r="W78">
            <v>34.226140506888605</v>
          </cell>
          <cell r="Z78">
            <v>30.67237696968774</v>
          </cell>
          <cell r="AC78">
            <v>3.6182050474228395</v>
          </cell>
          <cell r="AD78">
            <v>3.2800000000000007</v>
          </cell>
          <cell r="AE78">
            <v>3.6583925293337916</v>
          </cell>
          <cell r="AF78">
            <v>3.5367941241110525</v>
          </cell>
          <cell r="AG78">
            <v>3.6702508157299412</v>
          </cell>
          <cell r="AH78">
            <v>3.1425806451612894</v>
          </cell>
          <cell r="AI78">
            <v>3.7522893336511429</v>
          </cell>
          <cell r="AJ78">
            <v>3.7246170843965571</v>
          </cell>
          <cell r="AK78">
            <v>3.9311758682185864</v>
          </cell>
          <cell r="AL78">
            <v>3.690060093548607</v>
          </cell>
          <cell r="AM78">
            <v>3.9801234473233329</v>
          </cell>
          <cell r="AN78">
            <v>3.7653414702117063</v>
          </cell>
          <cell r="AO78">
            <v>3.6461089260933255</v>
          </cell>
          <cell r="AP78">
            <v>3.6461089260933255</v>
          </cell>
          <cell r="AQ78">
            <v>3.6251934777890593</v>
          </cell>
          <cell r="AR78">
            <v>3.6859973172800564</v>
          </cell>
          <cell r="AV78">
            <v>3.6583925293337916</v>
          </cell>
          <cell r="AW78">
            <v>3.3654721211505243</v>
          </cell>
          <cell r="AX78">
            <v>3.4931753928768861</v>
          </cell>
          <cell r="AZ78">
            <v>18</v>
          </cell>
          <cell r="BA78">
            <v>18</v>
          </cell>
          <cell r="BC78">
            <v>2013</v>
          </cell>
        </row>
        <row r="79">
          <cell r="D79">
            <v>41579</v>
          </cell>
          <cell r="E79">
            <v>39.90518493652344</v>
          </cell>
          <cell r="F79">
            <v>32.717554092407227</v>
          </cell>
          <cell r="G79">
            <v>37.373660583496097</v>
          </cell>
          <cell r="J79">
            <v>33.308248338245207</v>
          </cell>
          <cell r="K79">
            <v>34.575000000000003</v>
          </cell>
          <cell r="L79">
            <v>34.622360063635782</v>
          </cell>
          <cell r="M79">
            <v>32.004977035522458</v>
          </cell>
          <cell r="N79">
            <v>27.873786544799806</v>
          </cell>
          <cell r="O79">
            <v>30.286002922058106</v>
          </cell>
          <cell r="R79">
            <v>26.534252267134818</v>
          </cell>
          <cell r="S79">
            <v>25.166666666666668</v>
          </cell>
          <cell r="T79">
            <v>29.277932061089409</v>
          </cell>
          <cell r="U79">
            <v>36.38789404023867</v>
          </cell>
          <cell r="V79">
            <v>30.561036224471053</v>
          </cell>
          <cell r="W79">
            <v>34.218129225213723</v>
          </cell>
          <cell r="Z79">
            <v>30.29236381837498</v>
          </cell>
          <cell r="AC79">
            <v>3.5333129644393919</v>
          </cell>
          <cell r="AD79">
            <v>3.2800000000000007</v>
          </cell>
          <cell r="AE79">
            <v>3.5950957934061685</v>
          </cell>
          <cell r="AF79">
            <v>3.500157109896342</v>
          </cell>
          <cell r="AG79">
            <v>3.6261320193608602</v>
          </cell>
          <cell r="AH79">
            <v>3.259333333333335</v>
          </cell>
          <cell r="AI79">
            <v>3.691992735862732</v>
          </cell>
          <cell r="AJ79">
            <v>3.6373526039306334</v>
          </cell>
          <cell r="AK79">
            <v>3.8398600462644623</v>
          </cell>
          <cell r="AL79">
            <v>3.6036333855913667</v>
          </cell>
          <cell r="AM79">
            <v>3.8878931208218228</v>
          </cell>
          <cell r="AN79">
            <v>3.6774121881114712</v>
          </cell>
          <cell r="AO79">
            <v>3.5605264780288244</v>
          </cell>
          <cell r="AP79">
            <v>3.5605264780288244</v>
          </cell>
          <cell r="AQ79">
            <v>3.5924176857218106</v>
          </cell>
          <cell r="AR79">
            <v>3.5996195364666179</v>
          </cell>
          <cell r="AV79">
            <v>3.5950957934061685</v>
          </cell>
          <cell r="AW79">
            <v>3.3654721211505243</v>
          </cell>
          <cell r="AX79">
            <v>3.4938837266672156</v>
          </cell>
          <cell r="AZ79">
            <v>19</v>
          </cell>
          <cell r="BA79">
            <v>19</v>
          </cell>
          <cell r="BC79">
            <v>2013</v>
          </cell>
        </row>
        <row r="80">
          <cell r="D80">
            <v>41609</v>
          </cell>
          <cell r="E80">
            <v>56.520629442655121</v>
          </cell>
          <cell r="F80">
            <v>44.844839682945839</v>
          </cell>
          <cell r="G80">
            <v>55.784233093261719</v>
          </cell>
          <cell r="J80">
            <v>45.956597089767456</v>
          </cell>
          <cell r="K80">
            <v>58.736110687255859</v>
          </cell>
          <cell r="L80">
            <v>47.921779979359023</v>
          </cell>
          <cell r="M80">
            <v>44.848159790039062</v>
          </cell>
          <cell r="N80">
            <v>38.111094994978473</v>
          </cell>
          <cell r="O80">
            <v>45.822229038585313</v>
          </cell>
          <cell r="R80">
            <v>33.88888880411784</v>
          </cell>
          <cell r="S80">
            <v>36.037036895751953</v>
          </cell>
          <cell r="T80">
            <v>38.816613637484039</v>
          </cell>
          <cell r="U80">
            <v>51.123681108649848</v>
          </cell>
          <cell r="V80">
            <v>41.731387837971681</v>
          </cell>
          <cell r="W80">
            <v>51.178145197013485</v>
          </cell>
          <cell r="Z80">
            <v>40.37690401145634</v>
          </cell>
          <cell r="AC80">
            <v>4.6552393209366567</v>
          </cell>
          <cell r="AD80">
            <v>4.6354838709677395</v>
          </cell>
          <cell r="AE80">
            <v>4.5808245624814719</v>
          </cell>
          <cell r="AF80">
            <v>4.4875408581324985</v>
          </cell>
          <cell r="AG80">
            <v>4.1466314224969771</v>
          </cell>
          <cell r="AH80">
            <v>3.6496774193548394</v>
          </cell>
          <cell r="AI80">
            <v>4.6924083232879639</v>
          </cell>
          <cell r="AJ80">
            <v>4.7922248418315716</v>
          </cell>
          <cell r="AK80">
            <v>5.0580044771281445</v>
          </cell>
          <cell r="AL80">
            <v>4.7477392034912729</v>
          </cell>
          <cell r="AM80">
            <v>5.1210152963070383</v>
          </cell>
          <cell r="AN80">
            <v>4.8446498433884111</v>
          </cell>
          <cell r="AO80">
            <v>4.6915766391592078</v>
          </cell>
          <cell r="AP80">
            <v>4.6915766391592078</v>
          </cell>
          <cell r="AQ80">
            <v>4.8047250432924828</v>
          </cell>
          <cell r="AR80">
            <v>4.7411807457637947</v>
          </cell>
          <cell r="AV80">
            <v>4.5808245624814719</v>
          </cell>
          <cell r="AW80">
            <v>4.7431363867951406</v>
          </cell>
          <cell r="AX80">
            <v>4.9381876165758127</v>
          </cell>
          <cell r="AZ80">
            <v>20</v>
          </cell>
          <cell r="BA80">
            <v>20</v>
          </cell>
          <cell r="BC80">
            <v>2013</v>
          </cell>
        </row>
        <row r="81">
          <cell r="D81">
            <v>41640</v>
          </cell>
          <cell r="E81">
            <v>42.940976069523735</v>
          </cell>
          <cell r="F81">
            <v>40.193454889150765</v>
          </cell>
          <cell r="G81">
            <v>40.979192880483772</v>
          </cell>
          <cell r="J81">
            <v>41.520139058430992</v>
          </cell>
          <cell r="K81">
            <v>39</v>
          </cell>
          <cell r="L81">
            <v>42.43624452444223</v>
          </cell>
          <cell r="M81">
            <v>39.572689733197613</v>
          </cell>
          <cell r="N81">
            <v>34.127866806522491</v>
          </cell>
          <cell r="O81">
            <v>38.848157698108302</v>
          </cell>
          <cell r="R81">
            <v>32.905709725839124</v>
          </cell>
          <cell r="S81">
            <v>32.270833333333336</v>
          </cell>
          <cell r="T81">
            <v>35.935515948704314</v>
          </cell>
          <cell r="U81">
            <v>41.456032630928348</v>
          </cell>
          <cell r="V81">
            <v>37.519378422615716</v>
          </cell>
          <cell r="W81">
            <v>40.039704251694587</v>
          </cell>
          <cell r="Z81">
            <v>37.722379890299095</v>
          </cell>
          <cell r="AC81">
            <v>4.5486818205925728</v>
          </cell>
          <cell r="AD81">
            <v>4.849999999999997</v>
          </cell>
          <cell r="AE81">
            <v>4.5069359733212382</v>
          </cell>
          <cell r="AF81">
            <v>4.4793328239071757</v>
          </cell>
          <cell r="AG81">
            <v>4.5978100607472081</v>
          </cell>
          <cell r="AH81">
            <v>3.9006451612903241</v>
          </cell>
          <cell r="AI81">
            <v>4.641048985142862</v>
          </cell>
          <cell r="AJ81">
            <v>4.7260698437985562</v>
          </cell>
          <cell r="AK81">
            <v>4.9991719152705762</v>
          </cell>
          <cell r="AL81">
            <v>4.6821380014556278</v>
          </cell>
          <cell r="AM81">
            <v>5.0746561804646122</v>
          </cell>
          <cell r="AN81">
            <v>4.7920430915781429</v>
          </cell>
          <cell r="AO81">
            <v>4.5841525847764357</v>
          </cell>
          <cell r="AP81">
            <v>4.5841525847764357</v>
          </cell>
          <cell r="AQ81">
            <v>4.8598011578388975</v>
          </cell>
          <cell r="AR81">
            <v>4.6441616256172322</v>
          </cell>
          <cell r="AV81">
            <v>4.5069359733212382</v>
          </cell>
          <cell r="AW81">
            <v>4.9427924050632868</v>
          </cell>
          <cell r="AX81">
            <v>4.5785735896094106</v>
          </cell>
          <cell r="AZ81">
            <v>9</v>
          </cell>
          <cell r="BA81">
            <v>9</v>
          </cell>
          <cell r="BC81">
            <v>2014</v>
          </cell>
        </row>
        <row r="82">
          <cell r="D82">
            <v>41671</v>
          </cell>
          <cell r="E82">
            <v>74.516711552937821</v>
          </cell>
          <cell r="F82">
            <v>61.148478507995605</v>
          </cell>
          <cell r="G82">
            <v>73.625555833180741</v>
          </cell>
          <cell r="J82">
            <v>53.011003577190898</v>
          </cell>
          <cell r="K82">
            <v>89.457142421177451</v>
          </cell>
          <cell r="L82">
            <v>69.835745334625244</v>
          </cell>
          <cell r="M82">
            <v>62.405266898018972</v>
          </cell>
          <cell r="N82">
            <v>48.676376342773438</v>
          </cell>
          <cell r="O82">
            <v>63.960103852408274</v>
          </cell>
          <cell r="R82">
            <v>43.529087349220561</v>
          </cell>
          <cell r="S82">
            <v>45.558333396911621</v>
          </cell>
          <cell r="T82">
            <v>52.914269288380943</v>
          </cell>
          <cell r="U82">
            <v>69.326092415115454</v>
          </cell>
          <cell r="V82">
            <v>55.803291865757537</v>
          </cell>
          <cell r="W82">
            <v>69.483219269992532</v>
          </cell>
          <cell r="Z82">
            <v>48.947325193775036</v>
          </cell>
          <cell r="AC82">
            <v>6.9776223216738016</v>
          </cell>
          <cell r="AD82">
            <v>4.849999999999997</v>
          </cell>
          <cell r="AE82">
            <v>6.9629059008189609</v>
          </cell>
          <cell r="AF82">
            <v>6.5356864929199219</v>
          </cell>
          <cell r="AG82">
            <v>5.8792591946465631</v>
          </cell>
          <cell r="AH82">
            <v>6.3289285714285697</v>
          </cell>
          <cell r="AI82">
            <v>6.5836213486535211</v>
          </cell>
          <cell r="AJ82">
            <v>7.2496038878086502</v>
          </cell>
          <cell r="AK82">
            <v>7.6682149717406887</v>
          </cell>
          <cell r="AL82">
            <v>7.1820710499588412</v>
          </cell>
          <cell r="AM82">
            <v>7.7838533927163907</v>
          </cell>
          <cell r="AN82">
            <v>7.3504405908994626</v>
          </cell>
          <cell r="AO82">
            <v>7.0328458784264418</v>
          </cell>
          <cell r="AP82">
            <v>7.0328458784264418</v>
          </cell>
          <cell r="AQ82">
            <v>6.1269812254547373</v>
          </cell>
          <cell r="AR82">
            <v>7.1219138454287485</v>
          </cell>
          <cell r="AV82">
            <v>6.9629059008189609</v>
          </cell>
          <cell r="AW82">
            <v>4.9427924050632868</v>
          </cell>
          <cell r="AX82">
            <v>6.6001785156091142</v>
          </cell>
          <cell r="AZ82">
            <v>10</v>
          </cell>
          <cell r="BA82">
            <v>10</v>
          </cell>
          <cell r="BC82">
            <v>2014</v>
          </cell>
        </row>
        <row r="83">
          <cell r="D83">
            <v>41699</v>
          </cell>
          <cell r="E83">
            <v>36.030417442321777</v>
          </cell>
          <cell r="F83">
            <v>42.145878278292145</v>
          </cell>
          <cell r="G83">
            <v>31.762103667626015</v>
          </cell>
          <cell r="J83">
            <v>39.110160191853844</v>
          </cell>
          <cell r="K83">
            <v>64</v>
          </cell>
          <cell r="L83">
            <v>44.283153533935547</v>
          </cell>
          <cell r="M83">
            <v>23.990741052935199</v>
          </cell>
          <cell r="N83">
            <v>33.109260436027277</v>
          </cell>
          <cell r="O83">
            <v>17.69621612371937</v>
          </cell>
          <cell r="R83">
            <v>28.094413280487061</v>
          </cell>
          <cell r="S83">
            <v>25.775000095367432</v>
          </cell>
          <cell r="T83">
            <v>33.680856458602413</v>
          </cell>
          <cell r="U83">
            <v>30.731663499751907</v>
          </cell>
          <cell r="V83">
            <v>38.168793440579343</v>
          </cell>
          <cell r="W83">
            <v>25.571598651667102</v>
          </cell>
          <cell r="Z83">
            <v>34.262045467739526</v>
          </cell>
          <cell r="AC83">
            <v>4.9063365074896046</v>
          </cell>
          <cell r="AD83">
            <v>4.849999999999997</v>
          </cell>
          <cell r="AE83">
            <v>4.8742394139689784</v>
          </cell>
          <cell r="AF83">
            <v>4.6862414883029073</v>
          </cell>
          <cell r="AG83">
            <v>4.7716958292068972</v>
          </cell>
          <cell r="AH83">
            <v>4.8000000000000025</v>
          </cell>
          <cell r="AI83">
            <v>4.9799307238671089</v>
          </cell>
          <cell r="AJ83">
            <v>5.0963162915992841</v>
          </cell>
          <cell r="AK83">
            <v>5.3884443931599764</v>
          </cell>
          <cell r="AL83">
            <v>5.0488615614448769</v>
          </cell>
          <cell r="AM83">
            <v>5.4688761391843972</v>
          </cell>
          <cell r="AN83">
            <v>5.1661310471484798</v>
          </cell>
          <cell r="AO83">
            <v>4.9447158150644581</v>
          </cell>
          <cell r="AP83">
            <v>4.9447158150644581</v>
          </cell>
          <cell r="AQ83">
            <v>5.0493147156167613</v>
          </cell>
          <cell r="AR83">
            <v>5.0090037014073294</v>
          </cell>
          <cell r="AV83">
            <v>4.8742394139689784</v>
          </cell>
          <cell r="AW83">
            <v>4.9427924050632868</v>
          </cell>
          <cell r="AX83">
            <v>4.6299730281496982</v>
          </cell>
          <cell r="AZ83">
            <v>11</v>
          </cell>
          <cell r="BA83">
            <v>11</v>
          </cell>
          <cell r="BC83">
            <v>2014</v>
          </cell>
        </row>
        <row r="84">
          <cell r="D84">
            <v>41730</v>
          </cell>
          <cell r="E84">
            <v>37.41660059415377</v>
          </cell>
          <cell r="F84">
            <v>40.845188287588265</v>
          </cell>
          <cell r="G84">
            <v>30.992932319641113</v>
          </cell>
          <cell r="J84">
            <v>38.263158095510384</v>
          </cell>
          <cell r="K84">
            <v>36.75</v>
          </cell>
          <cell r="L84">
            <v>42.264001672918148</v>
          </cell>
          <cell r="M84">
            <v>22.183717711766562</v>
          </cell>
          <cell r="N84">
            <v>33.279473481354891</v>
          </cell>
          <cell r="O84">
            <v>16.648975561062496</v>
          </cell>
          <cell r="R84">
            <v>29.199343754695011</v>
          </cell>
          <cell r="S84">
            <v>24.842045502229169</v>
          </cell>
          <cell r="T84">
            <v>34.656890869140625</v>
          </cell>
          <cell r="U84">
            <v>30.984938932701393</v>
          </cell>
          <cell r="V84">
            <v>37.65077536940084</v>
          </cell>
          <cell r="W84">
            <v>24.936595021574586</v>
          </cell>
          <cell r="Z84">
            <v>34.43621426272167</v>
          </cell>
          <cell r="AC84">
            <v>4.464916467666626</v>
          </cell>
          <cell r="AD84">
            <v>4.849999999999997</v>
          </cell>
          <cell r="AE84">
            <v>4.4602853616078697</v>
          </cell>
          <cell r="AF84">
            <v>4.4609948476155603</v>
          </cell>
          <cell r="AG84">
            <v>4.6118779659271238</v>
          </cell>
          <cell r="AH84">
            <v>4.333333333333333</v>
          </cell>
          <cell r="AI84">
            <v>4.6640847524007158</v>
          </cell>
          <cell r="AJ84">
            <v>4.6336252287845889</v>
          </cell>
          <cell r="AK84">
            <v>4.8908781575753908</v>
          </cell>
          <cell r="AL84">
            <v>4.5900514428004797</v>
          </cell>
          <cell r="AM84">
            <v>4.9607079428063354</v>
          </cell>
          <cell r="AN84">
            <v>4.6920029292376588</v>
          </cell>
          <cell r="AO84">
            <v>4.4997060296390474</v>
          </cell>
          <cell r="AP84">
            <v>4.4997060296390474</v>
          </cell>
          <cell r="AQ84">
            <v>4.8357313495552532</v>
          </cell>
          <cell r="AR84">
            <v>4.5587129334557037</v>
          </cell>
          <cell r="AV84">
            <v>4.4602853616078697</v>
          </cell>
          <cell r="AW84">
            <v>4.9427924050632868</v>
          </cell>
          <cell r="AX84">
            <v>4.4158959584345023</v>
          </cell>
          <cell r="AZ84">
            <v>12</v>
          </cell>
          <cell r="BA84">
            <v>12</v>
          </cell>
          <cell r="BC84">
            <v>2014</v>
          </cell>
        </row>
        <row r="85">
          <cell r="D85">
            <v>41760</v>
          </cell>
          <cell r="E85">
            <v>41.238833940946137</v>
          </cell>
          <cell r="F85">
            <v>42.222392742450424</v>
          </cell>
          <cell r="G85">
            <v>33.839646632854752</v>
          </cell>
          <cell r="J85">
            <v>39.744444529215492</v>
          </cell>
          <cell r="K85">
            <v>42.125</v>
          </cell>
          <cell r="L85">
            <v>44.326735814412437</v>
          </cell>
          <cell r="M85">
            <v>12.187950895678613</v>
          </cell>
          <cell r="N85">
            <v>31.395067030383693</v>
          </cell>
          <cell r="O85">
            <v>5.7644239478414097</v>
          </cell>
          <cell r="R85">
            <v>29.100902811686197</v>
          </cell>
          <cell r="S85">
            <v>23.90909090909091</v>
          </cell>
          <cell r="T85">
            <v>34.530172479563745</v>
          </cell>
          <cell r="U85">
            <v>28.431455394107768</v>
          </cell>
          <cell r="V85">
            <v>37.44905560057154</v>
          </cell>
          <cell r="W85">
            <v>21.46239792225747</v>
          </cell>
          <cell r="Z85">
            <v>35.052130438691826</v>
          </cell>
          <cell r="AC85">
            <v>4.378192790349325</v>
          </cell>
          <cell r="AD85">
            <v>4.849999999999997</v>
          </cell>
          <cell r="AE85">
            <v>4.3376142286485244</v>
          </cell>
          <cell r="AF85">
            <v>4.3781252984077703</v>
          </cell>
          <cell r="AG85">
            <v>4.5578781712439751</v>
          </cell>
          <cell r="AH85">
            <v>4.2212903225806446</v>
          </cell>
          <cell r="AI85">
            <v>4.6380264682154504</v>
          </cell>
          <cell r="AJ85">
            <v>4.5443622798977907</v>
          </cell>
          <cell r="AK85">
            <v>4.7983168159215257</v>
          </cell>
          <cell r="AL85">
            <v>4.5017830762530924</v>
          </cell>
          <cell r="AM85">
            <v>4.8674388997603222</v>
          </cell>
          <cell r="AN85">
            <v>4.6027013186577337</v>
          </cell>
          <cell r="AO85">
            <v>4.4122770922266197</v>
          </cell>
          <cell r="AP85">
            <v>4.4122770922266197</v>
          </cell>
          <cell r="AQ85">
            <v>4.77243806048949</v>
          </cell>
          <cell r="AR85">
            <v>4.4702464667441859</v>
          </cell>
          <cell r="AV85">
            <v>4.3376142286485244</v>
          </cell>
          <cell r="AW85">
            <v>4.9427924050632868</v>
          </cell>
          <cell r="AX85">
            <v>4.3748749303250625</v>
          </cell>
          <cell r="AZ85">
            <v>13</v>
          </cell>
          <cell r="BA85">
            <v>13</v>
          </cell>
          <cell r="BC85">
            <v>2014</v>
          </cell>
        </row>
        <row r="86">
          <cell r="D86">
            <v>41791</v>
          </cell>
          <cell r="E86">
            <v>40.557755737304689</v>
          </cell>
          <cell r="F86">
            <v>45.176328735351561</v>
          </cell>
          <cell r="G86">
            <v>34.405154037475583</v>
          </cell>
          <cell r="J86">
            <v>46.127604246139526</v>
          </cell>
          <cell r="K86">
            <v>40.950000000000003</v>
          </cell>
          <cell r="L86">
            <v>48.917646969065949</v>
          </cell>
          <cell r="M86">
            <v>18.81034385363261</v>
          </cell>
          <cell r="N86">
            <v>33.716038322448732</v>
          </cell>
          <cell r="O86">
            <v>11.027391151587169</v>
          </cell>
          <cell r="R86">
            <v>29.722539825439455</v>
          </cell>
          <cell r="S86">
            <v>24.742424184625801</v>
          </cell>
          <cell r="T86">
            <v>35.577357610066734</v>
          </cell>
          <cell r="U86">
            <v>30.892239344561542</v>
          </cell>
          <cell r="V86">
            <v>40.082866329616976</v>
          </cell>
          <cell r="W86">
            <v>24.015037199302956</v>
          </cell>
          <cell r="Z86">
            <v>38.836464503606159</v>
          </cell>
          <cell r="AC86">
            <v>4.4854371865590412</v>
          </cell>
          <cell r="AD86">
            <v>4.849999999999997</v>
          </cell>
          <cell r="AE86">
            <v>4.4413968368812844</v>
          </cell>
          <cell r="AF86">
            <v>4.4674046357472736</v>
          </cell>
          <cell r="AG86">
            <v>4.5639341513315834</v>
          </cell>
          <cell r="AH86">
            <v>4.3680000000000003</v>
          </cell>
          <cell r="AI86">
            <v>4.7210444927215578</v>
          </cell>
          <cell r="AJ86">
            <v>4.6577092178132116</v>
          </cell>
          <cell r="AK86">
            <v>4.9216860919012557</v>
          </cell>
          <cell r="AL86">
            <v>4.6140264693339841</v>
          </cell>
          <cell r="AM86">
            <v>4.9940085231582536</v>
          </cell>
          <cell r="AN86">
            <v>4.7196172189692023</v>
          </cell>
          <cell r="AO86">
            <v>4.5203936284955724</v>
          </cell>
          <cell r="AP86">
            <v>4.5203936284955724</v>
          </cell>
          <cell r="AQ86">
            <v>4.8259856430739916</v>
          </cell>
          <cell r="AR86">
            <v>4.5796460344374594</v>
          </cell>
          <cell r="AV86">
            <v>4.4413968368812844</v>
          </cell>
          <cell r="AW86">
            <v>4.9427924050632868</v>
          </cell>
          <cell r="AX86">
            <v>4.5259377480629608</v>
          </cell>
          <cell r="AZ86">
            <v>14</v>
          </cell>
          <cell r="BA86">
            <v>14</v>
          </cell>
          <cell r="BC86">
            <v>2014</v>
          </cell>
        </row>
        <row r="87">
          <cell r="D87">
            <v>41821</v>
          </cell>
          <cell r="E87">
            <v>44.659138165987457</v>
          </cell>
          <cell r="F87">
            <v>45.723158176128678</v>
          </cell>
          <cell r="G87">
            <v>39.40659346947303</v>
          </cell>
          <cell r="J87">
            <v>48.118889109293619</v>
          </cell>
          <cell r="K87">
            <v>49.03846153846154</v>
          </cell>
          <cell r="L87">
            <v>46.604166724465109</v>
          </cell>
          <cell r="M87">
            <v>29.409650002756425</v>
          </cell>
          <cell r="N87">
            <v>33.677351920835434</v>
          </cell>
          <cell r="O87">
            <v>24.705296054963142</v>
          </cell>
          <cell r="R87">
            <v>32.349206379481721</v>
          </cell>
          <cell r="S87">
            <v>29.958333333333332</v>
          </cell>
          <cell r="T87">
            <v>35.376478502827304</v>
          </cell>
          <cell r="U87">
            <v>37.9362455348856</v>
          </cell>
          <cell r="V87">
            <v>40.41264143992413</v>
          </cell>
          <cell r="W87">
            <v>32.925376329742868</v>
          </cell>
          <cell r="Z87">
            <v>41.166663389699124</v>
          </cell>
          <cell r="AC87">
            <v>3.9832838119999057</v>
          </cell>
          <cell r="AD87">
            <v>4.849999999999997</v>
          </cell>
          <cell r="AE87">
            <v>3.968033952097739</v>
          </cell>
          <cell r="AF87">
            <v>3.985244312594014</v>
          </cell>
          <cell r="AG87">
            <v>4.0426665967510589</v>
          </cell>
          <cell r="AH87">
            <v>3.86</v>
          </cell>
          <cell r="AI87">
            <v>4.3418286231256298</v>
          </cell>
          <cell r="AJ87">
            <v>4.1355802175458942</v>
          </cell>
          <cell r="AK87">
            <v>4.3686765570802999</v>
          </cell>
          <cell r="AL87">
            <v>4.0968370315325213</v>
          </cell>
          <cell r="AM87">
            <v>4.4323989024970309</v>
          </cell>
          <cell r="AN87">
            <v>4.1897442111501162</v>
          </cell>
          <cell r="AO87">
            <v>4.014156608642959</v>
          </cell>
          <cell r="AP87">
            <v>4.014156608642959</v>
          </cell>
          <cell r="AQ87">
            <v>4.5817497484765415</v>
          </cell>
          <cell r="AR87">
            <v>4.0674014413953952</v>
          </cell>
          <cell r="AV87">
            <v>3.968033952097739</v>
          </cell>
          <cell r="AW87">
            <v>4.9427924050632868</v>
          </cell>
          <cell r="AX87">
            <v>4.0954351399333531</v>
          </cell>
          <cell r="AZ87">
            <v>15</v>
          </cell>
          <cell r="BA87">
            <v>15</v>
          </cell>
          <cell r="BC87">
            <v>2014</v>
          </cell>
        </row>
        <row r="88">
          <cell r="D88">
            <v>41852</v>
          </cell>
          <cell r="E88">
            <v>44.109197176419769</v>
          </cell>
          <cell r="F88">
            <v>41.555618873009315</v>
          </cell>
          <cell r="G88">
            <v>41.95764424250676</v>
          </cell>
          <cell r="J88">
            <v>42.631746019635884</v>
          </cell>
          <cell r="K88">
            <v>48.766666412353516</v>
          </cell>
          <cell r="L88">
            <v>42.560763994852699</v>
          </cell>
          <cell r="M88">
            <v>33.973660807455737</v>
          </cell>
          <cell r="N88">
            <v>32.933358346262288</v>
          </cell>
          <cell r="O88">
            <v>32.011241297568041</v>
          </cell>
          <cell r="R88">
            <v>28.953703668382431</v>
          </cell>
          <cell r="S88">
            <v>28.625</v>
          </cell>
          <cell r="T88">
            <v>34.077283647325302</v>
          </cell>
          <cell r="U88">
            <v>39.640842433113043</v>
          </cell>
          <cell r="V88">
            <v>37.754407242938036</v>
          </cell>
          <cell r="W88">
            <v>37.572670901189689</v>
          </cell>
          <cell r="Z88">
            <v>36.601641327147796</v>
          </cell>
          <cell r="AC88">
            <v>3.8059242233153312</v>
          </cell>
          <cell r="AD88">
            <v>4.849999999999997</v>
          </cell>
          <cell r="AE88">
            <v>3.7666985988616943</v>
          </cell>
          <cell r="AF88">
            <v>3.851244503451932</v>
          </cell>
          <cell r="AG88">
            <v>3.8675435281568959</v>
          </cell>
          <cell r="AH88">
            <v>3.6448387096774195</v>
          </cell>
          <cell r="AI88">
            <v>4.1321735843535397</v>
          </cell>
          <cell r="AJ88">
            <v>3.9447973032414234</v>
          </cell>
          <cell r="AK88">
            <v>4.1542762634186339</v>
          </cell>
          <cell r="AL88">
            <v>3.907267048281446</v>
          </cell>
          <cell r="AM88">
            <v>4.2099591342791358</v>
          </cell>
          <cell r="AN88">
            <v>3.9888981369629417</v>
          </cell>
          <cell r="AO88">
            <v>3.8353546844364517</v>
          </cell>
          <cell r="AP88">
            <v>3.8353546844364517</v>
          </cell>
          <cell r="AQ88">
            <v>4.4778689380192862</v>
          </cell>
          <cell r="AR88">
            <v>3.8864776541011237</v>
          </cell>
          <cell r="AV88">
            <v>3.7666985988616943</v>
          </cell>
          <cell r="AW88">
            <v>4.9427924050632868</v>
          </cell>
          <cell r="AX88">
            <v>4.2940402692784936</v>
          </cell>
          <cell r="AZ88">
            <v>16</v>
          </cell>
          <cell r="BA88">
            <v>16</v>
          </cell>
          <cell r="BC88">
            <v>2014</v>
          </cell>
        </row>
        <row r="89">
          <cell r="D89">
            <v>41883</v>
          </cell>
          <cell r="E89">
            <v>43.922233276367187</v>
          </cell>
          <cell r="F89">
            <v>40.801956634521481</v>
          </cell>
          <cell r="G89">
            <v>39.857150878906253</v>
          </cell>
          <cell r="J89">
            <v>39.469583511352539</v>
          </cell>
          <cell r="K89">
            <v>39.799999782017302</v>
          </cell>
          <cell r="L89">
            <v>42.359507719675698</v>
          </cell>
          <cell r="M89">
            <v>34.852388763427733</v>
          </cell>
          <cell r="N89">
            <v>32.622650845845541</v>
          </cell>
          <cell r="O89">
            <v>33.385975201924644</v>
          </cell>
          <cell r="R89">
            <v>27.68458735148112</v>
          </cell>
          <cell r="S89">
            <v>25.289487251868614</v>
          </cell>
          <cell r="T89">
            <v>33.549166505986996</v>
          </cell>
          <cell r="U89">
            <v>39.891191270616318</v>
          </cell>
          <cell r="V89">
            <v>37.166709617332174</v>
          </cell>
          <cell r="W89">
            <v>36.981072800247759</v>
          </cell>
          <cell r="Z89">
            <v>34.231807440298574</v>
          </cell>
          <cell r="AC89">
            <v>3.7918959140777586</v>
          </cell>
          <cell r="AD89">
            <v>4.849999999999997</v>
          </cell>
          <cell r="AE89">
            <v>3.7807707707087199</v>
          </cell>
          <cell r="AF89">
            <v>3.8273862123489382</v>
          </cell>
          <cell r="AG89">
            <v>3.8994950691858929</v>
          </cell>
          <cell r="AH89">
            <v>3.6270000000000007</v>
          </cell>
          <cell r="AI89">
            <v>4.0979082584381104</v>
          </cell>
          <cell r="AJ89">
            <v>3.9257886365334831</v>
          </cell>
          <cell r="AK89">
            <v>4.1254331769213053</v>
          </cell>
          <cell r="AL89">
            <v>3.8878748710592097</v>
          </cell>
          <cell r="AM89">
            <v>4.1773698419545582</v>
          </cell>
          <cell r="AN89">
            <v>3.9644295153182236</v>
          </cell>
          <cell r="AO89">
            <v>3.8212122932432542</v>
          </cell>
          <cell r="AP89">
            <v>3.8212122932432542</v>
          </cell>
          <cell r="AQ89">
            <v>4.485129603336464</v>
          </cell>
          <cell r="AR89">
            <v>3.8721674335180651</v>
          </cell>
          <cell r="AV89">
            <v>3.7807707707087199</v>
          </cell>
          <cell r="AW89">
            <v>4.9427924050632868</v>
          </cell>
          <cell r="AX89">
            <v>4.4085918746825978</v>
          </cell>
          <cell r="AZ89">
            <v>17</v>
          </cell>
          <cell r="BA89">
            <v>17</v>
          </cell>
          <cell r="BC89">
            <v>2014</v>
          </cell>
        </row>
        <row r="90">
          <cell r="D90">
            <v>41913</v>
          </cell>
          <cell r="E90">
            <v>37.471481464527272</v>
          </cell>
          <cell r="F90">
            <v>38.504814995659721</v>
          </cell>
          <cell r="G90">
            <v>32.877407709757485</v>
          </cell>
          <cell r="J90">
            <v>39.769600219726563</v>
          </cell>
          <cell r="K90">
            <v>37.376667022705078</v>
          </cell>
          <cell r="L90">
            <v>41.219565515932828</v>
          </cell>
          <cell r="M90">
            <v>31.222903159356886</v>
          </cell>
          <cell r="N90">
            <v>31.490323035947739</v>
          </cell>
          <cell r="O90">
            <v>29.362903225806452</v>
          </cell>
          <cell r="R90">
            <v>29.460000228881835</v>
          </cell>
          <cell r="S90">
            <v>28.077727231112394</v>
          </cell>
          <cell r="T90">
            <v>33.017857006617952</v>
          </cell>
          <cell r="U90">
            <v>34.851109917197753</v>
          </cell>
          <cell r="V90">
            <v>35.563253851264371</v>
          </cell>
          <cell r="W90">
            <v>31.403583248745761</v>
          </cell>
          <cell r="Z90">
            <v>35.44621957840458</v>
          </cell>
          <cell r="AC90">
            <v>3.6150677357950518</v>
          </cell>
          <cell r="AD90">
            <v>4.849999999999997</v>
          </cell>
          <cell r="AE90">
            <v>3.5254871153062388</v>
          </cell>
          <cell r="AF90">
            <v>3.6324128873886599</v>
          </cell>
          <cell r="AG90">
            <v>3.7822548035652406</v>
          </cell>
          <cell r="AH90">
            <v>3.2912903225806445</v>
          </cell>
          <cell r="AI90">
            <v>3.8162645063092633</v>
          </cell>
          <cell r="AJ90">
            <v>3.7403672849610921</v>
          </cell>
          <cell r="AK90">
            <v>3.9157296562730792</v>
          </cell>
          <cell r="AL90">
            <v>3.7038888718604412</v>
          </cell>
          <cell r="AM90">
            <v>3.9632275899978859</v>
          </cell>
          <cell r="AN90">
            <v>3.7740908179057051</v>
          </cell>
          <cell r="AO90">
            <v>3.6429461010098647</v>
          </cell>
          <cell r="AP90">
            <v>3.6429461010098647</v>
          </cell>
          <cell r="AQ90">
            <v>4.3534136746957079</v>
          </cell>
          <cell r="AR90">
            <v>3.6917857357901176</v>
          </cell>
          <cell r="AV90">
            <v>3.5254871153062388</v>
          </cell>
          <cell r="AW90">
            <v>4.9427924050632868</v>
          </cell>
          <cell r="AX90">
            <v>4.0015109245800806</v>
          </cell>
          <cell r="AZ90">
            <v>18</v>
          </cell>
          <cell r="BA90">
            <v>18</v>
          </cell>
          <cell r="BC90">
            <v>2014</v>
          </cell>
        </row>
        <row r="91">
          <cell r="D91">
            <v>41944</v>
          </cell>
          <cell r="E91">
            <v>43.657500108083092</v>
          </cell>
          <cell r="F91">
            <v>38.533750057220459</v>
          </cell>
          <cell r="G91">
            <v>33.92875019709269</v>
          </cell>
          <cell r="J91">
            <v>37.702727404507726</v>
          </cell>
          <cell r="K91">
            <v>38.071428571428569</v>
          </cell>
          <cell r="L91">
            <v>40.238695559294328</v>
          </cell>
          <cell r="M91">
            <v>32.904333432515465</v>
          </cell>
          <cell r="N91">
            <v>33.507333691914873</v>
          </cell>
          <cell r="O91">
            <v>29.318333371480307</v>
          </cell>
          <cell r="R91">
            <v>31.15136363289573</v>
          </cell>
          <cell r="S91">
            <v>28.305555555555557</v>
          </cell>
          <cell r="T91">
            <v>34.846818403764203</v>
          </cell>
          <cell r="U91">
            <v>38.631401398421112</v>
          </cell>
          <cell r="V91">
            <v>36.184370979400789</v>
          </cell>
          <cell r="W91">
            <v>31.773811958214225</v>
          </cell>
          <cell r="Z91">
            <v>34.640578179773691</v>
          </cell>
          <cell r="AC91">
            <v>4.0360966205596922</v>
          </cell>
          <cell r="AD91">
            <v>4.849999999999997</v>
          </cell>
          <cell r="AE91">
            <v>4.0055933634440102</v>
          </cell>
          <cell r="AF91">
            <v>3.9834733168284098</v>
          </cell>
          <cell r="AG91">
            <v>4.0711766481399536</v>
          </cell>
          <cell r="AH91">
            <v>3.4630000000000005</v>
          </cell>
          <cell r="AI91">
            <v>4.1570532798767088</v>
          </cell>
          <cell r="AJ91">
            <v>4.1760713210014853</v>
          </cell>
          <cell r="AK91">
            <v>4.3721634412103763</v>
          </cell>
          <cell r="AL91">
            <v>4.1353649350719444</v>
          </cell>
          <cell r="AM91">
            <v>4.425304937201946</v>
          </cell>
          <cell r="AN91">
            <v>4.213908066147483</v>
          </cell>
          <cell r="AO91">
            <v>4.0673989050605135</v>
          </cell>
          <cell r="AP91">
            <v>4.0673989050605135</v>
          </cell>
          <cell r="AQ91">
            <v>4.6011288690742722</v>
          </cell>
          <cell r="AR91">
            <v>4.1212755702944941</v>
          </cell>
          <cell r="AV91">
            <v>4.0055933634440102</v>
          </cell>
          <cell r="AW91">
            <v>4.9427924050632868</v>
          </cell>
          <cell r="AX91">
            <v>4.2364400604479089</v>
          </cell>
          <cell r="AZ91">
            <v>19</v>
          </cell>
          <cell r="BA91">
            <v>19</v>
          </cell>
          <cell r="BC91">
            <v>2014</v>
          </cell>
        </row>
        <row r="92">
          <cell r="D92">
            <v>41974</v>
          </cell>
          <cell r="E92">
            <v>33.577857153756277</v>
          </cell>
          <cell r="F92">
            <v>30.942857197352819</v>
          </cell>
          <cell r="G92">
            <v>29.887499741145543</v>
          </cell>
          <cell r="J92">
            <v>30.871875047683716</v>
          </cell>
          <cell r="K92">
            <v>35.473332722981773</v>
          </cell>
          <cell r="L92">
            <v>33.811538329491249</v>
          </cell>
          <cell r="M92">
            <v>28.314782598744269</v>
          </cell>
          <cell r="N92">
            <v>24.956922897925743</v>
          </cell>
          <cell r="O92">
            <v>25.903043332307234</v>
          </cell>
          <cell r="R92">
            <v>26.739999944513496</v>
          </cell>
          <cell r="S92">
            <v>26.416666666666668</v>
          </cell>
          <cell r="T92">
            <v>27.620000021798269</v>
          </cell>
          <cell r="U92">
            <v>31.257576973589693</v>
          </cell>
          <cell r="V92">
            <v>28.303896914809698</v>
          </cell>
          <cell r="W92">
            <v>28.13091143187274</v>
          </cell>
          <cell r="Z92">
            <v>29.050295701124799</v>
          </cell>
          <cell r="AC92">
            <v>3.35829332669576</v>
          </cell>
          <cell r="AD92">
            <v>4.849999999999997</v>
          </cell>
          <cell r="AE92">
            <v>3.3888423351141124</v>
          </cell>
          <cell r="AF92">
            <v>3.4451347952303677</v>
          </cell>
          <cell r="AG92">
            <v>3.5811391187750776</v>
          </cell>
          <cell r="AH92">
            <v>2.8109677419354835</v>
          </cell>
          <cell r="AI92">
            <v>3.6593695619831914</v>
          </cell>
          <cell r="AJ92">
            <v>3.4755087415408048</v>
          </cell>
          <cell r="AK92">
            <v>3.640040470635225</v>
          </cell>
          <cell r="AL92">
            <v>3.4417241762528974</v>
          </cell>
          <cell r="AM92">
            <v>3.6848475864016801</v>
          </cell>
          <cell r="AN92">
            <v>3.5078594791241851</v>
          </cell>
          <cell r="AO92">
            <v>3.3840835338689694</v>
          </cell>
          <cell r="AP92">
            <v>3.3840835338689694</v>
          </cell>
          <cell r="AQ92">
            <v>4.2829105549854312</v>
          </cell>
          <cell r="AR92">
            <v>3.429851216664042</v>
          </cell>
          <cell r="AV92">
            <v>3.3888423351141124</v>
          </cell>
          <cell r="AW92">
            <v>4.9427924050632868</v>
          </cell>
          <cell r="AX92">
            <v>3.5481858833139941</v>
          </cell>
          <cell r="AZ92">
            <v>20</v>
          </cell>
          <cell r="BA92">
            <v>20</v>
          </cell>
          <cell r="BC92">
            <v>2014</v>
          </cell>
        </row>
        <row r="93">
          <cell r="D93">
            <v>42005</v>
          </cell>
          <cell r="E93">
            <v>26.067307692307693</v>
          </cell>
          <cell r="F93">
            <v>25.785384615384615</v>
          </cell>
          <cell r="G93">
            <v>23.050000000000008</v>
          </cell>
          <cell r="J93">
            <v>26.286666666666665</v>
          </cell>
          <cell r="K93">
            <v>25.16714285714286</v>
          </cell>
          <cell r="L93">
            <v>27.130769230769229</v>
          </cell>
          <cell r="M93">
            <v>22.735853658536595</v>
          </cell>
          <cell r="N93">
            <v>24.415853658536591</v>
          </cell>
          <cell r="O93">
            <v>19.963170731707315</v>
          </cell>
          <cell r="R93">
            <v>24.639677419354836</v>
          </cell>
          <cell r="S93">
            <v>21.21875</v>
          </cell>
          <cell r="T93">
            <v>26.764878048780488</v>
          </cell>
          <cell r="U93">
            <v>24.483957682969127</v>
          </cell>
          <cell r="V93">
            <v>25.044498785986818</v>
          </cell>
          <cell r="W93">
            <v>21.588619493583078</v>
          </cell>
          <cell r="Z93">
            <v>25.469546953405015</v>
          </cell>
          <cell r="AC93">
            <v>2.842096774193549</v>
          </cell>
          <cell r="AD93">
            <v>2.7614516129032256</v>
          </cell>
          <cell r="AE93">
            <v>2.7880645161290318</v>
          </cell>
          <cell r="AF93">
            <v>2.8590322580645169</v>
          </cell>
          <cell r="AG93">
            <v>2.9909677419354832</v>
          </cell>
          <cell r="AH93">
            <v>2.3082612903225805</v>
          </cell>
          <cell r="AI93">
            <v>2.9622580645161296</v>
          </cell>
          <cell r="AJ93">
            <v>2.9510889298515113</v>
          </cell>
          <cell r="AK93">
            <v>3.1420056528417826</v>
          </cell>
          <cell r="AL93">
            <v>2.9252243454514431</v>
          </cell>
          <cell r="AM93">
            <v>3.2021558491210111</v>
          </cell>
          <cell r="AN93">
            <v>3.0118406280935321</v>
          </cell>
          <cell r="AO93">
            <v>2.8141433256536823</v>
          </cell>
          <cell r="AP93">
            <v>2.8619347503976496</v>
          </cell>
          <cell r="AQ93">
            <v>2.8953281886427114</v>
          </cell>
          <cell r="AR93">
            <v>2.9032812355335604</v>
          </cell>
          <cell r="AS93">
            <v>3.1906938554012934</v>
          </cell>
          <cell r="AT93">
            <v>2.9278023997699387</v>
          </cell>
          <cell r="AU93">
            <v>2.8661259334845059</v>
          </cell>
          <cell r="AV93">
            <v>2.7880645161290318</v>
          </cell>
          <cell r="AW93">
            <v>2.8278066966108613</v>
          </cell>
          <cell r="AX93">
            <v>2.720713678102066</v>
          </cell>
          <cell r="AZ93">
            <v>9</v>
          </cell>
          <cell r="BA93">
            <v>9</v>
          </cell>
          <cell r="BC93">
            <v>2015</v>
          </cell>
        </row>
        <row r="94">
          <cell r="D94">
            <v>42036</v>
          </cell>
          <cell r="E94">
            <v>21.996666666666666</v>
          </cell>
          <cell r="F94">
            <v>24.172916666666669</v>
          </cell>
          <cell r="G94">
            <v>18.830416666666668</v>
          </cell>
          <cell r="J94">
            <v>24.787619047619046</v>
          </cell>
          <cell r="K94">
            <v>20.370999999999999</v>
          </cell>
          <cell r="L94">
            <v>25.319583333333327</v>
          </cell>
          <cell r="M94">
            <v>14.535277777777777</v>
          </cell>
          <cell r="N94">
            <v>21.537500000000001</v>
          </cell>
          <cell r="O94">
            <v>10.988888888888891</v>
          </cell>
          <cell r="R94">
            <v>21.569310344827585</v>
          </cell>
          <cell r="S94">
            <v>18.454545454545457</v>
          </cell>
          <cell r="T94">
            <v>22.632592592592594</v>
          </cell>
          <cell r="U94">
            <v>18.612227891156465</v>
          </cell>
          <cell r="V94">
            <v>23.004268707482996</v>
          </cell>
          <cell r="W94">
            <v>15.317482993197279</v>
          </cell>
          <cell r="Z94">
            <v>23.360192250813366</v>
          </cell>
          <cell r="AC94">
            <v>2.5098214285714286</v>
          </cell>
          <cell r="AD94">
            <v>2.3117857142857146</v>
          </cell>
          <cell r="AE94">
            <v>2.3876785714285722</v>
          </cell>
          <cell r="AF94">
            <v>2.5139285714285711</v>
          </cell>
          <cell r="AG94">
            <v>2.8232142857142857</v>
          </cell>
          <cell r="AH94">
            <v>2.1857500000000001</v>
          </cell>
          <cell r="AI94">
            <v>2.6132142857142857</v>
          </cell>
          <cell r="AJ94">
            <v>2.602470484061393</v>
          </cell>
          <cell r="AK94">
            <v>2.7623839391128353</v>
          </cell>
          <cell r="AL94">
            <v>2.579258833698769</v>
          </cell>
          <cell r="AM94">
            <v>2.8117704292460788</v>
          </cell>
          <cell r="AN94">
            <v>2.6505729254511725</v>
          </cell>
          <cell r="AO94">
            <v>2.4608272845478405</v>
          </cell>
          <cell r="AP94">
            <v>2.5028232161356496</v>
          </cell>
          <cell r="AQ94">
            <v>2.4567361927748648</v>
          </cell>
          <cell r="AR94">
            <v>2.5643285214438731</v>
          </cell>
          <cell r="AS94">
            <v>2.8356123792865224</v>
          </cell>
          <cell r="AT94">
            <v>2.650326049214645</v>
          </cell>
          <cell r="AU94">
            <v>2.5069044671201808</v>
          </cell>
          <cell r="AV94">
            <v>2.3876785714285722</v>
          </cell>
          <cell r="AW94">
            <v>2.3724488245931283</v>
          </cell>
          <cell r="AX94">
            <v>2.6786244518468543</v>
          </cell>
          <cell r="AZ94">
            <v>10</v>
          </cell>
          <cell r="BA94">
            <v>10</v>
          </cell>
          <cell r="BC94">
            <v>2015</v>
          </cell>
        </row>
        <row r="95">
          <cell r="D95">
            <v>42064</v>
          </cell>
          <cell r="E95">
            <v>22.058076923076914</v>
          </cell>
          <cell r="F95">
            <v>25.073846153846155</v>
          </cell>
          <cell r="G95">
            <v>18.507307692307691</v>
          </cell>
          <cell r="J95">
            <v>25.397083333333331</v>
          </cell>
          <cell r="K95">
            <v>22.990769230769232</v>
          </cell>
          <cell r="L95">
            <v>25.158076923076923</v>
          </cell>
          <cell r="M95">
            <v>18.338292682926831</v>
          </cell>
          <cell r="N95">
            <v>22.076585365853653</v>
          </cell>
          <cell r="O95">
            <v>15.349024390243905</v>
          </cell>
          <cell r="R95">
            <v>21.710256410256402</v>
          </cell>
          <cell r="S95">
            <v>20.367560975609759</v>
          </cell>
          <cell r="T95">
            <v>22.38121951219512</v>
          </cell>
          <cell r="U95">
            <v>20.261722311466151</v>
          </cell>
          <cell r="V95">
            <v>23.677296053488472</v>
          </cell>
          <cell r="W95">
            <v>17.049322710893065</v>
          </cell>
          <cell r="Z95">
            <v>23.735063504586869</v>
          </cell>
          <cell r="AC95">
            <v>2.430322580645162</v>
          </cell>
          <cell r="AD95">
            <v>2.1909677419354838</v>
          </cell>
          <cell r="AE95">
            <v>2.3482258064516142</v>
          </cell>
          <cell r="AF95">
            <v>2.46</v>
          </cell>
          <cell r="AG95">
            <v>2.7958064516129033</v>
          </cell>
          <cell r="AH95">
            <v>2.1578354838709677</v>
          </cell>
          <cell r="AI95">
            <v>2.5530645161290311</v>
          </cell>
          <cell r="AJ95">
            <v>2.5168210628270402</v>
          </cell>
          <cell r="AK95">
            <v>2.6639218766610373</v>
          </cell>
          <cell r="AL95">
            <v>2.4939505793694865</v>
          </cell>
          <cell r="AM95">
            <v>2.7084169806640612</v>
          </cell>
          <cell r="AN95">
            <v>2.5583794899658643</v>
          </cell>
          <cell r="AO95">
            <v>2.3612605035944405</v>
          </cell>
          <cell r="AP95">
            <v>2.4016232271462088</v>
          </cell>
          <cell r="AQ95">
            <v>2.3740430451555743</v>
          </cell>
          <cell r="AR95">
            <v>2.483232073492974</v>
          </cell>
          <cell r="AS95">
            <v>2.7801246012964298</v>
          </cell>
          <cell r="AT95">
            <v>2.5289976570841146</v>
          </cell>
          <cell r="AU95">
            <v>2.4056734985422739</v>
          </cell>
          <cell r="AV95">
            <v>2.3482258064516142</v>
          </cell>
          <cell r="AW95">
            <v>2.2501015108207429</v>
          </cell>
          <cell r="AX95">
            <v>2.798653051582193</v>
          </cell>
          <cell r="AZ95">
            <v>11</v>
          </cell>
          <cell r="BA95">
            <v>11</v>
          </cell>
          <cell r="BC95">
            <v>2015</v>
          </cell>
        </row>
        <row r="96">
          <cell r="D96">
            <v>42095</v>
          </cell>
          <cell r="E96">
            <v>24.715384615384611</v>
          </cell>
          <cell r="F96">
            <v>24.049999999999994</v>
          </cell>
          <cell r="G96">
            <v>19.670769230769235</v>
          </cell>
          <cell r="J96">
            <v>24.054230769230774</v>
          </cell>
          <cell r="K96">
            <v>22.096153846153847</v>
          </cell>
          <cell r="L96">
            <v>25.755384615384614</v>
          </cell>
          <cell r="M96">
            <v>20.664736842105267</v>
          </cell>
          <cell r="N96">
            <v>21.612894736842112</v>
          </cell>
          <cell r="O96">
            <v>17.692894736842106</v>
          </cell>
          <cell r="R96">
            <v>20.766666666666669</v>
          </cell>
          <cell r="S96">
            <v>20.170000000000009</v>
          </cell>
          <cell r="T96">
            <v>22.342368421052626</v>
          </cell>
          <cell r="U96">
            <v>22.822962962962961</v>
          </cell>
          <cell r="V96">
            <v>22.988111111111103</v>
          </cell>
          <cell r="W96">
            <v>18.558451851851856</v>
          </cell>
          <cell r="Z96">
            <v>22.48859829059829</v>
          </cell>
          <cell r="AC96">
            <v>2.2968333333333328</v>
          </cell>
          <cell r="AD96">
            <v>2.1625000000000005</v>
          </cell>
          <cell r="AE96">
            <v>2.260333333333334</v>
          </cell>
          <cell r="AF96">
            <v>2.3069999999999999</v>
          </cell>
          <cell r="AG96">
            <v>2.5826666666666669</v>
          </cell>
          <cell r="AH96">
            <v>2.0688200000000001</v>
          </cell>
          <cell r="AI96">
            <v>2.4198333333333322</v>
          </cell>
          <cell r="AJ96">
            <v>2.37716592775041</v>
          </cell>
          <cell r="AK96">
            <v>2.5039685843302832</v>
          </cell>
          <cell r="AL96">
            <v>2.355183567909922</v>
          </cell>
          <cell r="AM96">
            <v>2.5443773340370623</v>
          </cell>
          <cell r="AN96">
            <v>2.4139378899835791</v>
          </cell>
          <cell r="AO96">
            <v>2.2556400623590735</v>
          </cell>
          <cell r="AP96">
            <v>2.2942702788262102</v>
          </cell>
          <cell r="AQ96">
            <v>2.314005931700422</v>
          </cell>
          <cell r="AR96">
            <v>2.3470602410826618</v>
          </cell>
          <cell r="AS96">
            <v>2.6227009980450666</v>
          </cell>
          <cell r="AT96">
            <v>2.3664732930286569</v>
          </cell>
          <cell r="AU96">
            <v>2.2982876870748301</v>
          </cell>
          <cell r="AV96">
            <v>2.260333333333334</v>
          </cell>
          <cell r="AW96">
            <v>2.2212734177215192</v>
          </cell>
          <cell r="AX96">
            <v>2.4201608374384231</v>
          </cell>
          <cell r="AZ96">
            <v>12</v>
          </cell>
          <cell r="BA96">
            <v>12</v>
          </cell>
          <cell r="BC96">
            <v>2015</v>
          </cell>
        </row>
        <row r="97">
          <cell r="D97">
            <v>42125</v>
          </cell>
          <cell r="E97">
            <v>29.509599999999995</v>
          </cell>
          <cell r="F97">
            <v>24.040800000000004</v>
          </cell>
          <cell r="G97">
            <v>27.051200000000009</v>
          </cell>
          <cell r="J97">
            <v>22.816799999999997</v>
          </cell>
          <cell r="K97">
            <v>26.64</v>
          </cell>
          <cell r="L97">
            <v>25.476800000000004</v>
          </cell>
          <cell r="M97">
            <v>25.093255813953494</v>
          </cell>
          <cell r="N97">
            <v>21.024651162790697</v>
          </cell>
          <cell r="O97">
            <v>23.454651162790693</v>
          </cell>
          <cell r="R97">
            <v>20.395348837209308</v>
          </cell>
          <cell r="S97">
            <v>21.012325581395338</v>
          </cell>
          <cell r="T97">
            <v>21.807441860465129</v>
          </cell>
          <cell r="U97">
            <v>27.373655913978492</v>
          </cell>
          <cell r="V97">
            <v>22.682865071106484</v>
          </cell>
          <cell r="W97">
            <v>25.302306625043357</v>
          </cell>
          <cell r="Z97">
            <v>21.693388831078735</v>
          </cell>
          <cell r="AC97">
            <v>2.5956451612903226</v>
          </cell>
          <cell r="AD97">
            <v>2.363709677419354</v>
          </cell>
          <cell r="AE97">
            <v>2.5498387096774193</v>
          </cell>
          <cell r="AF97">
            <v>2.5712903225806438</v>
          </cell>
          <cell r="AG97">
            <v>2.8204838709677431</v>
          </cell>
          <cell r="AH97">
            <v>2.1181554295599474</v>
          </cell>
          <cell r="AI97">
            <v>2.7154838709677422</v>
          </cell>
          <cell r="AJ97">
            <v>2.6870222295017898</v>
          </cell>
          <cell r="AK97">
            <v>2.8314867847106084</v>
          </cell>
          <cell r="AL97">
            <v>2.6622357373148735</v>
          </cell>
          <cell r="AM97">
            <v>2.877730240283213</v>
          </cell>
          <cell r="AN97">
            <v>2.7293812348062962</v>
          </cell>
          <cell r="AO97">
            <v>2.5435489592324214</v>
          </cell>
          <cell r="AP97">
            <v>2.5869017861879016</v>
          </cell>
          <cell r="AQ97">
            <v>2.5671948360293992</v>
          </cell>
          <cell r="AR97">
            <v>2.6518769583702162</v>
          </cell>
          <cell r="AS97">
            <v>2.8946325986013419</v>
          </cell>
          <cell r="AT97">
            <v>2.6962543498309248</v>
          </cell>
          <cell r="AU97">
            <v>2.591008775510204</v>
          </cell>
          <cell r="AV97">
            <v>2.5498387096774193</v>
          </cell>
          <cell r="AW97">
            <v>2.4250300530828897</v>
          </cell>
          <cell r="AX97">
            <v>2.6241311299230472</v>
          </cell>
          <cell r="AZ97">
            <v>13</v>
          </cell>
          <cell r="BA97">
            <v>13</v>
          </cell>
          <cell r="BC97">
            <v>2015</v>
          </cell>
        </row>
        <row r="98">
          <cell r="D98">
            <v>42156</v>
          </cell>
          <cell r="E98">
            <v>39.383076923076914</v>
          </cell>
          <cell r="F98">
            <v>31.715769230769236</v>
          </cell>
          <cell r="G98">
            <v>37.350769230769238</v>
          </cell>
          <cell r="J98">
            <v>34.431538461538466</v>
          </cell>
          <cell r="K98">
            <v>35.341923076923074</v>
          </cell>
          <cell r="L98">
            <v>34.328461538461539</v>
          </cell>
          <cell r="M98">
            <v>26.705000000000002</v>
          </cell>
          <cell r="N98">
            <v>22.244736842105262</v>
          </cell>
          <cell r="O98">
            <v>25.306842105263158</v>
          </cell>
          <cell r="R98">
            <v>21.666842105263161</v>
          </cell>
          <cell r="S98">
            <v>17.05263157894737</v>
          </cell>
          <cell r="T98">
            <v>23.699473684210528</v>
          </cell>
          <cell r="U98">
            <v>33.659681481481471</v>
          </cell>
          <cell r="V98">
            <v>27.549096296296298</v>
          </cell>
          <cell r="W98">
            <v>32.003422222222227</v>
          </cell>
          <cell r="Z98">
            <v>28.977466666666665</v>
          </cell>
          <cell r="AC98">
            <v>2.573500000000001</v>
          </cell>
          <cell r="AD98">
            <v>2.2541666666666669</v>
          </cell>
          <cell r="AE98">
            <v>2.5126666666666675</v>
          </cell>
          <cell r="AF98">
            <v>2.583499999999999</v>
          </cell>
          <cell r="AG98">
            <v>2.7551666666666668</v>
          </cell>
          <cell r="AH98">
            <v>2.1686673677624371</v>
          </cell>
          <cell r="AI98">
            <v>2.749166666666667</v>
          </cell>
          <cell r="AJ98">
            <v>2.6647067738439318</v>
          </cell>
          <cell r="AK98">
            <v>2.8092802023121397</v>
          </cell>
          <cell r="AL98">
            <v>2.6402548049132957</v>
          </cell>
          <cell r="AM98">
            <v>2.8557668352601167</v>
          </cell>
          <cell r="AN98">
            <v>2.7076604226878622</v>
          </cell>
          <cell r="AO98">
            <v>2.5076420531555006</v>
          </cell>
          <cell r="AP98">
            <v>2.5504058940355785</v>
          </cell>
          <cell r="AQ98">
            <v>2.4914958668902956</v>
          </cell>
          <cell r="AR98">
            <v>2.6292867703764169</v>
          </cell>
          <cell r="AS98">
            <v>2.9071952875810259</v>
          </cell>
          <cell r="AT98">
            <v>2.623671776479831</v>
          </cell>
          <cell r="AU98">
            <v>2.5545017111459973</v>
          </cell>
          <cell r="AV98">
            <v>2.5126666666666675</v>
          </cell>
          <cell r="AW98">
            <v>2.3141004219409282</v>
          </cell>
          <cell r="AX98">
            <v>2.5678286307803475</v>
          </cell>
          <cell r="AZ98">
            <v>14</v>
          </cell>
          <cell r="BA98">
            <v>14</v>
          </cell>
          <cell r="BC98">
            <v>2015</v>
          </cell>
        </row>
        <row r="99">
          <cell r="D99">
            <v>42186</v>
          </cell>
          <cell r="E99">
            <v>43.545769230769231</v>
          </cell>
          <cell r="F99">
            <v>34.018846153846141</v>
          </cell>
          <cell r="G99">
            <v>40.196538461538466</v>
          </cell>
          <cell r="J99">
            <v>37.94307692307693</v>
          </cell>
          <cell r="K99">
            <v>47.417692307692306</v>
          </cell>
          <cell r="L99">
            <v>37.439230769230761</v>
          </cell>
          <cell r="M99">
            <v>26.38878048780488</v>
          </cell>
          <cell r="N99">
            <v>24.718536585365847</v>
          </cell>
          <cell r="O99">
            <v>25.729512195121956</v>
          </cell>
          <cell r="R99">
            <v>23.985121951219512</v>
          </cell>
          <cell r="S99">
            <v>16.999999999999996</v>
          </cell>
          <cell r="T99">
            <v>26.598048780487808</v>
          </cell>
          <cell r="U99">
            <v>35.497384668747827</v>
          </cell>
          <cell r="V99">
            <v>29.678446063128675</v>
          </cell>
          <cell r="W99">
            <v>33.354349635796048</v>
          </cell>
          <cell r="Z99">
            <v>31.664013180714537</v>
          </cell>
          <cell r="AC99">
            <v>2.6958064516129037</v>
          </cell>
          <cell r="AD99">
            <v>2.2574193548387096</v>
          </cell>
          <cell r="AE99">
            <v>2.6649999999999996</v>
          </cell>
          <cell r="AF99">
            <v>2.7251612903225806</v>
          </cell>
          <cell r="AG99">
            <v>2.8212903225806452</v>
          </cell>
          <cell r="AH99">
            <v>2.2203838709677419</v>
          </cell>
          <cell r="AI99">
            <v>2.9088709677419344</v>
          </cell>
          <cell r="AJ99">
            <v>2.796933210892063</v>
          </cell>
          <cell r="AK99">
            <v>2.9606518825345347</v>
          </cell>
          <cell r="AL99">
            <v>2.7718964459467381</v>
          </cell>
          <cell r="AM99">
            <v>3.0150796324156754</v>
          </cell>
          <cell r="AN99">
            <v>2.8503812612753432</v>
          </cell>
          <cell r="AO99">
            <v>2.6393408873023572</v>
          </cell>
          <cell r="AP99">
            <v>2.6842650028463968</v>
          </cell>
          <cell r="AQ99">
            <v>2.5717718926851769</v>
          </cell>
          <cell r="AR99">
            <v>2.7540510788665755</v>
          </cell>
          <cell r="AS99">
            <v>3.052952351396832</v>
          </cell>
          <cell r="AT99">
            <v>2.763024808200206</v>
          </cell>
          <cell r="AU99">
            <v>2.6884017972350227</v>
          </cell>
          <cell r="AV99">
            <v>2.6649999999999996</v>
          </cell>
          <cell r="AW99">
            <v>2.3173942833809713</v>
          </cell>
          <cell r="AX99">
            <v>2.267242349048801</v>
          </cell>
          <cell r="AZ99">
            <v>15</v>
          </cell>
          <cell r="BA99">
            <v>15</v>
          </cell>
          <cell r="BC99">
            <v>2015</v>
          </cell>
        </row>
        <row r="100">
          <cell r="D100">
            <v>42217</v>
          </cell>
          <cell r="E100">
            <v>34.861538461538451</v>
          </cell>
          <cell r="F100">
            <v>34.981538461538456</v>
          </cell>
          <cell r="G100">
            <v>31.501153846153848</v>
          </cell>
          <cell r="J100">
            <v>36.54346153846155</v>
          </cell>
          <cell r="K100">
            <v>38.230769230769234</v>
          </cell>
          <cell r="L100">
            <v>37.864615384615384</v>
          </cell>
          <cell r="M100">
            <v>23.583902439024392</v>
          </cell>
          <cell r="N100">
            <v>24.913170731707311</v>
          </cell>
          <cell r="O100">
            <v>23.374634146341467</v>
          </cell>
          <cell r="R100">
            <v>24.6829268292683</v>
          </cell>
          <cell r="S100">
            <v>18.756097560975604</v>
          </cell>
          <cell r="T100">
            <v>26.807317073170729</v>
          </cell>
          <cell r="U100">
            <v>29.701089143253544</v>
          </cell>
          <cell r="V100">
            <v>30.335615678113076</v>
          </cell>
          <cell r="W100">
            <v>27.754186611168926</v>
          </cell>
          <cell r="Z100">
            <v>31.169982656954566</v>
          </cell>
          <cell r="AC100">
            <v>2.6396774193548382</v>
          </cell>
          <cell r="AD100">
            <v>2.4419354838709681</v>
          </cell>
          <cell r="AE100">
            <v>2.5983870967741929</v>
          </cell>
          <cell r="AF100">
            <v>2.6753225806451608</v>
          </cell>
          <cell r="AG100">
            <v>2.7627419354838714</v>
          </cell>
          <cell r="AH100">
            <v>2.2063710514380066</v>
          </cell>
          <cell r="AI100">
            <v>2.8524193548387107</v>
          </cell>
          <cell r="AJ100">
            <v>2.7397336597502635</v>
          </cell>
          <cell r="AK100">
            <v>2.9025019724718759</v>
          </cell>
          <cell r="AL100">
            <v>2.7154545067489795</v>
          </cell>
          <cell r="AM100">
            <v>2.9569395352550236</v>
          </cell>
          <cell r="AN100">
            <v>2.793844597156713</v>
          </cell>
          <cell r="AO100">
            <v>2.5697772389382911</v>
          </cell>
          <cell r="AP100">
            <v>2.6135602920874574</v>
          </cell>
          <cell r="AQ100">
            <v>2.6326051366010614</v>
          </cell>
          <cell r="AR100">
            <v>2.6967940838058131</v>
          </cell>
          <cell r="AS100">
            <v>3.0016726830385441</v>
          </cell>
          <cell r="AT100">
            <v>2.6898086867705246</v>
          </cell>
          <cell r="AU100">
            <v>2.6176754421768718</v>
          </cell>
          <cell r="AV100">
            <v>2.5983870967741929</v>
          </cell>
          <cell r="AW100">
            <v>2.50424605961617</v>
          </cell>
          <cell r="AX100">
            <v>2.2943255210585485</v>
          </cell>
          <cell r="AZ100">
            <v>16</v>
          </cell>
          <cell r="BA100">
            <v>16</v>
          </cell>
          <cell r="BC100">
            <v>2015</v>
          </cell>
        </row>
        <row r="101">
          <cell r="D101">
            <v>42248</v>
          </cell>
          <cell r="E101">
            <v>30.66119999999999</v>
          </cell>
          <cell r="F101">
            <v>29.717999999999996</v>
          </cell>
          <cell r="G101">
            <v>26.979999999999997</v>
          </cell>
          <cell r="J101">
            <v>29.52</v>
          </cell>
          <cell r="K101">
            <v>29.256800000000002</v>
          </cell>
          <cell r="L101">
            <v>31.378799999999998</v>
          </cell>
          <cell r="M101">
            <v>23.351749999999996</v>
          </cell>
          <cell r="N101">
            <v>23.563749999999995</v>
          </cell>
          <cell r="O101">
            <v>22.996249999999996</v>
          </cell>
          <cell r="R101">
            <v>22.471999999999998</v>
          </cell>
          <cell r="S101">
            <v>21.522500000000008</v>
          </cell>
          <cell r="T101">
            <v>24.983500000000003</v>
          </cell>
          <cell r="U101">
            <v>27.404222222222224</v>
          </cell>
          <cell r="V101">
            <v>26.859481481481478</v>
          </cell>
          <cell r="W101">
            <v>25.221333333333327</v>
          </cell>
          <cell r="Z101">
            <v>26.353777777777779</v>
          </cell>
          <cell r="AC101">
            <v>2.5458333333333338</v>
          </cell>
          <cell r="AD101">
            <v>2.4968333333333339</v>
          </cell>
          <cell r="AE101">
            <v>2.529833333333332</v>
          </cell>
          <cell r="AF101">
            <v>2.5376666666666661</v>
          </cell>
          <cell r="AG101">
            <v>2.6488333333333336</v>
          </cell>
          <cell r="AH101">
            <v>2.1924466666666667</v>
          </cell>
          <cell r="AI101">
            <v>2.6864999999999997</v>
          </cell>
          <cell r="AJ101">
            <v>2.6415670050761428</v>
          </cell>
          <cell r="AK101">
            <v>2.7968499153976318</v>
          </cell>
          <cell r="AL101">
            <v>2.6179954314720821</v>
          </cell>
          <cell r="AM101">
            <v>2.8485419627749584</v>
          </cell>
          <cell r="AN101">
            <v>2.6925353637901868</v>
          </cell>
          <cell r="AO101">
            <v>2.4993795421329987</v>
          </cell>
          <cell r="AP101">
            <v>2.5420078518723628</v>
          </cell>
          <cell r="AQ101">
            <v>2.625559243324894</v>
          </cell>
          <cell r="AR101">
            <v>2.601064117447041</v>
          </cell>
          <cell r="AS101">
            <v>2.8600368007682544</v>
          </cell>
          <cell r="AT101">
            <v>2.5780728421627899</v>
          </cell>
          <cell r="AU101">
            <v>2.5461010981535477</v>
          </cell>
          <cell r="AV101">
            <v>2.529833333333332</v>
          </cell>
          <cell r="AW101">
            <v>2.5598388185654013</v>
          </cell>
          <cell r="AX101">
            <v>2.2093181049069379</v>
          </cell>
          <cell r="AZ101">
            <v>17</v>
          </cell>
          <cell r="BA101">
            <v>17</v>
          </cell>
          <cell r="BC101">
            <v>2015</v>
          </cell>
        </row>
        <row r="102">
          <cell r="D102">
            <v>42278</v>
          </cell>
          <cell r="E102">
            <v>25.347407407407403</v>
          </cell>
          <cell r="F102">
            <v>26.898148148148149</v>
          </cell>
          <cell r="G102">
            <v>23.130740740740741</v>
          </cell>
          <cell r="J102">
            <v>28.536296296296296</v>
          </cell>
          <cell r="K102">
            <v>26.287037037037038</v>
          </cell>
          <cell r="L102">
            <v>28.506296296296291</v>
          </cell>
          <cell r="M102">
            <v>22.511025641025647</v>
          </cell>
          <cell r="N102">
            <v>21.696923076923074</v>
          </cell>
          <cell r="O102">
            <v>21.758974358974356</v>
          </cell>
          <cell r="R102">
            <v>19.965641025641016</v>
          </cell>
          <cell r="S102">
            <v>20.793076923076928</v>
          </cell>
          <cell r="T102">
            <v>23.125641025641027</v>
          </cell>
          <cell r="U102">
            <v>24.006018036767252</v>
          </cell>
          <cell r="V102">
            <v>24.571640652098509</v>
          </cell>
          <cell r="W102">
            <v>22.447693374956639</v>
          </cell>
          <cell r="X102" t="str">
            <v/>
          </cell>
          <cell r="Z102">
            <v>24.911918140825527</v>
          </cell>
          <cell r="AC102">
            <v>2.2090322580645161</v>
          </cell>
          <cell r="AD102">
            <v>2.1591935483870968</v>
          </cell>
          <cell r="AE102">
            <v>2.1909677419354834</v>
          </cell>
          <cell r="AF102">
            <v>2.2140322580645169</v>
          </cell>
          <cell r="AG102">
            <v>2.3287096774193552</v>
          </cell>
          <cell r="AH102">
            <v>1.9997516129032262</v>
          </cell>
          <cell r="AI102">
            <v>2.3854838709677422</v>
          </cell>
          <cell r="AJ102">
            <v>2.2909225577219416</v>
          </cell>
          <cell r="AK102">
            <v>2.4229586745284823</v>
          </cell>
          <cell r="AL102">
            <v>2.2703409701616089</v>
          </cell>
          <cell r="AM102">
            <v>2.4665637329190173</v>
          </cell>
          <cell r="AN102">
            <v>2.3333066744775417</v>
          </cell>
          <cell r="AO102">
            <v>2.2031694168680098</v>
          </cell>
          <cell r="AP102">
            <v>2.2409389498918162</v>
          </cell>
          <cell r="AQ102">
            <v>2.2765101287815432</v>
          </cell>
          <cell r="AR102">
            <v>2.2574947251499706</v>
          </cell>
          <cell r="AS102">
            <v>2.5270453318906441</v>
          </cell>
          <cell r="AT102">
            <v>2.2518341454868795</v>
          </cell>
          <cell r="AU102">
            <v>2.2449400322234156</v>
          </cell>
          <cell r="AV102">
            <v>2.1909677419354834</v>
          </cell>
          <cell r="AW102">
            <v>2.2179251122907306</v>
          </cell>
          <cell r="AX102">
            <v>2.0333038727506594</v>
          </cell>
          <cell r="AZ102">
            <v>18</v>
          </cell>
          <cell r="BA102">
            <v>18</v>
          </cell>
          <cell r="BC102">
            <v>2015</v>
          </cell>
        </row>
        <row r="103">
          <cell r="D103">
            <v>42309</v>
          </cell>
          <cell r="E103">
            <v>23.877083333333331</v>
          </cell>
          <cell r="F103">
            <v>22.693333333333342</v>
          </cell>
          <cell r="G103">
            <v>21.175000000000004</v>
          </cell>
          <cell r="J103">
            <v>23.14833333333333</v>
          </cell>
          <cell r="K103">
            <v>23.875</v>
          </cell>
          <cell r="L103">
            <v>24.497916666666658</v>
          </cell>
          <cell r="M103">
            <v>21.070476190476189</v>
          </cell>
          <cell r="N103">
            <v>20.654761904761902</v>
          </cell>
          <cell r="O103">
            <v>19.959523809523802</v>
          </cell>
          <cell r="R103">
            <v>20.208333333333343</v>
          </cell>
          <cell r="S103">
            <v>19.767857142857146</v>
          </cell>
          <cell r="T103">
            <v>21.436904761904763</v>
          </cell>
          <cell r="U103">
            <v>22.497416551086452</v>
          </cell>
          <cell r="V103">
            <v>21.71894683310218</v>
          </cell>
          <cell r="W103">
            <v>20.510192325473884</v>
          </cell>
          <cell r="X103" t="str">
            <v/>
          </cell>
          <cell r="Z103">
            <v>21.750788257050392</v>
          </cell>
          <cell r="AC103">
            <v>2.1044999999999998</v>
          </cell>
          <cell r="AD103">
            <v>2.1533333333333333</v>
          </cell>
          <cell r="AE103">
            <v>2.1646666666666672</v>
          </cell>
          <cell r="AF103">
            <v>2.0176666666666669</v>
          </cell>
          <cell r="AG103">
            <v>2.0741666666666663</v>
          </cell>
          <cell r="AH103">
            <v>1.9997516129032262</v>
          </cell>
          <cell r="AI103">
            <v>2.1760000000000002</v>
          </cell>
          <cell r="AJ103">
            <v>2.1822884638022364</v>
          </cell>
          <cell r="AK103">
            <v>2.307476692171865</v>
          </cell>
          <cell r="AL103">
            <v>2.162634902884049</v>
          </cell>
          <cell r="AM103">
            <v>2.3487656856974688</v>
          </cell>
          <cell r="AN103">
            <v>2.2222562095350202</v>
          </cell>
          <cell r="AO103">
            <v>2.0626079527890968</v>
          </cell>
          <cell r="AP103">
            <v>2.0980718361726005</v>
          </cell>
          <cell r="AQ103">
            <v>2.2599162179240504</v>
          </cell>
          <cell r="AR103">
            <v>2.1508617984290526</v>
          </cell>
          <cell r="AS103">
            <v>2.3250023322015303</v>
          </cell>
          <cell r="AT103">
            <v>2.0693116986029985</v>
          </cell>
          <cell r="AU103">
            <v>2.1020291836734697</v>
          </cell>
          <cell r="AV103">
            <v>2.1646666666666672</v>
          </cell>
          <cell r="AW103">
            <v>2.2119907172995776</v>
          </cell>
          <cell r="AX103">
            <v>1.9410781636256618</v>
          </cell>
          <cell r="AZ103">
            <v>19</v>
          </cell>
          <cell r="BA103">
            <v>19</v>
          </cell>
          <cell r="BC103">
            <v>2015</v>
          </cell>
        </row>
        <row r="104">
          <cell r="D104">
            <v>42339</v>
          </cell>
          <cell r="E104">
            <v>23.588461538461544</v>
          </cell>
          <cell r="F104">
            <v>21.586923076923082</v>
          </cell>
          <cell r="G104">
            <v>21.336923076923071</v>
          </cell>
          <cell r="J104">
            <v>21.821923076923074</v>
          </cell>
          <cell r="K104">
            <v>20.576923076923077</v>
          </cell>
          <cell r="L104">
            <v>23.582307692307698</v>
          </cell>
          <cell r="M104">
            <v>21.219756097560975</v>
          </cell>
          <cell r="N104">
            <v>19.213658536585367</v>
          </cell>
          <cell r="O104">
            <v>19.264146341463412</v>
          </cell>
          <cell r="R104">
            <v>20.402439024390247</v>
          </cell>
          <cell r="S104">
            <v>19.073170731707318</v>
          </cell>
          <cell r="T104">
            <v>20.55536585365854</v>
          </cell>
          <cell r="U104">
            <v>22.55439819632328</v>
          </cell>
          <cell r="V104">
            <v>20.566763787721126</v>
          </cell>
          <cell r="W104">
            <v>20.445608740894894</v>
          </cell>
          <cell r="X104" t="str">
            <v/>
          </cell>
          <cell r="Z104">
            <v>21.267582379465832</v>
          </cell>
          <cell r="AC104">
            <v>2.1064516129032258</v>
          </cell>
          <cell r="AD104">
            <v>2.1354838709677426</v>
          </cell>
          <cell r="AE104">
            <v>2.1637096774193543</v>
          </cell>
          <cell r="AF104">
            <v>1.9801612903225811</v>
          </cell>
          <cell r="AG104">
            <v>1.8633870967741939</v>
          </cell>
          <cell r="AH104">
            <v>1.9997516129032262</v>
          </cell>
          <cell r="AI104">
            <v>2.221935483870968</v>
          </cell>
          <cell r="AJ104">
            <v>2.1843302566054494</v>
          </cell>
          <cell r="AK104">
            <v>2.3099302819805247</v>
          </cell>
          <cell r="AL104">
            <v>2.1646948964379735</v>
          </cell>
          <cell r="AM104">
            <v>2.3513550924604307</v>
          </cell>
          <cell r="AN104">
            <v>2.2245123227709582</v>
          </cell>
          <cell r="AO104">
            <v>2.0087463069645453</v>
          </cell>
          <cell r="AP104">
            <v>2.0433266901288727</v>
          </cell>
          <cell r="AQ104">
            <v>2.2502128578138016</v>
          </cell>
          <cell r="AR104">
            <v>2.1528526307285789</v>
          </cell>
          <cell r="AS104">
            <v>2.2864125839310439</v>
          </cell>
          <cell r="AT104">
            <v>1.9406243110577828</v>
          </cell>
          <cell r="AU104">
            <v>2.0472672789115647</v>
          </cell>
          <cell r="AV104">
            <v>2.1637096774193543</v>
          </cell>
          <cell r="AW104">
            <v>2.1939153123723973</v>
          </cell>
          <cell r="AX104">
            <v>1.9554167538934881</v>
          </cell>
          <cell r="AZ104">
            <v>20</v>
          </cell>
          <cell r="BA104">
            <v>20</v>
          </cell>
          <cell r="BC104">
            <v>2015</v>
          </cell>
        </row>
        <row r="105">
          <cell r="D105">
            <v>42370</v>
          </cell>
          <cell r="E105">
            <v>23.33</v>
          </cell>
          <cell r="F105">
            <v>21.312800000000003</v>
          </cell>
          <cell r="G105">
            <v>22.762000000000008</v>
          </cell>
          <cell r="H105">
            <v>25.418972621972625</v>
          </cell>
          <cell r="J105">
            <v>21.266800000000003</v>
          </cell>
          <cell r="K105">
            <v>20.68</v>
          </cell>
          <cell r="L105">
            <v>23.037199999999999</v>
          </cell>
          <cell r="M105">
            <v>22.743255813953493</v>
          </cell>
          <cell r="N105">
            <v>19.874418604651169</v>
          </cell>
          <cell r="O105">
            <v>21.876976744186056</v>
          </cell>
          <cell r="P105">
            <v>24.013581369838061</v>
          </cell>
          <cell r="R105">
            <v>20.465116279069768</v>
          </cell>
          <cell r="S105">
            <v>19.581395348837219</v>
          </cell>
          <cell r="T105">
            <v>20.573488372093021</v>
          </cell>
          <cell r="U105">
            <v>23.058709677419355</v>
          </cell>
          <cell r="V105">
            <v>20.647741935483879</v>
          </cell>
          <cell r="W105">
            <v>22.352795698924737</v>
          </cell>
          <cell r="Z105">
            <v>20.896129032258067</v>
          </cell>
          <cell r="AC105">
            <v>2.2477419354838708</v>
          </cell>
          <cell r="AD105">
            <v>2.2740322580645169</v>
          </cell>
          <cell r="AE105">
            <v>2.2696774193548386</v>
          </cell>
          <cell r="AF105">
            <v>2.2466129032258069</v>
          </cell>
          <cell r="AG105">
            <v>2.2719354838709678</v>
          </cell>
          <cell r="AH105">
            <v>1.6799483870967746</v>
          </cell>
          <cell r="AI105">
            <v>2.3598387096774176</v>
          </cell>
          <cell r="AJ105">
            <v>2.3474106842067473</v>
          </cell>
          <cell r="AK105">
            <v>2.4550837185413452</v>
          </cell>
          <cell r="AL105">
            <v>2.3146238989125809</v>
          </cell>
          <cell r="AM105">
            <v>2.4935658609053908</v>
          </cell>
          <cell r="AN105">
            <v>2.3239365773646798</v>
          </cell>
          <cell r="AO105">
            <v>2.2341933777417116</v>
          </cell>
          <cell r="AP105">
            <v>2.2724718011978848</v>
          </cell>
          <cell r="AQ105">
            <v>2.3763731830894246</v>
          </cell>
          <cell r="AR105">
            <v>2.2969823079504961</v>
          </cell>
          <cell r="AS105">
            <v>2.5605679629857052</v>
          </cell>
          <cell r="AT105">
            <v>2.2757987901986261</v>
          </cell>
          <cell r="AU105">
            <v>2.2764825364431491</v>
          </cell>
          <cell r="AV105">
            <v>2.2696774193548386</v>
          </cell>
          <cell r="AW105">
            <v>2.3342174765210295</v>
          </cell>
          <cell r="AX105">
            <v>2.37511782670886</v>
          </cell>
          <cell r="AZ105">
            <v>9</v>
          </cell>
          <cell r="BA105">
            <v>9</v>
          </cell>
          <cell r="BC105">
            <v>2016</v>
          </cell>
        </row>
        <row r="106">
          <cell r="D106">
            <v>42401</v>
          </cell>
          <cell r="E106">
            <v>18.097200000000001</v>
          </cell>
          <cell r="F106">
            <v>18.904399999999999</v>
          </cell>
          <cell r="G106">
            <v>16.699199999999998</v>
          </cell>
          <cell r="H106">
            <v>19.749072921751615</v>
          </cell>
          <cell r="J106">
            <v>18.62</v>
          </cell>
          <cell r="K106">
            <v>18.5</v>
          </cell>
          <cell r="L106">
            <v>19.841999999999999</v>
          </cell>
          <cell r="M106">
            <v>17.040810810810815</v>
          </cell>
          <cell r="N106">
            <v>16.943513513513512</v>
          </cell>
          <cell r="O106">
            <v>15.720540540540544</v>
          </cell>
          <cell r="P106">
            <v>18.180371204537874</v>
          </cell>
          <cell r="R106">
            <v>18.148648648648653</v>
          </cell>
          <cell r="S106">
            <v>19.087837837837835</v>
          </cell>
          <cell r="T106">
            <v>17.998648648648647</v>
          </cell>
          <cell r="U106">
            <v>17.64793103448276</v>
          </cell>
          <cell r="V106">
            <v>18.07045977011494</v>
          </cell>
          <cell r="W106">
            <v>16.282988505747127</v>
          </cell>
          <cell r="Z106">
            <v>18.419540229885062</v>
          </cell>
          <cell r="AC106">
            <v>1.7605172413793098</v>
          </cell>
          <cell r="AD106">
            <v>1.6527586206896552</v>
          </cell>
          <cell r="AE106">
            <v>1.7268965517241381</v>
          </cell>
          <cell r="AF106">
            <v>1.7755172413793112</v>
          </cell>
          <cell r="AG106">
            <v>1.968620689655173</v>
          </cell>
          <cell r="AH106">
            <v>1.3117793103448274</v>
          </cell>
          <cell r="AI106">
            <v>1.854655172413793</v>
          </cell>
          <cell r="AJ106">
            <v>1.8387017969051647</v>
          </cell>
          <cell r="AK106">
            <v>1.9235584246636366</v>
          </cell>
          <cell r="AL106">
            <v>1.813105301612759</v>
          </cell>
          <cell r="AM106">
            <v>1.9538860257209889</v>
          </cell>
          <cell r="AN106">
            <v>1.820323270664409</v>
          </cell>
          <cell r="AO106">
            <v>1.8101056591921585</v>
          </cell>
          <cell r="AP106">
            <v>1.8414277116248936</v>
          </cell>
          <cell r="AQ106">
            <v>1.7757686521274554</v>
          </cell>
          <cell r="AR106">
            <v>1.7999664004685403</v>
          </cell>
          <cell r="AS106">
            <v>2.075851776293149</v>
          </cell>
          <cell r="AT106">
            <v>1.8289735727586562</v>
          </cell>
          <cell r="AU106">
            <v>1.8453064945978397</v>
          </cell>
          <cell r="AV106">
            <v>1.7268965517241381</v>
          </cell>
          <cell r="AW106">
            <v>1.7050796158882582</v>
          </cell>
          <cell r="AX106">
            <v>1.7892678071816801</v>
          </cell>
          <cell r="AZ106">
            <v>10</v>
          </cell>
          <cell r="BA106">
            <v>10</v>
          </cell>
          <cell r="BC106">
            <v>2016</v>
          </cell>
        </row>
        <row r="107">
          <cell r="D107">
            <v>42430</v>
          </cell>
          <cell r="E107">
            <v>14.923703703703703</v>
          </cell>
          <cell r="F107">
            <v>17.09888888888889</v>
          </cell>
          <cell r="G107">
            <v>13.031851851851851</v>
          </cell>
          <cell r="H107">
            <v>16.866449026028935</v>
          </cell>
          <cell r="J107">
            <v>17.641874999999999</v>
          </cell>
          <cell r="K107">
            <v>17.462962962962962</v>
          </cell>
          <cell r="L107">
            <v>19.20703703703704</v>
          </cell>
          <cell r="M107">
            <v>11.020256410256412</v>
          </cell>
          <cell r="N107">
            <v>14.848974358974358</v>
          </cell>
          <cell r="O107">
            <v>9.3648717948717941</v>
          </cell>
          <cell r="P107">
            <v>12.335127513444455</v>
          </cell>
          <cell r="R107">
            <v>14.64772727272727</v>
          </cell>
          <cell r="S107">
            <v>18.749999999999986</v>
          </cell>
          <cell r="T107">
            <v>16.146410256410256</v>
          </cell>
          <cell r="U107">
            <v>13.289824688546089</v>
          </cell>
          <cell r="V107">
            <v>16.157134624012148</v>
          </cell>
          <cell r="W107">
            <v>11.496951720329916</v>
          </cell>
          <cell r="Z107">
            <v>16.388604551572246</v>
          </cell>
          <cell r="AC107">
            <v>1.5087096774193549</v>
          </cell>
          <cell r="AD107">
            <v>1.3924193548387096</v>
          </cell>
          <cell r="AE107">
            <v>1.425806451612903</v>
          </cell>
          <cell r="AF107">
            <v>1.5093548387096771</v>
          </cell>
          <cell r="AG107">
            <v>1.6896774193548381</v>
          </cell>
          <cell r="AH107">
            <v>1.0227096774193549</v>
          </cell>
          <cell r="AI107">
            <v>1.5743548387096775</v>
          </cell>
          <cell r="AJ107">
            <v>1.5769422172345455</v>
          </cell>
          <cell r="AK107">
            <v>1.6547786824574389</v>
          </cell>
          <cell r="AL107">
            <v>1.555500895394093</v>
          </cell>
          <cell r="AM107">
            <v>1.6826970702705282</v>
          </cell>
          <cell r="AN107">
            <v>1.561196246507963</v>
          </cell>
          <cell r="AO107">
            <v>1.4955166206282127</v>
          </cell>
          <cell r="AP107">
            <v>1.5216784244226651</v>
          </cell>
          <cell r="AQ107">
            <v>1.486094053934667</v>
          </cell>
          <cell r="AR107">
            <v>1.5430985396504693</v>
          </cell>
          <cell r="AS107">
            <v>1.8019939692454749</v>
          </cell>
          <cell r="AT107">
            <v>1.5765269848510393</v>
          </cell>
          <cell r="AU107">
            <v>1.5254593249607535</v>
          </cell>
          <cell r="AV107">
            <v>1.425806451612903</v>
          </cell>
          <cell r="AW107">
            <v>1.4414449162923639</v>
          </cell>
          <cell r="AX107">
            <v>1.5934699028198944</v>
          </cell>
          <cell r="AZ107">
            <v>11</v>
          </cell>
          <cell r="BA107">
            <v>11</v>
          </cell>
          <cell r="BC107">
            <v>2016</v>
          </cell>
        </row>
        <row r="108">
          <cell r="D108">
            <v>42461</v>
          </cell>
          <cell r="E108">
            <v>14.65</v>
          </cell>
          <cell r="F108">
            <v>17.75</v>
          </cell>
          <cell r="G108">
            <v>12.25</v>
          </cell>
          <cell r="H108">
            <v>16.824999999999999</v>
          </cell>
          <cell r="J108">
            <v>17.25</v>
          </cell>
          <cell r="K108">
            <v>17.25</v>
          </cell>
          <cell r="L108">
            <v>19.75</v>
          </cell>
          <cell r="M108">
            <v>9.85</v>
          </cell>
          <cell r="N108">
            <v>15.25</v>
          </cell>
          <cell r="O108">
            <v>8.25</v>
          </cell>
          <cell r="P108">
            <v>12.643700000000001</v>
          </cell>
          <cell r="R108">
            <v>14.75</v>
          </cell>
          <cell r="S108">
            <v>14.5</v>
          </cell>
          <cell r="T108">
            <v>16.25</v>
          </cell>
          <cell r="U108">
            <v>12.623333333333333</v>
          </cell>
          <cell r="V108">
            <v>16.694444444444443</v>
          </cell>
          <cell r="W108">
            <v>10.561111111111112</v>
          </cell>
          <cell r="Z108">
            <v>16.194444444444446</v>
          </cell>
          <cell r="AC108">
            <v>1.48</v>
          </cell>
          <cell r="AD108">
            <v>1.4</v>
          </cell>
          <cell r="AE108">
            <v>1.55</v>
          </cell>
          <cell r="AF108">
            <v>1.5185</v>
          </cell>
          <cell r="AG108">
            <v>1.9</v>
          </cell>
          <cell r="AH108">
            <v>0.89290000000000003</v>
          </cell>
          <cell r="AI108">
            <v>1.63</v>
          </cell>
          <cell r="AJ108">
            <v>1.6438999999999999</v>
          </cell>
          <cell r="AK108">
            <v>1.8542000000000001</v>
          </cell>
          <cell r="AL108">
            <v>1.6573</v>
          </cell>
          <cell r="AM108">
            <v>1.8542000000000001</v>
          </cell>
          <cell r="AN108">
            <v>1.7024999999999999</v>
          </cell>
          <cell r="AO108">
            <v>1.5146242517914852</v>
          </cell>
          <cell r="AP108">
            <v>1.5410994807711926</v>
          </cell>
          <cell r="AQ108">
            <v>1.5540841500759495</v>
          </cell>
          <cell r="AR108">
            <v>1.5138119157400798</v>
          </cell>
          <cell r="AS108">
            <v>1.8114035394587922</v>
          </cell>
          <cell r="AT108">
            <v>1.5998305359155653</v>
          </cell>
          <cell r="AU108">
            <v>1.5448863265306123</v>
          </cell>
          <cell r="AV108">
            <v>1.3159000000000001</v>
          </cell>
          <cell r="AW108">
            <v>1.4491215189873417</v>
          </cell>
          <cell r="AX108">
            <v>1.5407999999999999</v>
          </cell>
          <cell r="AZ108">
            <v>12</v>
          </cell>
          <cell r="BA108">
            <v>12</v>
          </cell>
          <cell r="BC108">
            <v>2016</v>
          </cell>
        </row>
        <row r="109">
          <cell r="D109">
            <v>42491</v>
          </cell>
          <cell r="E109">
            <v>13.05</v>
          </cell>
          <cell r="F109">
            <v>17.5</v>
          </cell>
          <cell r="G109">
            <v>10.45</v>
          </cell>
          <cell r="H109">
            <v>15.7875</v>
          </cell>
          <cell r="J109">
            <v>17</v>
          </cell>
          <cell r="K109">
            <v>17</v>
          </cell>
          <cell r="L109">
            <v>19.2</v>
          </cell>
          <cell r="M109">
            <v>5.94</v>
          </cell>
          <cell r="N109">
            <v>14.45</v>
          </cell>
          <cell r="O109">
            <v>4.47</v>
          </cell>
          <cell r="P109">
            <v>10.688800000000001</v>
          </cell>
          <cell r="R109">
            <v>13.95</v>
          </cell>
          <cell r="S109">
            <v>13.7</v>
          </cell>
          <cell r="T109">
            <v>15.3</v>
          </cell>
          <cell r="U109">
            <v>9.7625806451612913</v>
          </cell>
          <cell r="V109">
            <v>16.089784946236559</v>
          </cell>
          <cell r="W109">
            <v>7.6850537634408589</v>
          </cell>
          <cell r="Z109">
            <v>15.589784946236557</v>
          </cell>
          <cell r="AC109">
            <v>1.649</v>
          </cell>
          <cell r="AD109">
            <v>1.2589999999999999</v>
          </cell>
          <cell r="AE109">
            <v>1.6765000000000001</v>
          </cell>
          <cell r="AF109">
            <v>1.6639999999999999</v>
          </cell>
          <cell r="AG109">
            <v>1.9590000000000001</v>
          </cell>
          <cell r="AH109">
            <v>0.89400000000000002</v>
          </cell>
          <cell r="AI109">
            <v>1.7464999999999999</v>
          </cell>
          <cell r="AJ109">
            <v>1.7359</v>
          </cell>
          <cell r="AK109">
            <v>1.8706</v>
          </cell>
          <cell r="AL109">
            <v>1.7179</v>
          </cell>
          <cell r="AM109">
            <v>1.9206000000000001</v>
          </cell>
          <cell r="AN109">
            <v>1.7184999999999999</v>
          </cell>
          <cell r="AO109">
            <v>1.6265293482406311</v>
          </cell>
          <cell r="AP109">
            <v>1.6548401723962054</v>
          </cell>
          <cell r="AQ109">
            <v>1.5466027429240505</v>
          </cell>
          <cell r="AR109">
            <v>1.6862081209833726</v>
          </cell>
          <cell r="AS109">
            <v>1.9611102994135199</v>
          </cell>
          <cell r="AT109">
            <v>1.7243309970283842</v>
          </cell>
          <cell r="AU109">
            <v>1.6586618367346939</v>
          </cell>
          <cell r="AV109">
            <v>1.3708</v>
          </cell>
          <cell r="AW109">
            <v>1.3063367088607594</v>
          </cell>
          <cell r="AX109">
            <v>1.3515999999999999</v>
          </cell>
          <cell r="AZ109">
            <v>13</v>
          </cell>
          <cell r="BA109">
            <v>13</v>
          </cell>
          <cell r="BC109">
            <v>2016</v>
          </cell>
        </row>
        <row r="110">
          <cell r="D110">
            <v>42522</v>
          </cell>
          <cell r="E110">
            <v>15.65</v>
          </cell>
          <cell r="F110">
            <v>20.75</v>
          </cell>
          <cell r="G110">
            <v>13</v>
          </cell>
          <cell r="H110">
            <v>18.75</v>
          </cell>
          <cell r="J110">
            <v>20</v>
          </cell>
          <cell r="K110">
            <v>20.75</v>
          </cell>
          <cell r="L110">
            <v>22.35</v>
          </cell>
          <cell r="M110">
            <v>8.25</v>
          </cell>
          <cell r="N110">
            <v>16.25</v>
          </cell>
          <cell r="O110">
            <v>6.5</v>
          </cell>
          <cell r="P110">
            <v>12.4375</v>
          </cell>
          <cell r="R110">
            <v>15.75</v>
          </cell>
          <cell r="S110">
            <v>15.75</v>
          </cell>
          <cell r="T110">
            <v>17.399999999999999</v>
          </cell>
          <cell r="U110">
            <v>12.525555555555556</v>
          </cell>
          <cell r="V110">
            <v>18.850000000000001</v>
          </cell>
          <cell r="W110">
            <v>10.255555555555556</v>
          </cell>
          <cell r="Z110">
            <v>18.205555555555556</v>
          </cell>
          <cell r="AC110">
            <v>1.744</v>
          </cell>
          <cell r="AD110">
            <v>1.2589999999999999</v>
          </cell>
          <cell r="AE110">
            <v>1.7707999999999999</v>
          </cell>
          <cell r="AF110">
            <v>1.774</v>
          </cell>
          <cell r="AG110">
            <v>2.0539999999999998</v>
          </cell>
          <cell r="AH110">
            <v>0.99399999999999999</v>
          </cell>
          <cell r="AI110">
            <v>1.8414999999999999</v>
          </cell>
          <cell r="AJ110">
            <v>1.8341000000000001</v>
          </cell>
          <cell r="AK110">
            <v>1.9690000000000001</v>
          </cell>
          <cell r="AL110">
            <v>1.8143</v>
          </cell>
          <cell r="AM110">
            <v>2.0190000000000001</v>
          </cell>
          <cell r="AN110">
            <v>1.8157000000000001</v>
          </cell>
          <cell r="AO110">
            <v>1.7218744976816074</v>
          </cell>
          <cell r="AP110">
            <v>1.7517492818524942</v>
          </cell>
          <cell r="AQ110">
            <v>1.5952576873670885</v>
          </cell>
          <cell r="AR110">
            <v>1.7831172304396616</v>
          </cell>
          <cell r="AS110">
            <v>2.0742906677641733</v>
          </cell>
          <cell r="AT110">
            <v>1.8165535608156576</v>
          </cell>
          <cell r="AU110">
            <v>1.7556006122448979</v>
          </cell>
          <cell r="AV110">
            <v>1.4681</v>
          </cell>
          <cell r="AW110">
            <v>1.3063367088607594</v>
          </cell>
          <cell r="AX110">
            <v>1.3515999999999999</v>
          </cell>
          <cell r="AZ110">
            <v>14</v>
          </cell>
          <cell r="BA110">
            <v>14</v>
          </cell>
          <cell r="BC110">
            <v>2016</v>
          </cell>
        </row>
        <row r="111">
          <cell r="D111">
            <v>42552</v>
          </cell>
          <cell r="E111">
            <v>21.99</v>
          </cell>
          <cell r="F111">
            <v>27.215</v>
          </cell>
          <cell r="G111">
            <v>20.475000000000001</v>
          </cell>
          <cell r="H111">
            <v>25.344799999999999</v>
          </cell>
          <cell r="J111">
            <v>32.215000000000003</v>
          </cell>
          <cell r="K111">
            <v>32.715000000000003</v>
          </cell>
          <cell r="L111">
            <v>27.864999999999998</v>
          </cell>
          <cell r="M111">
            <v>14.72</v>
          </cell>
          <cell r="N111">
            <v>18.8</v>
          </cell>
          <cell r="O111">
            <v>12.21</v>
          </cell>
          <cell r="P111">
            <v>18.704999999999998</v>
          </cell>
          <cell r="R111">
            <v>19.8</v>
          </cell>
          <cell r="S111">
            <v>19.8</v>
          </cell>
          <cell r="T111">
            <v>19.7</v>
          </cell>
          <cell r="U111">
            <v>18.628602150537631</v>
          </cell>
          <cell r="V111">
            <v>23.324193548387097</v>
          </cell>
          <cell r="W111">
            <v>16.653548387096777</v>
          </cell>
          <cell r="Z111">
            <v>26.474731182795704</v>
          </cell>
          <cell r="AC111">
            <v>1.9055</v>
          </cell>
          <cell r="AD111">
            <v>1.5229999999999999</v>
          </cell>
          <cell r="AE111">
            <v>1.9782999999999999</v>
          </cell>
          <cell r="AF111">
            <v>1.978</v>
          </cell>
          <cell r="AG111">
            <v>2.153</v>
          </cell>
          <cell r="AH111">
            <v>1.1080000000000001</v>
          </cell>
          <cell r="AI111">
            <v>2.0905</v>
          </cell>
          <cell r="AJ111">
            <v>2.0009999999999999</v>
          </cell>
          <cell r="AK111">
            <v>2.1362000000000001</v>
          </cell>
          <cell r="AL111">
            <v>1.9781</v>
          </cell>
          <cell r="AM111">
            <v>2.1861999999999999</v>
          </cell>
          <cell r="AN111">
            <v>1.9809000000000001</v>
          </cell>
          <cell r="AO111">
            <v>1.8839612517312672</v>
          </cell>
          <cell r="AP111">
            <v>1.9164947679281854</v>
          </cell>
          <cell r="AQ111">
            <v>1.8385324095822781</v>
          </cell>
          <cell r="AR111">
            <v>1.9478627165153526</v>
          </cell>
          <cell r="AS111">
            <v>2.2841888054326578</v>
          </cell>
          <cell r="AT111">
            <v>1.9359305461625169</v>
          </cell>
          <cell r="AU111">
            <v>1.9203965306122448</v>
          </cell>
          <cell r="AV111">
            <v>1.6335</v>
          </cell>
          <cell r="AW111">
            <v>1.5736784810126581</v>
          </cell>
          <cell r="AX111">
            <v>1.6314</v>
          </cell>
          <cell r="AZ111">
            <v>15</v>
          </cell>
          <cell r="BA111">
            <v>15</v>
          </cell>
          <cell r="BC111">
            <v>2016</v>
          </cell>
        </row>
        <row r="112">
          <cell r="D112">
            <v>42583</v>
          </cell>
          <cell r="E112">
            <v>25.58</v>
          </cell>
          <cell r="F112">
            <v>28.355</v>
          </cell>
          <cell r="G112">
            <v>23.85</v>
          </cell>
          <cell r="H112">
            <v>28.2014</v>
          </cell>
          <cell r="J112">
            <v>32.854999999999997</v>
          </cell>
          <cell r="K112">
            <v>33.854999999999997</v>
          </cell>
          <cell r="L112">
            <v>30.105</v>
          </cell>
          <cell r="M112">
            <v>20.39</v>
          </cell>
          <cell r="N112">
            <v>20.8</v>
          </cell>
          <cell r="O112">
            <v>18.48</v>
          </cell>
          <cell r="P112">
            <v>22.466200000000001</v>
          </cell>
          <cell r="R112">
            <v>21.8</v>
          </cell>
          <cell r="S112">
            <v>21.8</v>
          </cell>
          <cell r="T112">
            <v>21.65</v>
          </cell>
          <cell r="U112">
            <v>23.403548387096773</v>
          </cell>
          <cell r="V112">
            <v>25.186774193548388</v>
          </cell>
          <cell r="W112">
            <v>21.598064516129032</v>
          </cell>
          <cell r="Z112">
            <v>28.219032258064516</v>
          </cell>
          <cell r="AC112">
            <v>2.0070000000000001</v>
          </cell>
          <cell r="AD112">
            <v>1.647</v>
          </cell>
          <cell r="AE112">
            <v>2.0518000000000001</v>
          </cell>
          <cell r="AF112">
            <v>2.0720000000000001</v>
          </cell>
          <cell r="AG112">
            <v>2.2120000000000002</v>
          </cell>
          <cell r="AH112">
            <v>1.2170000000000001</v>
          </cell>
          <cell r="AI112">
            <v>2.2469999999999999</v>
          </cell>
          <cell r="AJ112">
            <v>2.1059000000000001</v>
          </cell>
          <cell r="AK112">
            <v>2.2412999999999998</v>
          </cell>
          <cell r="AL112">
            <v>2.081</v>
          </cell>
          <cell r="AM112">
            <v>2.2913000000000001</v>
          </cell>
          <cell r="AN112">
            <v>2.0848</v>
          </cell>
          <cell r="AO112">
            <v>1.9858300166603104</v>
          </cell>
          <cell r="AP112">
            <v>2.0200345006630624</v>
          </cell>
          <cell r="AQ112">
            <v>1.9404343345822785</v>
          </cell>
          <cell r="AR112">
            <v>2.0514024492502299</v>
          </cell>
          <cell r="AS112">
            <v>2.3809065747504889</v>
          </cell>
          <cell r="AT112">
            <v>2.0245666769136181</v>
          </cell>
          <cell r="AU112">
            <v>2.0239679591836737</v>
          </cell>
          <cell r="AV112">
            <v>1.7236</v>
          </cell>
          <cell r="AW112">
            <v>1.6992481012658227</v>
          </cell>
          <cell r="AX112">
            <v>1.7628999999999999</v>
          </cell>
          <cell r="AZ112">
            <v>16</v>
          </cell>
          <cell r="BA112">
            <v>16</v>
          </cell>
          <cell r="BC112">
            <v>2016</v>
          </cell>
        </row>
        <row r="113">
          <cell r="D113">
            <v>42614</v>
          </cell>
          <cell r="E113">
            <v>24.28</v>
          </cell>
          <cell r="F113">
            <v>24.61</v>
          </cell>
          <cell r="G113">
            <v>22.715</v>
          </cell>
          <cell r="H113">
            <v>26.853100000000001</v>
          </cell>
          <cell r="J113">
            <v>27.61</v>
          </cell>
          <cell r="K113">
            <v>28.61</v>
          </cell>
          <cell r="L113">
            <v>25.76</v>
          </cell>
          <cell r="M113">
            <v>19.309999999999999</v>
          </cell>
          <cell r="N113">
            <v>20.399999999999999</v>
          </cell>
          <cell r="O113">
            <v>18.95</v>
          </cell>
          <cell r="P113">
            <v>21.58</v>
          </cell>
          <cell r="R113">
            <v>18.899999999999999</v>
          </cell>
          <cell r="S113">
            <v>18.899999999999999</v>
          </cell>
          <cell r="T113">
            <v>22.24</v>
          </cell>
          <cell r="U113">
            <v>22.071111111111115</v>
          </cell>
          <cell r="V113">
            <v>22.738888888888887</v>
          </cell>
          <cell r="W113">
            <v>21.041666666666664</v>
          </cell>
          <cell r="Z113">
            <v>23.738888888888891</v>
          </cell>
          <cell r="AC113">
            <v>2.032</v>
          </cell>
          <cell r="AD113">
            <v>1.6719999999999999</v>
          </cell>
          <cell r="AE113">
            <v>2.0865999999999998</v>
          </cell>
          <cell r="AF113">
            <v>2.077</v>
          </cell>
          <cell r="AG113">
            <v>2.2370000000000001</v>
          </cell>
          <cell r="AH113">
            <v>1.282</v>
          </cell>
          <cell r="AI113">
            <v>2.2469999999999999</v>
          </cell>
          <cell r="AJ113">
            <v>2.1316999999999999</v>
          </cell>
          <cell r="AK113">
            <v>2.2671999999999999</v>
          </cell>
          <cell r="AL113">
            <v>2.1063999999999998</v>
          </cell>
          <cell r="AM113">
            <v>2.3172000000000001</v>
          </cell>
          <cell r="AN113">
            <v>2.1103999999999998</v>
          </cell>
          <cell r="AO113">
            <v>2.0109208454605678</v>
          </cell>
          <cell r="AP113">
            <v>2.0455368978884021</v>
          </cell>
          <cell r="AQ113">
            <v>1.9712886895949364</v>
          </cell>
          <cell r="AR113">
            <v>2.0769048464755691</v>
          </cell>
          <cell r="AS113">
            <v>2.3860511369482458</v>
          </cell>
          <cell r="AT113">
            <v>2.0553075315093761</v>
          </cell>
          <cell r="AU113">
            <v>2.0494781632653063</v>
          </cell>
          <cell r="AV113">
            <v>1.7723</v>
          </cell>
          <cell r="AW113">
            <v>1.7245645569620252</v>
          </cell>
          <cell r="AX113">
            <v>1.7894000000000001</v>
          </cell>
          <cell r="AZ113">
            <v>17</v>
          </cell>
          <cell r="BA113">
            <v>17</v>
          </cell>
          <cell r="BC113">
            <v>2016</v>
          </cell>
        </row>
        <row r="114">
          <cell r="D114">
            <v>42644</v>
          </cell>
          <cell r="E114">
            <v>23.872499999999999</v>
          </cell>
          <cell r="F114">
            <v>25.4925</v>
          </cell>
          <cell r="G114">
            <v>21.7</v>
          </cell>
          <cell r="H114">
            <v>27.3916</v>
          </cell>
          <cell r="J114">
            <v>24.9925</v>
          </cell>
          <cell r="K114">
            <v>25.4925</v>
          </cell>
          <cell r="L114">
            <v>24.842500000000001</v>
          </cell>
          <cell r="M114">
            <v>21.59</v>
          </cell>
          <cell r="N114">
            <v>21.95</v>
          </cell>
          <cell r="O114">
            <v>19.574999999999999</v>
          </cell>
          <cell r="P114">
            <v>23.8813</v>
          </cell>
          <cell r="R114">
            <v>20.95</v>
          </cell>
          <cell r="S114">
            <v>20.45</v>
          </cell>
          <cell r="T114">
            <v>21.8</v>
          </cell>
          <cell r="U114">
            <v>22.866236559139786</v>
          </cell>
          <cell r="V114">
            <v>23.930752688172042</v>
          </cell>
          <cell r="W114">
            <v>20.763172043010755</v>
          </cell>
          <cell r="Z114">
            <v>23.210322580645158</v>
          </cell>
          <cell r="AC114">
            <v>2.109</v>
          </cell>
          <cell r="AD114">
            <v>1.974</v>
          </cell>
          <cell r="AE114">
            <v>2.1581000000000001</v>
          </cell>
          <cell r="AF114">
            <v>2.1139999999999999</v>
          </cell>
          <cell r="AG114">
            <v>2.2890000000000001</v>
          </cell>
          <cell r="AH114">
            <v>1.4390000000000001</v>
          </cell>
          <cell r="AI114">
            <v>2.274</v>
          </cell>
          <cell r="AJ114">
            <v>2.2113</v>
          </cell>
          <cell r="AK114">
            <v>2.347</v>
          </cell>
          <cell r="AL114">
            <v>2.1844999999999999</v>
          </cell>
          <cell r="AM114">
            <v>2.3969999999999998</v>
          </cell>
          <cell r="AN114">
            <v>2.1892</v>
          </cell>
          <cell r="AO114">
            <v>2.0882005981653591</v>
          </cell>
          <cell r="AP114">
            <v>2.1240842813424465</v>
          </cell>
          <cell r="AQ114">
            <v>2.1639994186455693</v>
          </cell>
          <cell r="AR114">
            <v>2.1554522299296135</v>
          </cell>
          <cell r="AS114">
            <v>2.4241208972116475</v>
          </cell>
          <cell r="AT114">
            <v>2.1239621067732348</v>
          </cell>
          <cell r="AU114">
            <v>2.128049591836735</v>
          </cell>
          <cell r="AV114">
            <v>1.8834</v>
          </cell>
          <cell r="AW114">
            <v>2.0303873417721516</v>
          </cell>
          <cell r="AX114">
            <v>2.1095000000000002</v>
          </cell>
          <cell r="AZ114">
            <v>18</v>
          </cell>
          <cell r="BA114">
            <v>18</v>
          </cell>
          <cell r="BC114">
            <v>2016</v>
          </cell>
        </row>
        <row r="115">
          <cell r="D115">
            <v>42675</v>
          </cell>
          <cell r="E115">
            <v>25.967500000000001</v>
          </cell>
          <cell r="F115">
            <v>24.204999999999998</v>
          </cell>
          <cell r="G115">
            <v>24.5</v>
          </cell>
          <cell r="H115">
            <v>29.252500000000001</v>
          </cell>
          <cell r="J115">
            <v>23.704999999999998</v>
          </cell>
          <cell r="K115">
            <v>22.704999999999998</v>
          </cell>
          <cell r="L115">
            <v>25.754999999999999</v>
          </cell>
          <cell r="M115">
            <v>23.52</v>
          </cell>
          <cell r="N115">
            <v>22.05</v>
          </cell>
          <cell r="O115">
            <v>22.22</v>
          </cell>
          <cell r="P115">
            <v>25.1218</v>
          </cell>
          <cell r="R115">
            <v>21.55</v>
          </cell>
          <cell r="S115">
            <v>20.55</v>
          </cell>
          <cell r="T115">
            <v>21.6</v>
          </cell>
          <cell r="U115">
            <v>24.877836338418863</v>
          </cell>
          <cell r="V115">
            <v>23.245561719833567</v>
          </cell>
          <cell r="W115">
            <v>23.484909847434118</v>
          </cell>
          <cell r="Z115">
            <v>22.745561719833564</v>
          </cell>
          <cell r="AC115">
            <v>2.375</v>
          </cell>
          <cell r="AD115">
            <v>2.4900000000000002</v>
          </cell>
          <cell r="AE115">
            <v>2.4594</v>
          </cell>
          <cell r="AF115">
            <v>2.3975</v>
          </cell>
          <cell r="AG115">
            <v>2.4649999999999999</v>
          </cell>
          <cell r="AH115">
            <v>1.84</v>
          </cell>
          <cell r="AI115">
            <v>2.56</v>
          </cell>
          <cell r="AJ115">
            <v>2.4860000000000002</v>
          </cell>
          <cell r="AK115">
            <v>2.6352000000000002</v>
          </cell>
          <cell r="AL115">
            <v>2.4540999999999999</v>
          </cell>
          <cell r="AM115">
            <v>2.6852</v>
          </cell>
          <cell r="AN115">
            <v>2.4611999999999998</v>
          </cell>
          <cell r="AO115">
            <v>2.3677124310002209</v>
          </cell>
          <cell r="AP115">
            <v>2.408180986432725</v>
          </cell>
          <cell r="AQ115">
            <v>2.5856928024556964</v>
          </cell>
          <cell r="AR115">
            <v>2.4267977364072224</v>
          </cell>
          <cell r="AS115">
            <v>2.7158175738244679</v>
          </cell>
          <cell r="AT115">
            <v>2.3939692796393075</v>
          </cell>
          <cell r="AU115">
            <v>2.4122332653061225</v>
          </cell>
          <cell r="AV115">
            <v>2.2317</v>
          </cell>
          <cell r="AW115">
            <v>2.5529189873417719</v>
          </cell>
          <cell r="AX115">
            <v>2.6816</v>
          </cell>
          <cell r="AZ115">
            <v>19</v>
          </cell>
          <cell r="BA115">
            <v>19</v>
          </cell>
          <cell r="BC115">
            <v>2016</v>
          </cell>
        </row>
        <row r="116">
          <cell r="D116">
            <v>42705</v>
          </cell>
          <cell r="E116">
            <v>30.51</v>
          </cell>
          <cell r="F116">
            <v>27.552499999999998</v>
          </cell>
          <cell r="G116">
            <v>27.5</v>
          </cell>
          <cell r="H116">
            <v>32.337200000000003</v>
          </cell>
          <cell r="J116">
            <v>27.052499999999998</v>
          </cell>
          <cell r="K116">
            <v>26.802499999999998</v>
          </cell>
          <cell r="L116">
            <v>29.552499999999998</v>
          </cell>
          <cell r="M116">
            <v>25.44</v>
          </cell>
          <cell r="N116">
            <v>22.95</v>
          </cell>
          <cell r="O116">
            <v>23.254999999999999</v>
          </cell>
          <cell r="P116">
            <v>27.597000000000001</v>
          </cell>
          <cell r="R116">
            <v>22.45</v>
          </cell>
          <cell r="S116">
            <v>21.95</v>
          </cell>
          <cell r="T116">
            <v>24.7</v>
          </cell>
          <cell r="U116">
            <v>28.274838709677422</v>
          </cell>
          <cell r="V116">
            <v>25.523440860215054</v>
          </cell>
          <cell r="W116">
            <v>25.628548387096775</v>
          </cell>
          <cell r="Z116">
            <v>25.02344086021505</v>
          </cell>
          <cell r="AC116">
            <v>2.8149999999999999</v>
          </cell>
          <cell r="AD116">
            <v>3.02</v>
          </cell>
          <cell r="AE116">
            <v>2.8267000000000002</v>
          </cell>
          <cell r="AF116">
            <v>2.7</v>
          </cell>
          <cell r="AG116">
            <v>2.7349999999999999</v>
          </cell>
          <cell r="AH116">
            <v>2.0674999999999999</v>
          </cell>
          <cell r="AI116">
            <v>3.1949999999999998</v>
          </cell>
          <cell r="AJ116">
            <v>2.9407000000000001</v>
          </cell>
          <cell r="AK116">
            <v>3.0908000000000002</v>
          </cell>
          <cell r="AL116">
            <v>2.9003999999999999</v>
          </cell>
          <cell r="AM116">
            <v>3.1408</v>
          </cell>
          <cell r="AN116">
            <v>2.9114</v>
          </cell>
          <cell r="AO116">
            <v>2.8093110178847431</v>
          </cell>
          <cell r="AP116">
            <v>2.8570231775986943</v>
          </cell>
          <cell r="AQ116">
            <v>3.0486629153797464</v>
          </cell>
          <cell r="AR116">
            <v>2.8756399275731921</v>
          </cell>
          <cell r="AS116">
            <v>3.0270635867887647</v>
          </cell>
          <cell r="AT116">
            <v>2.8345881955118353</v>
          </cell>
          <cell r="AU116">
            <v>2.8612128571428572</v>
          </cell>
          <cell r="AV116">
            <v>2.5362</v>
          </cell>
          <cell r="AW116">
            <v>3.0896278481012653</v>
          </cell>
          <cell r="AX116">
            <v>3.2448000000000001</v>
          </cell>
          <cell r="AZ116">
            <v>20</v>
          </cell>
          <cell r="BA116">
            <v>20</v>
          </cell>
          <cell r="BC116">
            <v>2016</v>
          </cell>
        </row>
        <row r="117">
          <cell r="D117">
            <v>42736</v>
          </cell>
          <cell r="E117">
            <v>28.49</v>
          </cell>
          <cell r="F117">
            <v>27.3</v>
          </cell>
          <cell r="G117">
            <v>26.512499999999999</v>
          </cell>
          <cell r="H117">
            <v>31.041</v>
          </cell>
          <cell r="J117">
            <v>26.8</v>
          </cell>
          <cell r="K117">
            <v>26.8</v>
          </cell>
          <cell r="L117">
            <v>29.55</v>
          </cell>
          <cell r="M117">
            <v>25.524999999999999</v>
          </cell>
          <cell r="N117">
            <v>24.22</v>
          </cell>
          <cell r="O117">
            <v>23.14</v>
          </cell>
          <cell r="P117">
            <v>26.950700000000001</v>
          </cell>
          <cell r="R117">
            <v>23.72</v>
          </cell>
          <cell r="S117">
            <v>23.72</v>
          </cell>
          <cell r="T117">
            <v>25.97</v>
          </cell>
          <cell r="U117">
            <v>27.119086021505378</v>
          </cell>
          <cell r="V117">
            <v>25.875913978494623</v>
          </cell>
          <cell r="W117">
            <v>24.953172043010749</v>
          </cell>
          <cell r="Z117">
            <v>25.375913978494623</v>
          </cell>
          <cell r="AC117">
            <v>2.9205000000000001</v>
          </cell>
          <cell r="AD117">
            <v>2.8704999999999998</v>
          </cell>
          <cell r="AE117">
            <v>2.8769</v>
          </cell>
          <cell r="AF117">
            <v>2.8504999999999998</v>
          </cell>
          <cell r="AG117">
            <v>2.8679999999999999</v>
          </cell>
          <cell r="AH117">
            <v>2.1255000000000002</v>
          </cell>
          <cell r="AI117">
            <v>3.2654999999999998</v>
          </cell>
          <cell r="AJ117">
            <v>3.05</v>
          </cell>
          <cell r="AK117">
            <v>3.1899000000000002</v>
          </cell>
          <cell r="AL117">
            <v>3.0074000000000001</v>
          </cell>
          <cell r="AM117">
            <v>3.2399</v>
          </cell>
          <cell r="AN117">
            <v>3.0194999999999999</v>
          </cell>
          <cell r="AO117">
            <v>2.905157983901725</v>
          </cell>
          <cell r="AP117">
            <v>2.9544423349994906</v>
          </cell>
          <cell r="AQ117">
            <v>2.9974281753670882</v>
          </cell>
          <cell r="AR117">
            <v>2.9832600438641239</v>
          </cell>
          <cell r="AS117">
            <v>3.1819149089412493</v>
          </cell>
          <cell r="AT117">
            <v>2.9375700584076236</v>
          </cell>
          <cell r="AU117">
            <v>2.9586618367346942</v>
          </cell>
          <cell r="AV117">
            <v>2.5901999999999998</v>
          </cell>
          <cell r="AW117">
            <v>2.938235443037974</v>
          </cell>
          <cell r="AX117">
            <v>3.0859999999999999</v>
          </cell>
          <cell r="AZ117">
            <v>21</v>
          </cell>
          <cell r="BA117">
            <v>21</v>
          </cell>
          <cell r="BC117">
            <v>2017</v>
          </cell>
        </row>
        <row r="118">
          <cell r="D118">
            <v>42767</v>
          </cell>
          <cell r="E118">
            <v>27.86</v>
          </cell>
          <cell r="F118">
            <v>26.774999999999999</v>
          </cell>
          <cell r="G118">
            <v>25.754999999999999</v>
          </cell>
          <cell r="H118">
            <v>30.402999999999999</v>
          </cell>
          <cell r="J118">
            <v>26.774999999999999</v>
          </cell>
          <cell r="K118">
            <v>25.774999999999999</v>
          </cell>
          <cell r="L118">
            <v>29.024999999999999</v>
          </cell>
          <cell r="M118">
            <v>24.3</v>
          </cell>
          <cell r="N118">
            <v>23.452500000000001</v>
          </cell>
          <cell r="O118">
            <v>22.4725</v>
          </cell>
          <cell r="P118">
            <v>25.925000000000001</v>
          </cell>
          <cell r="R118">
            <v>22.952500000000001</v>
          </cell>
          <cell r="S118">
            <v>22.202500000000001</v>
          </cell>
          <cell r="T118">
            <v>24.9025</v>
          </cell>
          <cell r="U118">
            <v>26.334285714285716</v>
          </cell>
          <cell r="V118">
            <v>25.351071428571426</v>
          </cell>
          <cell r="W118">
            <v>24.348214285714285</v>
          </cell>
          <cell r="Z118">
            <v>25.136785714285715</v>
          </cell>
          <cell r="AC118">
            <v>2.9024999999999999</v>
          </cell>
          <cell r="AD118">
            <v>2.7425000000000002</v>
          </cell>
          <cell r="AE118">
            <v>2.8639999999999999</v>
          </cell>
          <cell r="AF118">
            <v>2.85</v>
          </cell>
          <cell r="AG118">
            <v>2.86</v>
          </cell>
          <cell r="AH118">
            <v>2.14</v>
          </cell>
          <cell r="AI118">
            <v>3.15</v>
          </cell>
          <cell r="AJ118">
            <v>3.0314000000000001</v>
          </cell>
          <cell r="AK118">
            <v>3.1713</v>
          </cell>
          <cell r="AL118">
            <v>2.9891999999999999</v>
          </cell>
          <cell r="AM118">
            <v>3.2212999999999998</v>
          </cell>
          <cell r="AN118">
            <v>3.0011000000000001</v>
          </cell>
          <cell r="AO118">
            <v>2.8870925871655397</v>
          </cell>
          <cell r="AP118">
            <v>2.936080608997246</v>
          </cell>
          <cell r="AQ118">
            <v>2.9247295362151897</v>
          </cell>
          <cell r="AR118">
            <v>2.9648983178618793</v>
          </cell>
          <cell r="AS118">
            <v>3.1814004527214736</v>
          </cell>
          <cell r="AT118">
            <v>2.9421811865969878</v>
          </cell>
          <cell r="AU118">
            <v>2.9402944897959182</v>
          </cell>
          <cell r="AV118">
            <v>2.5897999999999999</v>
          </cell>
          <cell r="AW118">
            <v>2.8086151898734175</v>
          </cell>
          <cell r="AX118">
            <v>2.9499</v>
          </cell>
          <cell r="AZ118">
            <v>22</v>
          </cell>
          <cell r="BA118">
            <v>22</v>
          </cell>
          <cell r="BC118">
            <v>2017</v>
          </cell>
        </row>
        <row r="119">
          <cell r="D119">
            <v>42795</v>
          </cell>
          <cell r="E119">
            <v>24.09</v>
          </cell>
          <cell r="F119">
            <v>24.675000000000001</v>
          </cell>
          <cell r="G119">
            <v>22.782499999999999</v>
          </cell>
          <cell r="H119">
            <v>27.225999999999999</v>
          </cell>
          <cell r="J119">
            <v>24.675000000000001</v>
          </cell>
          <cell r="K119">
            <v>23.675000000000001</v>
          </cell>
          <cell r="L119">
            <v>26.925000000000001</v>
          </cell>
          <cell r="M119">
            <v>21.574999999999999</v>
          </cell>
          <cell r="N119">
            <v>21.0275</v>
          </cell>
          <cell r="O119">
            <v>20.037500000000001</v>
          </cell>
          <cell r="P119">
            <v>24.1492</v>
          </cell>
          <cell r="R119">
            <v>20.5275</v>
          </cell>
          <cell r="S119">
            <v>19.5275</v>
          </cell>
          <cell r="T119">
            <v>23.0275</v>
          </cell>
          <cell r="U119">
            <v>23.037288021534319</v>
          </cell>
          <cell r="V119">
            <v>23.148253701211306</v>
          </cell>
          <cell r="W119">
            <v>21.633516150740242</v>
          </cell>
          <cell r="Z119">
            <v>22.938967025572008</v>
          </cell>
          <cell r="AC119">
            <v>2.702</v>
          </cell>
          <cell r="AD119">
            <v>2.6520000000000001</v>
          </cell>
          <cell r="AE119">
            <v>2.8188</v>
          </cell>
          <cell r="AF119">
            <v>2.702</v>
          </cell>
          <cell r="AG119">
            <v>2.8220000000000001</v>
          </cell>
          <cell r="AH119">
            <v>2.1044999999999998</v>
          </cell>
          <cell r="AI119">
            <v>2.887</v>
          </cell>
          <cell r="AJ119">
            <v>2.8241999999999998</v>
          </cell>
          <cell r="AK119">
            <v>2.9636</v>
          </cell>
          <cell r="AL119">
            <v>2.7858000000000001</v>
          </cell>
          <cell r="AM119">
            <v>3.0135999999999998</v>
          </cell>
          <cell r="AN119">
            <v>2.7959999999999998</v>
          </cell>
          <cell r="AO119">
            <v>2.685864140187479</v>
          </cell>
          <cell r="AP119">
            <v>2.731551383250026</v>
          </cell>
          <cell r="AQ119">
            <v>2.8547138844556961</v>
          </cell>
          <cell r="AR119">
            <v>2.7603690921146593</v>
          </cell>
          <cell r="AS119">
            <v>3.0291214116678673</v>
          </cell>
          <cell r="AT119">
            <v>2.6983037401373093</v>
          </cell>
          <cell r="AU119">
            <v>2.7357026530612245</v>
          </cell>
          <cell r="AV119">
            <v>2.8338000000000001</v>
          </cell>
          <cell r="AW119">
            <v>2.7169696202531646</v>
          </cell>
          <cell r="AX119">
            <v>2.8538000000000001</v>
          </cell>
          <cell r="AZ119">
            <v>23</v>
          </cell>
          <cell r="BA119">
            <v>23</v>
          </cell>
          <cell r="BC119">
            <v>2017</v>
          </cell>
        </row>
        <row r="120">
          <cell r="D120">
            <v>42826</v>
          </cell>
          <cell r="E120">
            <v>20.13</v>
          </cell>
          <cell r="F120">
            <v>20.805</v>
          </cell>
          <cell r="G120">
            <v>18.850000000000001</v>
          </cell>
          <cell r="H120">
            <v>21.468599999999999</v>
          </cell>
          <cell r="J120">
            <v>19.305</v>
          </cell>
          <cell r="K120">
            <v>19.305</v>
          </cell>
          <cell r="L120">
            <v>25.405000000000001</v>
          </cell>
          <cell r="M120">
            <v>17.387499999999999</v>
          </cell>
          <cell r="N120">
            <v>18.8</v>
          </cell>
          <cell r="O120">
            <v>14.64</v>
          </cell>
          <cell r="P120">
            <v>19.345600000000001</v>
          </cell>
          <cell r="R120">
            <v>18.05</v>
          </cell>
          <cell r="S120">
            <v>17.8</v>
          </cell>
          <cell r="T120">
            <v>20.8</v>
          </cell>
          <cell r="U120">
            <v>18.911111111111108</v>
          </cell>
          <cell r="V120">
            <v>19.913888888888888</v>
          </cell>
          <cell r="W120">
            <v>16.978888888888889</v>
          </cell>
          <cell r="Z120">
            <v>18.74722222222222</v>
          </cell>
          <cell r="AC120">
            <v>2.3410000000000002</v>
          </cell>
          <cell r="AD120">
            <v>2.0409999999999999</v>
          </cell>
          <cell r="AE120">
            <v>2.4157000000000002</v>
          </cell>
          <cell r="AF120">
            <v>2.4260000000000002</v>
          </cell>
          <cell r="AG120">
            <v>2.6309999999999998</v>
          </cell>
          <cell r="AH120">
            <v>1.9435</v>
          </cell>
          <cell r="AI120">
            <v>2.5459999999999998</v>
          </cell>
          <cell r="AJ120">
            <v>2.4510999999999998</v>
          </cell>
          <cell r="AK120">
            <v>2.5897999999999999</v>
          </cell>
          <cell r="AL120">
            <v>2.4197000000000002</v>
          </cell>
          <cell r="AM120">
            <v>2.6398000000000001</v>
          </cell>
          <cell r="AN120">
            <v>2.4266000000000001</v>
          </cell>
          <cell r="AO120">
            <v>2.3235525723117689</v>
          </cell>
          <cell r="AP120">
            <v>2.363296767316128</v>
          </cell>
          <cell r="AQ120">
            <v>2.3314797470253166</v>
          </cell>
          <cell r="AR120">
            <v>2.3921144761807613</v>
          </cell>
          <cell r="AS120">
            <v>2.7451415783516828</v>
          </cell>
          <cell r="AT120">
            <v>2.3514444307818425</v>
          </cell>
          <cell r="AU120">
            <v>2.3673353061224489</v>
          </cell>
          <cell r="AV120">
            <v>2.4306999999999999</v>
          </cell>
          <cell r="AW120">
            <v>2.0982354430379746</v>
          </cell>
          <cell r="AX120">
            <v>2.1833</v>
          </cell>
          <cell r="AZ120">
            <v>24</v>
          </cell>
          <cell r="BA120">
            <v>24</v>
          </cell>
          <cell r="BC120">
            <v>2017</v>
          </cell>
        </row>
        <row r="121">
          <cell r="D121">
            <v>42856</v>
          </cell>
          <cell r="E121">
            <v>19.350000000000001</v>
          </cell>
          <cell r="F121">
            <v>21.5825</v>
          </cell>
          <cell r="G121">
            <v>16.559999999999999</v>
          </cell>
          <cell r="H121">
            <v>21.0762</v>
          </cell>
          <cell r="J121">
            <v>21.5825</v>
          </cell>
          <cell r="K121">
            <v>21.5825</v>
          </cell>
          <cell r="L121">
            <v>26.932500000000001</v>
          </cell>
          <cell r="M121">
            <v>12.5875</v>
          </cell>
          <cell r="N121">
            <v>17.420000000000002</v>
          </cell>
          <cell r="O121">
            <v>10.64</v>
          </cell>
          <cell r="P121">
            <v>15.680899999999999</v>
          </cell>
          <cell r="R121">
            <v>17.420000000000002</v>
          </cell>
          <cell r="S121">
            <v>16.920000000000002</v>
          </cell>
          <cell r="T121">
            <v>20.37</v>
          </cell>
          <cell r="U121">
            <v>16.368682795698927</v>
          </cell>
          <cell r="V121">
            <v>19.747419354838708</v>
          </cell>
          <cell r="W121">
            <v>13.95010752688172</v>
          </cell>
          <cell r="Z121">
            <v>19.747419354838708</v>
          </cell>
          <cell r="AC121">
            <v>2.3620000000000001</v>
          </cell>
          <cell r="AD121">
            <v>2.0194999999999999</v>
          </cell>
          <cell r="AE121">
            <v>2.4167000000000001</v>
          </cell>
          <cell r="AF121">
            <v>2.4095</v>
          </cell>
          <cell r="AG121">
            <v>2.6419999999999999</v>
          </cell>
          <cell r="AH121">
            <v>1.9195</v>
          </cell>
          <cell r="AI121">
            <v>2.5194999999999999</v>
          </cell>
          <cell r="AJ121">
            <v>2.4727999999999999</v>
          </cell>
          <cell r="AK121">
            <v>2.6114999999999999</v>
          </cell>
          <cell r="AL121">
            <v>2.4409999999999998</v>
          </cell>
          <cell r="AM121">
            <v>2.6615000000000002</v>
          </cell>
          <cell r="AN121">
            <v>2.448</v>
          </cell>
          <cell r="AO121">
            <v>2.3446288685039849</v>
          </cell>
          <cell r="AP121">
            <v>2.3847187809854131</v>
          </cell>
          <cell r="AQ121">
            <v>2.3209025851898732</v>
          </cell>
          <cell r="AR121">
            <v>2.4135364898500464</v>
          </cell>
          <cell r="AS121">
            <v>2.7281645230990845</v>
          </cell>
          <cell r="AT121">
            <v>2.4037038835946305</v>
          </cell>
          <cell r="AU121">
            <v>2.3887638775510207</v>
          </cell>
          <cell r="AV121">
            <v>2.4317000000000002</v>
          </cell>
          <cell r="AW121">
            <v>2.0764632911392402</v>
          </cell>
          <cell r="AX121">
            <v>2.1604000000000001</v>
          </cell>
          <cell r="AZ121">
            <v>25</v>
          </cell>
          <cell r="BA121">
            <v>25</v>
          </cell>
          <cell r="BC121">
            <v>2017</v>
          </cell>
        </row>
        <row r="122">
          <cell r="D122">
            <v>42887</v>
          </cell>
          <cell r="E122">
            <v>20.02</v>
          </cell>
          <cell r="F122">
            <v>24.03</v>
          </cell>
          <cell r="G122">
            <v>16.84</v>
          </cell>
          <cell r="H122">
            <v>22.236499999999999</v>
          </cell>
          <cell r="J122">
            <v>23.28</v>
          </cell>
          <cell r="K122">
            <v>24.03</v>
          </cell>
          <cell r="L122">
            <v>29.13</v>
          </cell>
          <cell r="M122">
            <v>11.525</v>
          </cell>
          <cell r="N122">
            <v>19.57</v>
          </cell>
          <cell r="O122">
            <v>8.85</v>
          </cell>
          <cell r="P122">
            <v>15.339700000000001</v>
          </cell>
          <cell r="R122">
            <v>19.07</v>
          </cell>
          <cell r="S122">
            <v>19.07</v>
          </cell>
          <cell r="T122">
            <v>21.93</v>
          </cell>
          <cell r="U122">
            <v>16.43322222222222</v>
          </cell>
          <cell r="V122">
            <v>22.146888888888888</v>
          </cell>
          <cell r="W122">
            <v>13.466444444444445</v>
          </cell>
          <cell r="Z122">
            <v>21.502444444444443</v>
          </cell>
          <cell r="AC122">
            <v>2.4015</v>
          </cell>
          <cell r="AD122">
            <v>2.0139999999999998</v>
          </cell>
          <cell r="AE122">
            <v>2.4683000000000002</v>
          </cell>
          <cell r="AF122">
            <v>2.464</v>
          </cell>
          <cell r="AG122">
            <v>2.6840000000000002</v>
          </cell>
          <cell r="AH122">
            <v>1.9165000000000001</v>
          </cell>
          <cell r="AI122">
            <v>2.5665</v>
          </cell>
          <cell r="AJ122">
            <v>2.5135999999999998</v>
          </cell>
          <cell r="AK122">
            <v>2.6524000000000001</v>
          </cell>
          <cell r="AL122">
            <v>2.4811000000000001</v>
          </cell>
          <cell r="AM122">
            <v>2.7023999999999999</v>
          </cell>
          <cell r="AN122">
            <v>2.4885000000000002</v>
          </cell>
          <cell r="AO122">
            <v>2.3842723780083905</v>
          </cell>
          <cell r="AP122">
            <v>2.4250125686014488</v>
          </cell>
          <cell r="AQ122">
            <v>2.344688300341772</v>
          </cell>
          <cell r="AR122">
            <v>2.4538302774660821</v>
          </cell>
          <cell r="AS122">
            <v>2.7842402510546354</v>
          </cell>
          <cell r="AT122">
            <v>2.4339323906137924</v>
          </cell>
          <cell r="AU122">
            <v>2.4290700000000003</v>
          </cell>
          <cell r="AV122">
            <v>2.4832999999999998</v>
          </cell>
          <cell r="AW122">
            <v>2.0708936708860755</v>
          </cell>
          <cell r="AX122">
            <v>2.1545999999999998</v>
          </cell>
          <cell r="AZ122">
            <v>26</v>
          </cell>
          <cell r="BA122">
            <v>26</v>
          </cell>
          <cell r="BC122">
            <v>2017</v>
          </cell>
        </row>
        <row r="123">
          <cell r="D123">
            <v>42917</v>
          </cell>
          <cell r="E123">
            <v>27.5425</v>
          </cell>
          <cell r="F123">
            <v>31.8</v>
          </cell>
          <cell r="G123">
            <v>23.85</v>
          </cell>
          <cell r="H123">
            <v>30.486499999999999</v>
          </cell>
          <cell r="J123">
            <v>36.799999999999997</v>
          </cell>
          <cell r="K123">
            <v>37.299999999999997</v>
          </cell>
          <cell r="L123">
            <v>36.049999999999997</v>
          </cell>
          <cell r="M123">
            <v>18.217500000000001</v>
          </cell>
          <cell r="N123">
            <v>23.274999999999999</v>
          </cell>
          <cell r="O123">
            <v>15.977499999999999</v>
          </cell>
          <cell r="P123">
            <v>22.470500000000001</v>
          </cell>
          <cell r="R123">
            <v>24.274999999999999</v>
          </cell>
          <cell r="S123">
            <v>24.274999999999999</v>
          </cell>
          <cell r="T123">
            <v>25.774999999999999</v>
          </cell>
          <cell r="U123">
            <v>23.230940860215053</v>
          </cell>
          <cell r="V123">
            <v>27.858333333333334</v>
          </cell>
          <cell r="W123">
            <v>20.210026881720431</v>
          </cell>
          <cell r="Z123">
            <v>31.008870967741935</v>
          </cell>
          <cell r="AC123">
            <v>2.4860000000000002</v>
          </cell>
          <cell r="AD123">
            <v>2.1960000000000002</v>
          </cell>
          <cell r="AE123">
            <v>2.5571999999999999</v>
          </cell>
          <cell r="AF123">
            <v>2.5884999999999998</v>
          </cell>
          <cell r="AG123">
            <v>2.726</v>
          </cell>
          <cell r="AH123">
            <v>1.9359999999999999</v>
          </cell>
          <cell r="AI123">
            <v>2.8359999999999999</v>
          </cell>
          <cell r="AJ123">
            <v>2.601</v>
          </cell>
          <cell r="AK123">
            <v>2.74</v>
          </cell>
          <cell r="AL123">
            <v>2.5668000000000002</v>
          </cell>
          <cell r="AM123">
            <v>2.79</v>
          </cell>
          <cell r="AN123">
            <v>2.5749</v>
          </cell>
          <cell r="AO123">
            <v>2.4690793793532588</v>
          </cell>
          <cell r="AP123">
            <v>2.511210671223095</v>
          </cell>
          <cell r="AQ123">
            <v>2.4844616243037976</v>
          </cell>
          <cell r="AR123">
            <v>2.5400283800877288</v>
          </cell>
          <cell r="AS123">
            <v>2.912339849778784</v>
          </cell>
          <cell r="AT123">
            <v>2.52051913105851</v>
          </cell>
          <cell r="AU123">
            <v>2.5152944897959184</v>
          </cell>
          <cell r="AV123">
            <v>2.5722</v>
          </cell>
          <cell r="AW123">
            <v>2.2551974683544302</v>
          </cell>
          <cell r="AX123">
            <v>2.3479999999999999</v>
          </cell>
          <cell r="AZ123">
            <v>27</v>
          </cell>
          <cell r="BA123">
            <v>27</v>
          </cell>
          <cell r="BC123">
            <v>2017</v>
          </cell>
        </row>
        <row r="124">
          <cell r="D124">
            <v>42948</v>
          </cell>
          <cell r="E124">
            <v>30.76</v>
          </cell>
          <cell r="F124">
            <v>31.2</v>
          </cell>
          <cell r="G124">
            <v>28.62</v>
          </cell>
          <cell r="H124">
            <v>32.259099999999997</v>
          </cell>
          <cell r="J124">
            <v>35.700000000000003</v>
          </cell>
          <cell r="K124">
            <v>36.700000000000003</v>
          </cell>
          <cell r="L124">
            <v>35.450000000000003</v>
          </cell>
          <cell r="M124">
            <v>25.125</v>
          </cell>
          <cell r="N124">
            <v>23.83</v>
          </cell>
          <cell r="O124">
            <v>21.25</v>
          </cell>
          <cell r="P124">
            <v>26.750800000000002</v>
          </cell>
          <cell r="R124">
            <v>24.83</v>
          </cell>
          <cell r="S124">
            <v>24.83</v>
          </cell>
          <cell r="T124">
            <v>25.58</v>
          </cell>
          <cell r="U124">
            <v>28.396935483870973</v>
          </cell>
          <cell r="V124">
            <v>28.109354838709677</v>
          </cell>
          <cell r="W124">
            <v>25.529354838709676</v>
          </cell>
          <cell r="Z124">
            <v>31.141612903225809</v>
          </cell>
          <cell r="AC124">
            <v>2.4950000000000001</v>
          </cell>
          <cell r="AD124">
            <v>2.2225000000000001</v>
          </cell>
          <cell r="AE124">
            <v>2.581</v>
          </cell>
          <cell r="AF124">
            <v>2.6025</v>
          </cell>
          <cell r="AG124">
            <v>2.7349999999999999</v>
          </cell>
          <cell r="AH124">
            <v>1.9550000000000001</v>
          </cell>
          <cell r="AI124">
            <v>2.835</v>
          </cell>
          <cell r="AJ124">
            <v>2.6103000000000001</v>
          </cell>
          <cell r="AK124">
            <v>2.7492999999999999</v>
          </cell>
          <cell r="AL124">
            <v>2.5758999999999999</v>
          </cell>
          <cell r="AM124">
            <v>2.7993000000000001</v>
          </cell>
          <cell r="AN124">
            <v>2.5840999999999998</v>
          </cell>
          <cell r="AO124">
            <v>2.4781120777213519</v>
          </cell>
          <cell r="AP124">
            <v>2.5203915342242178</v>
          </cell>
          <cell r="AQ124">
            <v>2.5104143677341773</v>
          </cell>
          <cell r="AR124">
            <v>2.5492092430888507</v>
          </cell>
          <cell r="AS124">
            <v>2.9267446239325037</v>
          </cell>
          <cell r="AT124">
            <v>2.5297413874372374</v>
          </cell>
          <cell r="AU124">
            <v>2.5244781632653064</v>
          </cell>
          <cell r="AV124">
            <v>2.5960000000000001</v>
          </cell>
          <cell r="AW124">
            <v>2.2820329113924052</v>
          </cell>
          <cell r="AX124">
            <v>2.3761000000000001</v>
          </cell>
          <cell r="AZ124">
            <v>28</v>
          </cell>
          <cell r="BA124">
            <v>28</v>
          </cell>
          <cell r="BC124">
            <v>2017</v>
          </cell>
        </row>
        <row r="125">
          <cell r="D125">
            <v>42979</v>
          </cell>
          <cell r="E125">
            <v>28.0975</v>
          </cell>
          <cell r="F125">
            <v>26</v>
          </cell>
          <cell r="G125">
            <v>26.75</v>
          </cell>
          <cell r="H125">
            <v>30.305599999999998</v>
          </cell>
          <cell r="J125">
            <v>29</v>
          </cell>
          <cell r="K125">
            <v>30</v>
          </cell>
          <cell r="L125">
            <v>29</v>
          </cell>
          <cell r="M125">
            <v>25.057500000000001</v>
          </cell>
          <cell r="N125">
            <v>24.19</v>
          </cell>
          <cell r="O125">
            <v>23.372499999999999</v>
          </cell>
          <cell r="P125">
            <v>26.303799999999999</v>
          </cell>
          <cell r="R125">
            <v>22.69</v>
          </cell>
          <cell r="S125">
            <v>22.69</v>
          </cell>
          <cell r="T125">
            <v>25.19</v>
          </cell>
          <cell r="U125">
            <v>26.746388888888891</v>
          </cell>
          <cell r="V125">
            <v>25.195555555555558</v>
          </cell>
          <cell r="W125">
            <v>25.248888888888889</v>
          </cell>
          <cell r="Z125">
            <v>26.195555555555554</v>
          </cell>
          <cell r="AC125">
            <v>2.4830000000000001</v>
          </cell>
          <cell r="AD125">
            <v>2.2530000000000001</v>
          </cell>
          <cell r="AE125">
            <v>2.5840000000000001</v>
          </cell>
          <cell r="AF125">
            <v>2.5529999999999999</v>
          </cell>
          <cell r="AG125">
            <v>2.7280000000000002</v>
          </cell>
          <cell r="AH125">
            <v>1.9730000000000001</v>
          </cell>
          <cell r="AI125">
            <v>2.673</v>
          </cell>
          <cell r="AJ125">
            <v>2.5979000000000001</v>
          </cell>
          <cell r="AK125">
            <v>2.7368000000000001</v>
          </cell>
          <cell r="AL125">
            <v>2.5636999999999999</v>
          </cell>
          <cell r="AM125">
            <v>2.7867999999999999</v>
          </cell>
          <cell r="AN125">
            <v>2.5718999999999999</v>
          </cell>
          <cell r="AO125">
            <v>2.4660684798972285</v>
          </cell>
          <cell r="AP125">
            <v>2.508150383556055</v>
          </cell>
          <cell r="AQ125">
            <v>2.5276989980506328</v>
          </cell>
          <cell r="AR125">
            <v>2.5369680924206879</v>
          </cell>
          <cell r="AS125">
            <v>2.8758134581747097</v>
          </cell>
          <cell r="AT125">
            <v>2.5174450455989348</v>
          </cell>
          <cell r="AU125">
            <v>2.5122332653061226</v>
          </cell>
          <cell r="AV125">
            <v>2.5990000000000002</v>
          </cell>
          <cell r="AW125">
            <v>2.3129189873417721</v>
          </cell>
          <cell r="AX125">
            <v>2.4085000000000001</v>
          </cell>
          <cell r="AZ125">
            <v>29</v>
          </cell>
          <cell r="BA125">
            <v>29</v>
          </cell>
          <cell r="BC125">
            <v>2017</v>
          </cell>
        </row>
        <row r="126">
          <cell r="D126">
            <v>43009</v>
          </cell>
          <cell r="E126">
            <v>26.364999999999998</v>
          </cell>
          <cell r="F126">
            <v>27.795000000000002</v>
          </cell>
          <cell r="G126">
            <v>24.987500000000001</v>
          </cell>
          <cell r="H126">
            <v>28.863399999999999</v>
          </cell>
          <cell r="J126">
            <v>27.295000000000002</v>
          </cell>
          <cell r="K126">
            <v>27.795000000000002</v>
          </cell>
          <cell r="L126">
            <v>29.795000000000002</v>
          </cell>
          <cell r="M126">
            <v>23.33</v>
          </cell>
          <cell r="N126">
            <v>23.74</v>
          </cell>
          <cell r="O126">
            <v>20.925000000000001</v>
          </cell>
          <cell r="P126">
            <v>25.315300000000001</v>
          </cell>
          <cell r="R126">
            <v>22.74</v>
          </cell>
          <cell r="S126">
            <v>22.24</v>
          </cell>
          <cell r="T126">
            <v>25.49</v>
          </cell>
          <cell r="U126">
            <v>25.026989247311825</v>
          </cell>
          <cell r="V126">
            <v>26.00731182795699</v>
          </cell>
          <cell r="W126">
            <v>23.196505376344088</v>
          </cell>
          <cell r="Z126">
            <v>25.286881720430106</v>
          </cell>
          <cell r="AC126">
            <v>2.5095000000000001</v>
          </cell>
          <cell r="AD126">
            <v>2.4095</v>
          </cell>
          <cell r="AE126">
            <v>2.5929000000000002</v>
          </cell>
          <cell r="AF126">
            <v>2.532</v>
          </cell>
          <cell r="AG126">
            <v>2.7519999999999998</v>
          </cell>
          <cell r="AH126">
            <v>2.0695000000000001</v>
          </cell>
          <cell r="AI126">
            <v>2.6745000000000001</v>
          </cell>
          <cell r="AJ126">
            <v>2.6252</v>
          </cell>
          <cell r="AK126">
            <v>2.7643</v>
          </cell>
          <cell r="AL126">
            <v>2.5905999999999998</v>
          </cell>
          <cell r="AM126">
            <v>2.8142999999999998</v>
          </cell>
          <cell r="AN126">
            <v>2.5990000000000002</v>
          </cell>
          <cell r="AO126">
            <v>2.4926647584255006</v>
          </cell>
          <cell r="AP126">
            <v>2.5351829246149142</v>
          </cell>
          <cell r="AQ126">
            <v>2.6130386354936705</v>
          </cell>
          <cell r="AR126">
            <v>2.5640006334795475</v>
          </cell>
          <cell r="AS126">
            <v>2.8542062969441302</v>
          </cell>
          <cell r="AT126">
            <v>2.5445994671585206</v>
          </cell>
          <cell r="AU126">
            <v>2.5392740816326533</v>
          </cell>
          <cell r="AV126">
            <v>2.6078999999999999</v>
          </cell>
          <cell r="AW126">
            <v>2.4713999999999996</v>
          </cell>
          <cell r="AX126">
            <v>2.5748000000000002</v>
          </cell>
          <cell r="AZ126">
            <v>30</v>
          </cell>
          <cell r="BA126">
            <v>30</v>
          </cell>
          <cell r="BC126">
            <v>2017</v>
          </cell>
        </row>
        <row r="127">
          <cell r="D127">
            <v>43040</v>
          </cell>
          <cell r="E127">
            <v>29.594999999999999</v>
          </cell>
          <cell r="F127">
            <v>26.432500000000001</v>
          </cell>
          <cell r="G127">
            <v>26.977499999999999</v>
          </cell>
          <cell r="H127">
            <v>31.303799999999999</v>
          </cell>
          <cell r="J127">
            <v>25.932500000000001</v>
          </cell>
          <cell r="K127">
            <v>24.932500000000001</v>
          </cell>
          <cell r="L127">
            <v>28.6325</v>
          </cell>
          <cell r="M127">
            <v>24.745000000000001</v>
          </cell>
          <cell r="N127">
            <v>24.055</v>
          </cell>
          <cell r="O127">
            <v>24.18</v>
          </cell>
          <cell r="P127">
            <v>26.310199999999998</v>
          </cell>
          <cell r="R127">
            <v>23.555</v>
          </cell>
          <cell r="S127">
            <v>22.555</v>
          </cell>
          <cell r="T127">
            <v>25.805</v>
          </cell>
          <cell r="U127">
            <v>27.435707350901524</v>
          </cell>
          <cell r="V127">
            <v>25.374001386962554</v>
          </cell>
          <cell r="W127">
            <v>25.732011095700415</v>
          </cell>
          <cell r="Z127">
            <v>24.874001386962554</v>
          </cell>
          <cell r="AC127">
            <v>2.7555000000000001</v>
          </cell>
          <cell r="AD127">
            <v>2.9104999999999999</v>
          </cell>
          <cell r="AE127">
            <v>2.8271999999999999</v>
          </cell>
          <cell r="AF127">
            <v>2.8029999999999999</v>
          </cell>
          <cell r="AG127">
            <v>2.823</v>
          </cell>
          <cell r="AH127">
            <v>2.198</v>
          </cell>
          <cell r="AI127">
            <v>2.9780000000000002</v>
          </cell>
          <cell r="AJ127">
            <v>2.8795000000000002</v>
          </cell>
          <cell r="AK127">
            <v>3.0190999999999999</v>
          </cell>
          <cell r="AL127">
            <v>2.8401000000000001</v>
          </cell>
          <cell r="AM127">
            <v>3.0691000000000002</v>
          </cell>
          <cell r="AN127">
            <v>2.8506999999999998</v>
          </cell>
          <cell r="AO127">
            <v>2.7395585138200289</v>
          </cell>
          <cell r="AP127">
            <v>2.7861265133122517</v>
          </cell>
          <cell r="AQ127">
            <v>2.9924233719620248</v>
          </cell>
          <cell r="AR127">
            <v>2.814944222176885</v>
          </cell>
          <cell r="AS127">
            <v>3.1330415680625578</v>
          </cell>
          <cell r="AT127">
            <v>2.7992362127267141</v>
          </cell>
          <cell r="AU127">
            <v>2.7902944897959188</v>
          </cell>
          <cell r="AV127">
            <v>2.8422000000000001</v>
          </cell>
          <cell r="AW127">
            <v>2.9787417721518983</v>
          </cell>
          <cell r="AX127">
            <v>3.1284999999999998</v>
          </cell>
          <cell r="AZ127">
            <v>31</v>
          </cell>
          <cell r="BA127">
            <v>31</v>
          </cell>
          <cell r="BC127">
            <v>2017</v>
          </cell>
        </row>
        <row r="128">
          <cell r="D128">
            <v>43070</v>
          </cell>
          <cell r="E128">
            <v>32.94</v>
          </cell>
          <cell r="F128">
            <v>27.522500000000001</v>
          </cell>
          <cell r="G128">
            <v>28.885000000000002</v>
          </cell>
          <cell r="H128">
            <v>33.801600000000001</v>
          </cell>
          <cell r="J128">
            <v>27.022500000000001</v>
          </cell>
          <cell r="K128">
            <v>26.772500000000001</v>
          </cell>
          <cell r="L128">
            <v>30.272500000000001</v>
          </cell>
          <cell r="M128">
            <v>26.765000000000001</v>
          </cell>
          <cell r="N128">
            <v>25.245000000000001</v>
          </cell>
          <cell r="O128">
            <v>24.645</v>
          </cell>
          <cell r="P128">
            <v>28.900700000000001</v>
          </cell>
          <cell r="R128">
            <v>24.745000000000001</v>
          </cell>
          <cell r="S128">
            <v>24.245000000000001</v>
          </cell>
          <cell r="T128">
            <v>26.995000000000001</v>
          </cell>
          <cell r="U128">
            <v>30.084892473118281</v>
          </cell>
          <cell r="V128">
            <v>26.469462365591401</v>
          </cell>
          <cell r="W128">
            <v>26.924569892473119</v>
          </cell>
          <cell r="Z128">
            <v>25.969462365591397</v>
          </cell>
          <cell r="AC128">
            <v>2.9834999999999998</v>
          </cell>
          <cell r="AD128">
            <v>3.226</v>
          </cell>
          <cell r="AE128">
            <v>2.9841000000000002</v>
          </cell>
          <cell r="AF128">
            <v>2.9359999999999999</v>
          </cell>
          <cell r="AG128">
            <v>2.9710000000000001</v>
          </cell>
          <cell r="AH128">
            <v>2.3085</v>
          </cell>
          <cell r="AI128">
            <v>3.181</v>
          </cell>
          <cell r="AJ128">
            <v>3.1151</v>
          </cell>
          <cell r="AK128">
            <v>3.2551999999999999</v>
          </cell>
          <cell r="AL128">
            <v>3.0712999999999999</v>
          </cell>
          <cell r="AM128">
            <v>3.3052000000000001</v>
          </cell>
          <cell r="AN128">
            <v>3.0840000000000001</v>
          </cell>
          <cell r="AO128">
            <v>2.968386872478372</v>
          </cell>
          <cell r="AP128">
            <v>3.018708376007345</v>
          </cell>
          <cell r="AQ128">
            <v>3.2361624573797467</v>
          </cell>
          <cell r="AR128">
            <v>3.0475260848719783</v>
          </cell>
          <cell r="AS128">
            <v>3.2698869225228937</v>
          </cell>
          <cell r="AT128">
            <v>2.9918789015267957</v>
          </cell>
          <cell r="AU128">
            <v>3.0229475510204082</v>
          </cell>
          <cell r="AV128">
            <v>2.9990999999999999</v>
          </cell>
          <cell r="AW128">
            <v>3.2982354430379743</v>
          </cell>
          <cell r="AX128">
            <v>3.4636999999999998</v>
          </cell>
          <cell r="AZ128">
            <v>32</v>
          </cell>
          <cell r="BA128">
            <v>32</v>
          </cell>
          <cell r="BC128">
            <v>2017</v>
          </cell>
        </row>
        <row r="129">
          <cell r="D129">
            <v>43101</v>
          </cell>
          <cell r="E129">
            <v>30.04</v>
          </cell>
          <cell r="F129">
            <v>28.65</v>
          </cell>
          <cell r="G129">
            <v>28.262499999999999</v>
          </cell>
          <cell r="H129">
            <v>32.0535</v>
          </cell>
          <cell r="J129">
            <v>28.15</v>
          </cell>
          <cell r="K129">
            <v>28.15</v>
          </cell>
          <cell r="L129">
            <v>30.9</v>
          </cell>
          <cell r="M129">
            <v>27.335000000000001</v>
          </cell>
          <cell r="N129">
            <v>26.27</v>
          </cell>
          <cell r="O129">
            <v>25.71</v>
          </cell>
          <cell r="P129">
            <v>28.212</v>
          </cell>
          <cell r="R129">
            <v>25.77</v>
          </cell>
          <cell r="S129">
            <v>25.77</v>
          </cell>
          <cell r="T129">
            <v>28.3</v>
          </cell>
          <cell r="U129">
            <v>28.847473118279567</v>
          </cell>
          <cell r="V129">
            <v>27.60075268817204</v>
          </cell>
          <cell r="W129">
            <v>27.137204301075265</v>
          </cell>
          <cell r="Z129">
            <v>27.10075268817204</v>
          </cell>
          <cell r="AC129">
            <v>3.0485000000000002</v>
          </cell>
          <cell r="AD129">
            <v>3.1135000000000002</v>
          </cell>
          <cell r="AE129">
            <v>3.0634999999999999</v>
          </cell>
          <cell r="AF129">
            <v>3.0459999999999998</v>
          </cell>
          <cell r="AG129">
            <v>3.0710000000000002</v>
          </cell>
          <cell r="AH129">
            <v>2.3835000000000002</v>
          </cell>
          <cell r="AI129">
            <v>3.2484999999999999</v>
          </cell>
          <cell r="AJ129">
            <v>3.1825999999999999</v>
          </cell>
          <cell r="AK129">
            <v>3.3123</v>
          </cell>
          <cell r="AL129">
            <v>3.1373000000000002</v>
          </cell>
          <cell r="AM129">
            <v>3.3622999999999998</v>
          </cell>
          <cell r="AN129">
            <v>3.1507000000000001</v>
          </cell>
          <cell r="AO129">
            <v>3.0235866958389375</v>
          </cell>
          <cell r="AP129">
            <v>3.0748136499030916</v>
          </cell>
          <cell r="AQ129">
            <v>3.2190842107088606</v>
          </cell>
          <cell r="AR129">
            <v>3.1138323176578604</v>
          </cell>
          <cell r="AS129">
            <v>3.3830672908735466</v>
          </cell>
          <cell r="AT129">
            <v>3.1455831745055849</v>
          </cell>
          <cell r="AU129">
            <v>3.0790700000000002</v>
          </cell>
          <cell r="AV129">
            <v>3.0785</v>
          </cell>
          <cell r="AW129">
            <v>3.1843113924050632</v>
          </cell>
          <cell r="AX129">
            <v>3.3441999999999998</v>
          </cell>
          <cell r="AZ129">
            <v>33</v>
          </cell>
          <cell r="BA129">
            <v>33</v>
          </cell>
          <cell r="BC129">
            <v>2018</v>
          </cell>
        </row>
        <row r="130">
          <cell r="D130">
            <v>43132</v>
          </cell>
          <cell r="E130">
            <v>29.47</v>
          </cell>
          <cell r="F130">
            <v>28.274999999999999</v>
          </cell>
          <cell r="G130">
            <v>27.504999999999999</v>
          </cell>
          <cell r="H130">
            <v>31.445499999999999</v>
          </cell>
          <cell r="J130">
            <v>28.274999999999999</v>
          </cell>
          <cell r="K130">
            <v>27.274999999999999</v>
          </cell>
          <cell r="L130">
            <v>30.524999999999999</v>
          </cell>
          <cell r="M130">
            <v>25.85</v>
          </cell>
          <cell r="N130">
            <v>25.7425</v>
          </cell>
          <cell r="O130">
            <v>23.592500000000001</v>
          </cell>
          <cell r="P130">
            <v>27.0562</v>
          </cell>
          <cell r="R130">
            <v>25.2425</v>
          </cell>
          <cell r="S130">
            <v>24.4925</v>
          </cell>
          <cell r="T130">
            <v>27.5825</v>
          </cell>
          <cell r="U130">
            <v>27.918571428571429</v>
          </cell>
          <cell r="V130">
            <v>27.189642857142854</v>
          </cell>
          <cell r="W130">
            <v>25.828214285714285</v>
          </cell>
          <cell r="Z130">
            <v>26.975357142857142</v>
          </cell>
          <cell r="AC130">
            <v>3.0259999999999998</v>
          </cell>
          <cell r="AD130">
            <v>3.0059999999999998</v>
          </cell>
          <cell r="AE130">
            <v>3.0510999999999999</v>
          </cell>
          <cell r="AF130">
            <v>3.0285000000000002</v>
          </cell>
          <cell r="AG130">
            <v>3.056</v>
          </cell>
          <cell r="AH130">
            <v>2.3660000000000001</v>
          </cell>
          <cell r="AI130">
            <v>3.2160000000000002</v>
          </cell>
          <cell r="AJ130">
            <v>3.1593</v>
          </cell>
          <cell r="AK130">
            <v>3.2890000000000001</v>
          </cell>
          <cell r="AL130">
            <v>3.1145</v>
          </cell>
          <cell r="AM130">
            <v>3.339</v>
          </cell>
          <cell r="AN130">
            <v>3.1276000000000002</v>
          </cell>
          <cell r="AO130">
            <v>3.0010049499187064</v>
          </cell>
          <cell r="AP130">
            <v>3.051861492400286</v>
          </cell>
          <cell r="AQ130">
            <v>3.1572207129493668</v>
          </cell>
          <cell r="AR130">
            <v>3.0908801601550548</v>
          </cell>
          <cell r="AS130">
            <v>3.3650613231813975</v>
          </cell>
          <cell r="AT130">
            <v>3.1430214366226048</v>
          </cell>
          <cell r="AU130">
            <v>3.0561108163265307</v>
          </cell>
          <cell r="AV130">
            <v>3.0661</v>
          </cell>
          <cell r="AW130">
            <v>3.0754506329113918</v>
          </cell>
          <cell r="AX130">
            <v>3.2299000000000002</v>
          </cell>
          <cell r="AZ130">
            <v>34</v>
          </cell>
          <cell r="BA130">
            <v>34</v>
          </cell>
          <cell r="BC130">
            <v>2018</v>
          </cell>
        </row>
        <row r="131">
          <cell r="D131">
            <v>43160</v>
          </cell>
          <cell r="E131">
            <v>27.19</v>
          </cell>
          <cell r="F131">
            <v>26.175000000000001</v>
          </cell>
          <cell r="G131">
            <v>25.232500000000002</v>
          </cell>
          <cell r="H131">
            <v>29.013500000000001</v>
          </cell>
          <cell r="J131">
            <v>26.175000000000001</v>
          </cell>
          <cell r="K131">
            <v>25.175000000000001</v>
          </cell>
          <cell r="L131">
            <v>28.425000000000001</v>
          </cell>
          <cell r="M131">
            <v>24.625</v>
          </cell>
          <cell r="N131">
            <v>24.287500000000001</v>
          </cell>
          <cell r="O131">
            <v>22.2575</v>
          </cell>
          <cell r="P131">
            <v>26.0305</v>
          </cell>
          <cell r="R131">
            <v>23.787500000000001</v>
          </cell>
          <cell r="S131">
            <v>22.787500000000001</v>
          </cell>
          <cell r="T131">
            <v>26.127500000000001</v>
          </cell>
          <cell r="U131">
            <v>26.116359353970395</v>
          </cell>
          <cell r="V131">
            <v>25.384942799461644</v>
          </cell>
          <cell r="W131">
            <v>23.987244279946161</v>
          </cell>
          <cell r="Z131">
            <v>25.175656123822343</v>
          </cell>
          <cell r="AC131">
            <v>2.956</v>
          </cell>
          <cell r="AD131">
            <v>2.9460000000000002</v>
          </cell>
          <cell r="AE131">
            <v>2.9914999999999998</v>
          </cell>
          <cell r="AF131">
            <v>2.9660000000000002</v>
          </cell>
          <cell r="AG131">
            <v>2.996</v>
          </cell>
          <cell r="AH131">
            <v>2.3035000000000001</v>
          </cell>
          <cell r="AI131">
            <v>3.1635</v>
          </cell>
          <cell r="AJ131">
            <v>3.0870000000000002</v>
          </cell>
          <cell r="AK131">
            <v>3.2164999999999999</v>
          </cell>
          <cell r="AL131">
            <v>3.0434999999999999</v>
          </cell>
          <cell r="AM131">
            <v>3.2665000000000002</v>
          </cell>
          <cell r="AN131">
            <v>3.056</v>
          </cell>
          <cell r="AO131">
            <v>2.9307506292779864</v>
          </cell>
          <cell r="AP131">
            <v>2.9804547801693362</v>
          </cell>
          <cell r="AQ131">
            <v>3.0955120029240502</v>
          </cell>
          <cell r="AR131">
            <v>3.0194734479241054</v>
          </cell>
          <cell r="AS131">
            <v>3.3007542957094356</v>
          </cell>
          <cell r="AT131">
            <v>2.8766006967927042</v>
          </cell>
          <cell r="AU131">
            <v>2.9846822448979591</v>
          </cell>
          <cell r="AV131">
            <v>3.0065</v>
          </cell>
          <cell r="AW131">
            <v>3.0146911392405062</v>
          </cell>
          <cell r="AX131">
            <v>3.1661999999999999</v>
          </cell>
          <cell r="AZ131">
            <v>35</v>
          </cell>
          <cell r="BA131">
            <v>35</v>
          </cell>
          <cell r="BC131">
            <v>2018</v>
          </cell>
        </row>
        <row r="132">
          <cell r="D132">
            <v>43191</v>
          </cell>
          <cell r="E132">
            <v>24.33</v>
          </cell>
          <cell r="F132">
            <v>21.565000000000001</v>
          </cell>
          <cell r="G132">
            <v>22.45</v>
          </cell>
          <cell r="H132">
            <v>23.806100000000001</v>
          </cell>
          <cell r="J132">
            <v>20.065000000000001</v>
          </cell>
          <cell r="K132">
            <v>20.065000000000001</v>
          </cell>
          <cell r="L132">
            <v>26.515000000000001</v>
          </cell>
          <cell r="M132">
            <v>20.637499999999999</v>
          </cell>
          <cell r="N132">
            <v>17.28</v>
          </cell>
          <cell r="O132">
            <v>15.57</v>
          </cell>
          <cell r="P132">
            <v>22.063099999999999</v>
          </cell>
          <cell r="R132">
            <v>16.53</v>
          </cell>
          <cell r="S132">
            <v>16.28</v>
          </cell>
          <cell r="T132">
            <v>21.43</v>
          </cell>
          <cell r="U132">
            <v>22.688888888888886</v>
          </cell>
          <cell r="V132">
            <v>19.660555555555558</v>
          </cell>
          <cell r="W132">
            <v>19.39222222222222</v>
          </cell>
          <cell r="Z132">
            <v>18.49388888888889</v>
          </cell>
          <cell r="AC132">
            <v>2.5465</v>
          </cell>
          <cell r="AD132">
            <v>2.149</v>
          </cell>
          <cell r="AE132">
            <v>2.5030999999999999</v>
          </cell>
          <cell r="AF132">
            <v>2.569</v>
          </cell>
          <cell r="AG132">
            <v>2.7189999999999999</v>
          </cell>
          <cell r="AH132">
            <v>2.109</v>
          </cell>
          <cell r="AI132">
            <v>2.6589999999999998</v>
          </cell>
          <cell r="AJ132">
            <v>2.6637</v>
          </cell>
          <cell r="AK132">
            <v>2.7925</v>
          </cell>
          <cell r="AL132">
            <v>2.6282000000000001</v>
          </cell>
          <cell r="AM132">
            <v>2.8424999999999998</v>
          </cell>
          <cell r="AN132">
            <v>2.637</v>
          </cell>
          <cell r="AO132">
            <v>2.519762853529778</v>
          </cell>
          <cell r="AP132">
            <v>2.5627255136182803</v>
          </cell>
          <cell r="AQ132">
            <v>2.4322981578860761</v>
          </cell>
          <cell r="AR132">
            <v>2.6017441813730495</v>
          </cell>
          <cell r="AS132">
            <v>2.8922760572075319</v>
          </cell>
          <cell r="AT132">
            <v>2.4416176042627318</v>
          </cell>
          <cell r="AU132">
            <v>2.5668251020408164</v>
          </cell>
          <cell r="AV132">
            <v>2.5181</v>
          </cell>
          <cell r="AW132">
            <v>2.2076025316455694</v>
          </cell>
          <cell r="AX132">
            <v>2.298</v>
          </cell>
          <cell r="AZ132">
            <v>36</v>
          </cell>
          <cell r="BA132">
            <v>36</v>
          </cell>
          <cell r="BC132">
            <v>2018</v>
          </cell>
        </row>
        <row r="133">
          <cell r="D133">
            <v>43221</v>
          </cell>
          <cell r="E133">
            <v>21.25</v>
          </cell>
          <cell r="F133">
            <v>22.232500000000002</v>
          </cell>
          <cell r="G133">
            <v>17.41</v>
          </cell>
          <cell r="H133">
            <v>22.501200000000001</v>
          </cell>
          <cell r="J133">
            <v>22.232500000000002</v>
          </cell>
          <cell r="K133">
            <v>22.232500000000002</v>
          </cell>
          <cell r="L133">
            <v>27.182500000000001</v>
          </cell>
          <cell r="M133">
            <v>14.3375</v>
          </cell>
          <cell r="N133">
            <v>17.09</v>
          </cell>
          <cell r="O133">
            <v>12.33</v>
          </cell>
          <cell r="P133">
            <v>16.793399999999998</v>
          </cell>
          <cell r="R133">
            <v>17.09</v>
          </cell>
          <cell r="S133">
            <v>16.59</v>
          </cell>
          <cell r="T133">
            <v>20.99</v>
          </cell>
          <cell r="U133">
            <v>18.202553763440861</v>
          </cell>
          <cell r="V133">
            <v>19.965376344086021</v>
          </cell>
          <cell r="W133">
            <v>15.170430107526881</v>
          </cell>
          <cell r="Z133">
            <v>19.965376344086021</v>
          </cell>
          <cell r="AC133">
            <v>2.4744999999999999</v>
          </cell>
          <cell r="AD133">
            <v>2.0920000000000001</v>
          </cell>
          <cell r="AE133">
            <v>2.5059999999999998</v>
          </cell>
          <cell r="AF133">
            <v>2.5569999999999999</v>
          </cell>
          <cell r="AG133">
            <v>2.7170000000000001</v>
          </cell>
          <cell r="AH133">
            <v>2.0445000000000002</v>
          </cell>
          <cell r="AI133">
            <v>2.6745000000000001</v>
          </cell>
          <cell r="AJ133">
            <v>2.5893000000000002</v>
          </cell>
          <cell r="AK133">
            <v>2.7179000000000002</v>
          </cell>
          <cell r="AL133">
            <v>2.5552000000000001</v>
          </cell>
          <cell r="AM133">
            <v>2.7679</v>
          </cell>
          <cell r="AN133">
            <v>2.5632999999999999</v>
          </cell>
          <cell r="AO133">
            <v>2.447501266585038</v>
          </cell>
          <cell r="AP133">
            <v>2.4892786096093036</v>
          </cell>
          <cell r="AQ133">
            <v>2.4043847698227845</v>
          </cell>
          <cell r="AR133">
            <v>2.5282972773640724</v>
          </cell>
          <cell r="AS133">
            <v>2.8799291079329152</v>
          </cell>
          <cell r="AT133">
            <v>2.4805560200840251</v>
          </cell>
          <cell r="AU133">
            <v>2.4933557142857143</v>
          </cell>
          <cell r="AV133">
            <v>2.5209999999999999</v>
          </cell>
          <cell r="AW133">
            <v>2.1498810126582275</v>
          </cell>
          <cell r="AX133">
            <v>2.2374999999999998</v>
          </cell>
          <cell r="AZ133">
            <v>37</v>
          </cell>
          <cell r="BA133">
            <v>37</v>
          </cell>
          <cell r="BC133">
            <v>2018</v>
          </cell>
        </row>
        <row r="134">
          <cell r="D134">
            <v>43252</v>
          </cell>
          <cell r="E134">
            <v>21.47</v>
          </cell>
          <cell r="F134">
            <v>24.68</v>
          </cell>
          <cell r="G134">
            <v>16.690000000000001</v>
          </cell>
          <cell r="H134">
            <v>23.199000000000002</v>
          </cell>
          <cell r="J134">
            <v>23.93</v>
          </cell>
          <cell r="K134">
            <v>24.68</v>
          </cell>
          <cell r="L134">
            <v>30.13</v>
          </cell>
          <cell r="M134">
            <v>15.125</v>
          </cell>
          <cell r="N134">
            <v>18.04</v>
          </cell>
          <cell r="O134">
            <v>10.53</v>
          </cell>
          <cell r="P134">
            <v>17.187200000000001</v>
          </cell>
          <cell r="R134">
            <v>17.54</v>
          </cell>
          <cell r="S134">
            <v>17.54</v>
          </cell>
          <cell r="T134">
            <v>22.44</v>
          </cell>
          <cell r="U134">
            <v>18.791</v>
          </cell>
          <cell r="V134">
            <v>21.876444444444441</v>
          </cell>
          <cell r="W134">
            <v>14.08911111111111</v>
          </cell>
          <cell r="Z134">
            <v>21.231999999999999</v>
          </cell>
          <cell r="AC134">
            <v>2.5095000000000001</v>
          </cell>
          <cell r="AD134">
            <v>2.0870000000000002</v>
          </cell>
          <cell r="AE134">
            <v>2.5457999999999998</v>
          </cell>
          <cell r="AF134">
            <v>2.597</v>
          </cell>
          <cell r="AG134">
            <v>2.7519999999999998</v>
          </cell>
          <cell r="AH134">
            <v>2.0495000000000001</v>
          </cell>
          <cell r="AI134">
            <v>2.7294999999999998</v>
          </cell>
          <cell r="AJ134">
            <v>2.6255000000000002</v>
          </cell>
          <cell r="AK134">
            <v>2.7541000000000002</v>
          </cell>
          <cell r="AL134">
            <v>2.5907</v>
          </cell>
          <cell r="AM134">
            <v>2.8041</v>
          </cell>
          <cell r="AN134">
            <v>2.5991</v>
          </cell>
          <cell r="AO134">
            <v>2.4826284269053978</v>
          </cell>
          <cell r="AP134">
            <v>2.5249819657247783</v>
          </cell>
          <cell r="AQ134">
            <v>2.422340146987342</v>
          </cell>
          <cell r="AR134">
            <v>2.5640006334795475</v>
          </cell>
          <cell r="AS134">
            <v>2.9210856055149708</v>
          </cell>
          <cell r="AT134">
            <v>2.5036116610308436</v>
          </cell>
          <cell r="AU134">
            <v>2.5290699999999999</v>
          </cell>
          <cell r="AV134">
            <v>2.5608</v>
          </cell>
          <cell r="AW134">
            <v>2.1448177215189874</v>
          </cell>
          <cell r="AX134">
            <v>2.2321</v>
          </cell>
          <cell r="AZ134">
            <v>38</v>
          </cell>
          <cell r="BA134">
            <v>38</v>
          </cell>
          <cell r="BC134">
            <v>2018</v>
          </cell>
        </row>
        <row r="135">
          <cell r="D135">
            <v>43282</v>
          </cell>
          <cell r="E135">
            <v>29.5425</v>
          </cell>
          <cell r="F135">
            <v>34.270000000000003</v>
          </cell>
          <cell r="G135">
            <v>26.35</v>
          </cell>
          <cell r="H135">
            <v>31.842700000000001</v>
          </cell>
          <cell r="J135">
            <v>39.270000000000003</v>
          </cell>
          <cell r="K135">
            <v>39.770000000000003</v>
          </cell>
          <cell r="L135">
            <v>38.520000000000003</v>
          </cell>
          <cell r="M135">
            <v>16.6675</v>
          </cell>
          <cell r="N135">
            <v>24.375</v>
          </cell>
          <cell r="O135">
            <v>15.1775</v>
          </cell>
          <cell r="P135">
            <v>22.289200000000001</v>
          </cell>
          <cell r="R135">
            <v>25.375</v>
          </cell>
          <cell r="S135">
            <v>25.375</v>
          </cell>
          <cell r="T135">
            <v>24.975000000000001</v>
          </cell>
          <cell r="U135">
            <v>23.589543010752692</v>
          </cell>
          <cell r="V135">
            <v>29.69489247311828</v>
          </cell>
          <cell r="W135">
            <v>21.18422043010753</v>
          </cell>
          <cell r="Z135">
            <v>32.845430107526887</v>
          </cell>
          <cell r="AC135">
            <v>2.57</v>
          </cell>
          <cell r="AD135">
            <v>2.3374999999999999</v>
          </cell>
          <cell r="AE135">
            <v>2.6356000000000002</v>
          </cell>
          <cell r="AF135">
            <v>2.6575000000000002</v>
          </cell>
          <cell r="AG135">
            <v>2.79</v>
          </cell>
          <cell r="AH135">
            <v>2.0775000000000001</v>
          </cell>
          <cell r="AI135">
            <v>2.9874999999999998</v>
          </cell>
          <cell r="AJ135">
            <v>2.6880000000000002</v>
          </cell>
          <cell r="AK135">
            <v>2.8168000000000002</v>
          </cell>
          <cell r="AL135">
            <v>2.6520999999999999</v>
          </cell>
          <cell r="AM135">
            <v>2.8668</v>
          </cell>
          <cell r="AN135">
            <v>2.661</v>
          </cell>
          <cell r="AO135">
            <v>2.5433482326020198</v>
          </cell>
          <cell r="AP135">
            <v>2.5866977670100995</v>
          </cell>
          <cell r="AQ135">
            <v>2.5979210334556964</v>
          </cell>
          <cell r="AR135">
            <v>2.6257164347648683</v>
          </cell>
          <cell r="AS135">
            <v>2.9833348081078306</v>
          </cell>
          <cell r="AT135">
            <v>2.5860996208627935</v>
          </cell>
          <cell r="AU135">
            <v>2.5908046938775513</v>
          </cell>
          <cell r="AV135">
            <v>2.6505999999999998</v>
          </cell>
          <cell r="AW135">
            <v>2.3984886075949365</v>
          </cell>
          <cell r="AX135">
            <v>2.4983</v>
          </cell>
          <cell r="AZ135">
            <v>39</v>
          </cell>
          <cell r="BA135">
            <v>39</v>
          </cell>
          <cell r="BC135">
            <v>2018</v>
          </cell>
        </row>
        <row r="136">
          <cell r="D136">
            <v>43313</v>
          </cell>
          <cell r="E136">
            <v>31.66</v>
          </cell>
          <cell r="F136">
            <v>33.67</v>
          </cell>
          <cell r="G136">
            <v>31.12</v>
          </cell>
          <cell r="H136">
            <v>33.065399999999997</v>
          </cell>
          <cell r="J136">
            <v>38.17</v>
          </cell>
          <cell r="K136">
            <v>39.17</v>
          </cell>
          <cell r="L136">
            <v>37.42</v>
          </cell>
          <cell r="M136">
            <v>23.875</v>
          </cell>
          <cell r="N136">
            <v>26.58</v>
          </cell>
          <cell r="O136">
            <v>19.95</v>
          </cell>
          <cell r="P136">
            <v>26.7195</v>
          </cell>
          <cell r="R136">
            <v>27.58</v>
          </cell>
          <cell r="S136">
            <v>27.58</v>
          </cell>
          <cell r="T136">
            <v>27.18</v>
          </cell>
          <cell r="U136">
            <v>28.395322580645164</v>
          </cell>
          <cell r="V136">
            <v>30.696774193548386</v>
          </cell>
          <cell r="W136">
            <v>26.435806451612901</v>
          </cell>
          <cell r="Z136">
            <v>33.729032258064514</v>
          </cell>
          <cell r="AC136">
            <v>2.5779999999999998</v>
          </cell>
          <cell r="AD136">
            <v>2.3355000000000001</v>
          </cell>
          <cell r="AE136">
            <v>2.6560000000000001</v>
          </cell>
          <cell r="AF136">
            <v>2.6905000000000001</v>
          </cell>
          <cell r="AG136">
            <v>2.798</v>
          </cell>
          <cell r="AH136">
            <v>2.0830000000000002</v>
          </cell>
          <cell r="AI136">
            <v>3.0030000000000001</v>
          </cell>
          <cell r="AJ136">
            <v>2.6962999999999999</v>
          </cell>
          <cell r="AK136">
            <v>2.8250999999999999</v>
          </cell>
          <cell r="AL136">
            <v>2.6602000000000001</v>
          </cell>
          <cell r="AM136">
            <v>2.8751000000000002</v>
          </cell>
          <cell r="AN136">
            <v>2.6692</v>
          </cell>
          <cell r="AO136">
            <v>2.5513772978181022</v>
          </cell>
          <cell r="AP136">
            <v>2.5948585341222081</v>
          </cell>
          <cell r="AQ136">
            <v>2.6074146811518988</v>
          </cell>
          <cell r="AR136">
            <v>2.6338772018769765</v>
          </cell>
          <cell r="AS136">
            <v>3.0172889186130263</v>
          </cell>
          <cell r="AT136">
            <v>2.5942971820883289</v>
          </cell>
          <cell r="AU136">
            <v>2.5989679591836738</v>
          </cell>
          <cell r="AV136">
            <v>2.6709999999999998</v>
          </cell>
          <cell r="AW136">
            <v>2.3964632911392405</v>
          </cell>
          <cell r="AX136">
            <v>2.4962</v>
          </cell>
          <cell r="AZ136">
            <v>40</v>
          </cell>
          <cell r="BA136">
            <v>40</v>
          </cell>
          <cell r="BC136">
            <v>2018</v>
          </cell>
        </row>
        <row r="137">
          <cell r="D137">
            <v>43344</v>
          </cell>
          <cell r="E137">
            <v>30.147500000000001</v>
          </cell>
          <cell r="F137">
            <v>29.47</v>
          </cell>
          <cell r="G137">
            <v>29.53</v>
          </cell>
          <cell r="H137">
            <v>30.998100000000001</v>
          </cell>
          <cell r="J137">
            <v>32.47</v>
          </cell>
          <cell r="K137">
            <v>33.47</v>
          </cell>
          <cell r="L137">
            <v>32.47</v>
          </cell>
          <cell r="M137">
            <v>24.107500000000002</v>
          </cell>
          <cell r="N137">
            <v>26.09</v>
          </cell>
          <cell r="O137">
            <v>24.7225</v>
          </cell>
          <cell r="P137">
            <v>26.422499999999999</v>
          </cell>
          <cell r="R137">
            <v>24.59</v>
          </cell>
          <cell r="S137">
            <v>24.59</v>
          </cell>
          <cell r="T137">
            <v>26.44</v>
          </cell>
          <cell r="U137">
            <v>27.328833333333336</v>
          </cell>
          <cell r="V137">
            <v>27.892666666666667</v>
          </cell>
          <cell r="W137">
            <v>27.2865</v>
          </cell>
          <cell r="Z137">
            <v>28.792666666666666</v>
          </cell>
          <cell r="AC137">
            <v>2.569</v>
          </cell>
          <cell r="AD137">
            <v>2.3765000000000001</v>
          </cell>
          <cell r="AE137">
            <v>2.6469999999999998</v>
          </cell>
          <cell r="AF137">
            <v>2.6640000000000001</v>
          </cell>
          <cell r="AG137">
            <v>2.7890000000000001</v>
          </cell>
          <cell r="AH137">
            <v>2.1139999999999999</v>
          </cell>
          <cell r="AI137">
            <v>2.794</v>
          </cell>
          <cell r="AJ137">
            <v>2.6869999999999998</v>
          </cell>
          <cell r="AK137">
            <v>2.8157999999999999</v>
          </cell>
          <cell r="AL137">
            <v>2.6509999999999998</v>
          </cell>
          <cell r="AM137">
            <v>2.8658000000000001</v>
          </cell>
          <cell r="AN137">
            <v>2.66</v>
          </cell>
          <cell r="AO137">
            <v>2.5423445994500091</v>
          </cell>
          <cell r="AP137">
            <v>2.5856776711210854</v>
          </cell>
          <cell r="AQ137">
            <v>2.6239253727974678</v>
          </cell>
          <cell r="AR137">
            <v>2.6246963388758546</v>
          </cell>
          <cell r="AS137">
            <v>2.9900227389649143</v>
          </cell>
          <cell r="AT137">
            <v>2.5799514499436418</v>
          </cell>
          <cell r="AU137">
            <v>2.5897842857142854</v>
          </cell>
          <cell r="AV137">
            <v>2.6619999999999999</v>
          </cell>
          <cell r="AW137">
            <v>2.4379822784810123</v>
          </cell>
          <cell r="AX137">
            <v>2.5398000000000001</v>
          </cell>
          <cell r="AZ137">
            <v>41</v>
          </cell>
          <cell r="BA137">
            <v>41</v>
          </cell>
          <cell r="BC137">
            <v>2018</v>
          </cell>
        </row>
        <row r="138">
          <cell r="D138">
            <v>43374</v>
          </cell>
          <cell r="E138">
            <v>29.815000000000001</v>
          </cell>
          <cell r="F138">
            <v>29.545000000000002</v>
          </cell>
          <cell r="G138">
            <v>28.887499999999999</v>
          </cell>
          <cell r="H138">
            <v>31.182200000000002</v>
          </cell>
          <cell r="J138">
            <v>29.045000000000002</v>
          </cell>
          <cell r="K138">
            <v>29.545000000000002</v>
          </cell>
          <cell r="L138">
            <v>31.545000000000002</v>
          </cell>
          <cell r="M138">
            <v>25.59</v>
          </cell>
          <cell r="N138">
            <v>26.5</v>
          </cell>
          <cell r="O138">
            <v>23.175000000000001</v>
          </cell>
          <cell r="P138">
            <v>27.276599999999998</v>
          </cell>
          <cell r="R138">
            <v>25.5</v>
          </cell>
          <cell r="S138">
            <v>25</v>
          </cell>
          <cell r="T138">
            <v>27.4</v>
          </cell>
          <cell r="U138">
            <v>28.043225806451613</v>
          </cell>
          <cell r="V138">
            <v>28.26806451612903</v>
          </cell>
          <cell r="W138">
            <v>26.491935483870968</v>
          </cell>
          <cell r="Z138">
            <v>27.558387096774194</v>
          </cell>
          <cell r="AC138">
            <v>2.589</v>
          </cell>
          <cell r="AD138">
            <v>2.419</v>
          </cell>
          <cell r="AE138">
            <v>2.6619000000000002</v>
          </cell>
          <cell r="AF138">
            <v>2.6615000000000002</v>
          </cell>
          <cell r="AG138">
            <v>2.8090000000000002</v>
          </cell>
          <cell r="AH138">
            <v>2.1315</v>
          </cell>
          <cell r="AI138">
            <v>2.7315</v>
          </cell>
          <cell r="AJ138">
            <v>2.7077</v>
          </cell>
          <cell r="AK138">
            <v>2.8365</v>
          </cell>
          <cell r="AL138">
            <v>2.6713</v>
          </cell>
          <cell r="AM138">
            <v>2.8864999999999998</v>
          </cell>
          <cell r="AN138">
            <v>2.6804999999999999</v>
          </cell>
          <cell r="AO138">
            <v>2.5624172624902148</v>
          </cell>
          <cell r="AP138">
            <v>2.6060795889013568</v>
          </cell>
          <cell r="AQ138">
            <v>2.6535414259367087</v>
          </cell>
          <cell r="AR138">
            <v>2.6450982566561261</v>
          </cell>
          <cell r="AS138">
            <v>2.9874504578660361</v>
          </cell>
          <cell r="AT138">
            <v>2.6030070908904603</v>
          </cell>
          <cell r="AU138">
            <v>2.6101924489795918</v>
          </cell>
          <cell r="AV138">
            <v>2.6768999999999998</v>
          </cell>
          <cell r="AW138">
            <v>2.4810202531645569</v>
          </cell>
          <cell r="AX138">
            <v>2.5849000000000002</v>
          </cell>
          <cell r="AZ138">
            <v>42</v>
          </cell>
          <cell r="BA138">
            <v>42</v>
          </cell>
          <cell r="BC138">
            <v>2018</v>
          </cell>
        </row>
        <row r="139">
          <cell r="D139">
            <v>43405</v>
          </cell>
          <cell r="E139">
            <v>31.645</v>
          </cell>
          <cell r="F139">
            <v>28.182500000000001</v>
          </cell>
          <cell r="G139">
            <v>29.977499999999999</v>
          </cell>
          <cell r="H139">
            <v>32.922499999999999</v>
          </cell>
          <cell r="J139">
            <v>27.682500000000001</v>
          </cell>
          <cell r="K139">
            <v>26.682500000000001</v>
          </cell>
          <cell r="L139">
            <v>30.182500000000001</v>
          </cell>
          <cell r="M139">
            <v>26.094999999999999</v>
          </cell>
          <cell r="N139">
            <v>26.004999999999999</v>
          </cell>
          <cell r="O139">
            <v>26.43</v>
          </cell>
          <cell r="P139">
            <v>27.816400000000002</v>
          </cell>
          <cell r="R139">
            <v>25.504999999999999</v>
          </cell>
          <cell r="S139">
            <v>24.504999999999999</v>
          </cell>
          <cell r="T139">
            <v>26.905000000000001</v>
          </cell>
          <cell r="U139">
            <v>29.174056865464635</v>
          </cell>
          <cell r="V139">
            <v>27.213044382801666</v>
          </cell>
          <cell r="W139">
            <v>28.398099861303745</v>
          </cell>
          <cell r="Z139">
            <v>26.713044382801666</v>
          </cell>
          <cell r="AC139">
            <v>2.879</v>
          </cell>
          <cell r="AD139">
            <v>3.0265</v>
          </cell>
          <cell r="AE139">
            <v>2.8976999999999999</v>
          </cell>
          <cell r="AF139">
            <v>2.8614999999999999</v>
          </cell>
          <cell r="AG139">
            <v>2.8839999999999999</v>
          </cell>
          <cell r="AH139">
            <v>2.3565</v>
          </cell>
          <cell r="AI139">
            <v>3.0565000000000002</v>
          </cell>
          <cell r="AJ139">
            <v>3.0074000000000001</v>
          </cell>
          <cell r="AK139">
            <v>3.1368</v>
          </cell>
          <cell r="AL139">
            <v>2.9653999999999998</v>
          </cell>
          <cell r="AM139">
            <v>3.1867999999999999</v>
          </cell>
          <cell r="AN139">
            <v>2.9771999999999998</v>
          </cell>
          <cell r="AO139">
            <v>2.8534708765731951</v>
          </cell>
          <cell r="AP139">
            <v>2.9019073967152913</v>
          </cell>
          <cell r="AQ139">
            <v>3.0886497467088603</v>
          </cell>
          <cell r="AR139">
            <v>2.9409260644700606</v>
          </cell>
          <cell r="AS139">
            <v>3.1932329457763147</v>
          </cell>
          <cell r="AT139">
            <v>2.8617426170714215</v>
          </cell>
          <cell r="AU139">
            <v>2.9061108163265303</v>
          </cell>
          <cell r="AV139">
            <v>2.9127000000000001</v>
          </cell>
          <cell r="AW139">
            <v>3.0962101265822781</v>
          </cell>
          <cell r="AX139">
            <v>3.2517</v>
          </cell>
          <cell r="AZ139">
            <v>43</v>
          </cell>
          <cell r="BA139">
            <v>43</v>
          </cell>
          <cell r="BC139">
            <v>2018</v>
          </cell>
        </row>
        <row r="140">
          <cell r="D140">
            <v>43435</v>
          </cell>
          <cell r="E140">
            <v>34.39</v>
          </cell>
          <cell r="F140">
            <v>29.272500000000001</v>
          </cell>
          <cell r="G140">
            <v>31.885000000000002</v>
          </cell>
          <cell r="H140">
            <v>35.1203</v>
          </cell>
          <cell r="J140">
            <v>28.772500000000001</v>
          </cell>
          <cell r="K140">
            <v>28.522500000000001</v>
          </cell>
          <cell r="L140">
            <v>31.272500000000001</v>
          </cell>
          <cell r="M140">
            <v>28.114999999999998</v>
          </cell>
          <cell r="N140">
            <v>26.995000000000001</v>
          </cell>
          <cell r="O140">
            <v>26.895</v>
          </cell>
          <cell r="P140">
            <v>30.407</v>
          </cell>
          <cell r="R140">
            <v>26.495000000000001</v>
          </cell>
          <cell r="S140">
            <v>25.995000000000001</v>
          </cell>
          <cell r="T140">
            <v>27.895</v>
          </cell>
          <cell r="U140">
            <v>31.488655913978491</v>
          </cell>
          <cell r="V140">
            <v>28.219462365591401</v>
          </cell>
          <cell r="W140">
            <v>29.577795698924731</v>
          </cell>
          <cell r="Z140">
            <v>27.719462365591397</v>
          </cell>
          <cell r="AC140">
            <v>3.0764999999999998</v>
          </cell>
          <cell r="AD140">
            <v>3.4115000000000002</v>
          </cell>
          <cell r="AE140">
            <v>3.0491000000000001</v>
          </cell>
          <cell r="AF140">
            <v>3.0165000000000002</v>
          </cell>
          <cell r="AG140">
            <v>3.024</v>
          </cell>
          <cell r="AH140">
            <v>2.4464999999999999</v>
          </cell>
          <cell r="AI140">
            <v>3.2490000000000001</v>
          </cell>
          <cell r="AJ140">
            <v>3.2115</v>
          </cell>
          <cell r="AK140">
            <v>3.3412999999999999</v>
          </cell>
          <cell r="AL140">
            <v>3.1657000000000002</v>
          </cell>
          <cell r="AM140">
            <v>3.3913000000000002</v>
          </cell>
          <cell r="AN140">
            <v>3.1793</v>
          </cell>
          <cell r="AO140">
            <v>3.0516884240952251</v>
          </cell>
          <cell r="AP140">
            <v>3.1033763347954713</v>
          </cell>
          <cell r="AQ140">
            <v>3.3654102154177217</v>
          </cell>
          <cell r="AR140">
            <v>3.1423950025502401</v>
          </cell>
          <cell r="AS140">
            <v>3.3527143739067808</v>
          </cell>
          <cell r="AT140">
            <v>3.0461877446459678</v>
          </cell>
          <cell r="AU140">
            <v>3.1076414285714287</v>
          </cell>
          <cell r="AV140">
            <v>3.0640999999999998</v>
          </cell>
          <cell r="AW140">
            <v>3.4860835443037974</v>
          </cell>
          <cell r="AX140">
            <v>3.6608000000000001</v>
          </cell>
          <cell r="AZ140">
            <v>44</v>
          </cell>
          <cell r="BA140">
            <v>44</v>
          </cell>
          <cell r="BC140">
            <v>2018</v>
          </cell>
        </row>
        <row r="141">
          <cell r="D141">
            <v>43466</v>
          </cell>
          <cell r="E141">
            <v>32.090000000000003</v>
          </cell>
          <cell r="F141">
            <v>29.7</v>
          </cell>
          <cell r="G141">
            <v>29.512499999999999</v>
          </cell>
          <cell r="H141">
            <v>33.387300000000003</v>
          </cell>
          <cell r="J141">
            <v>29.2</v>
          </cell>
          <cell r="K141">
            <v>29.2</v>
          </cell>
          <cell r="L141">
            <v>31.95</v>
          </cell>
          <cell r="M141">
            <v>28.524999999999999</v>
          </cell>
          <cell r="N141">
            <v>27.42</v>
          </cell>
          <cell r="O141">
            <v>25.94</v>
          </cell>
          <cell r="P141">
            <v>29.543199999999999</v>
          </cell>
          <cell r="R141">
            <v>26.92</v>
          </cell>
          <cell r="S141">
            <v>26.92</v>
          </cell>
          <cell r="T141">
            <v>29.42</v>
          </cell>
          <cell r="U141">
            <v>30.518333333333334</v>
          </cell>
          <cell r="V141">
            <v>28.69483870967742</v>
          </cell>
          <cell r="W141">
            <v>27.937526881720427</v>
          </cell>
          <cell r="Z141">
            <v>28.194838709677416</v>
          </cell>
          <cell r="AC141">
            <v>3.1164999999999998</v>
          </cell>
          <cell r="AD141">
            <v>3.2614999999999998</v>
          </cell>
          <cell r="AE141">
            <v>3.1236000000000002</v>
          </cell>
          <cell r="AF141">
            <v>3.1139999999999999</v>
          </cell>
          <cell r="AG141">
            <v>3.1240000000000001</v>
          </cell>
          <cell r="AH141">
            <v>2.5489999999999999</v>
          </cell>
          <cell r="AI141">
            <v>3.3740000000000001</v>
          </cell>
          <cell r="AJ141">
            <v>3.2528000000000001</v>
          </cell>
          <cell r="AK141">
            <v>3.3828</v>
          </cell>
          <cell r="AL141">
            <v>3.2063000000000001</v>
          </cell>
          <cell r="AM141">
            <v>3.4327999999999999</v>
          </cell>
          <cell r="AN141">
            <v>3.2202999999999999</v>
          </cell>
          <cell r="AO141">
            <v>3.0918337501756361</v>
          </cell>
          <cell r="AP141">
            <v>3.1441801703560142</v>
          </cell>
          <cell r="AQ141">
            <v>3.3264553023164556</v>
          </cell>
          <cell r="AR141">
            <v>3.1831988381107825</v>
          </cell>
          <cell r="AS141">
            <v>3.4530333367630415</v>
          </cell>
          <cell r="AT141">
            <v>3.1998920176247569</v>
          </cell>
          <cell r="AU141">
            <v>3.148457755102041</v>
          </cell>
          <cell r="AV141">
            <v>3.1385999999999998</v>
          </cell>
          <cell r="AW141">
            <v>3.3341848101265819</v>
          </cell>
          <cell r="AX141">
            <v>3.5013999999999998</v>
          </cell>
          <cell r="AZ141">
            <v>45</v>
          </cell>
          <cell r="BA141">
            <v>45</v>
          </cell>
          <cell r="BC141">
            <v>2019</v>
          </cell>
        </row>
        <row r="142">
          <cell r="D142">
            <v>43497</v>
          </cell>
          <cell r="E142">
            <v>31.52</v>
          </cell>
          <cell r="F142">
            <v>29.175000000000001</v>
          </cell>
          <cell r="G142">
            <v>28.754999999999999</v>
          </cell>
          <cell r="H142">
            <v>32.779200000000003</v>
          </cell>
          <cell r="J142">
            <v>29.175000000000001</v>
          </cell>
          <cell r="K142">
            <v>28.175000000000001</v>
          </cell>
          <cell r="L142">
            <v>31.425000000000001</v>
          </cell>
          <cell r="M142">
            <v>27.3</v>
          </cell>
          <cell r="N142">
            <v>26.692499999999999</v>
          </cell>
          <cell r="O142">
            <v>25.272500000000001</v>
          </cell>
          <cell r="P142">
            <v>28.517499999999998</v>
          </cell>
          <cell r="R142">
            <v>26.192499999999999</v>
          </cell>
          <cell r="S142">
            <v>25.442499999999999</v>
          </cell>
          <cell r="T142">
            <v>28.442499999999999</v>
          </cell>
          <cell r="U142">
            <v>29.711428571428574</v>
          </cell>
          <cell r="V142">
            <v>28.111071428571428</v>
          </cell>
          <cell r="W142">
            <v>27.262499999999999</v>
          </cell>
          <cell r="Z142">
            <v>27.896785714285713</v>
          </cell>
          <cell r="AC142">
            <v>3.1019999999999999</v>
          </cell>
          <cell r="AD142">
            <v>3.0545</v>
          </cell>
          <cell r="AE142">
            <v>3.1092</v>
          </cell>
          <cell r="AF142">
            <v>3.097</v>
          </cell>
          <cell r="AG142">
            <v>3.1070000000000002</v>
          </cell>
          <cell r="AH142">
            <v>2.532</v>
          </cell>
          <cell r="AI142">
            <v>3.3319999999999999</v>
          </cell>
          <cell r="AJ142">
            <v>3.2378999999999998</v>
          </cell>
          <cell r="AK142">
            <v>3.3677000000000001</v>
          </cell>
          <cell r="AL142">
            <v>3.1916000000000002</v>
          </cell>
          <cell r="AM142">
            <v>3.4177</v>
          </cell>
          <cell r="AN142">
            <v>3.2054</v>
          </cell>
          <cell r="AO142">
            <v>3.0772810694714874</v>
          </cell>
          <cell r="AP142">
            <v>3.1293887799653173</v>
          </cell>
          <cell r="AQ142">
            <v>3.2122219544936703</v>
          </cell>
          <cell r="AR142">
            <v>3.1684074477200861</v>
          </cell>
          <cell r="AS142">
            <v>3.435541825290668</v>
          </cell>
          <cell r="AT142">
            <v>3.1952808894353932</v>
          </cell>
          <cell r="AU142">
            <v>3.133661836734694</v>
          </cell>
          <cell r="AV142">
            <v>3.1242000000000001</v>
          </cell>
          <cell r="AW142">
            <v>3.1245645569620248</v>
          </cell>
          <cell r="AX142">
            <v>3.2814999999999999</v>
          </cell>
          <cell r="AZ142">
            <v>46</v>
          </cell>
          <cell r="BA142">
            <v>46</v>
          </cell>
          <cell r="BC142">
            <v>2019</v>
          </cell>
        </row>
        <row r="143">
          <cell r="D143">
            <v>43525</v>
          </cell>
          <cell r="E143">
            <v>29.24</v>
          </cell>
          <cell r="F143">
            <v>27.074999999999999</v>
          </cell>
          <cell r="G143">
            <v>26.482500000000002</v>
          </cell>
          <cell r="H143">
            <v>30.347200000000001</v>
          </cell>
          <cell r="J143">
            <v>27.074999999999999</v>
          </cell>
          <cell r="K143">
            <v>26.074999999999999</v>
          </cell>
          <cell r="L143">
            <v>29.324999999999999</v>
          </cell>
          <cell r="M143">
            <v>26.074999999999999</v>
          </cell>
          <cell r="N143">
            <v>25.237500000000001</v>
          </cell>
          <cell r="O143">
            <v>23.9375</v>
          </cell>
          <cell r="P143">
            <v>27.491700000000002</v>
          </cell>
          <cell r="R143">
            <v>24.737500000000001</v>
          </cell>
          <cell r="S143">
            <v>23.737500000000001</v>
          </cell>
          <cell r="T143">
            <v>26.987500000000001</v>
          </cell>
          <cell r="U143">
            <v>27.847059219380888</v>
          </cell>
          <cell r="V143">
            <v>26.266302153432033</v>
          </cell>
          <cell r="W143">
            <v>25.362425975773892</v>
          </cell>
          <cell r="Z143">
            <v>26.046248317631225</v>
          </cell>
          <cell r="AC143">
            <v>3.0375000000000001</v>
          </cell>
          <cell r="AD143">
            <v>2.9975000000000001</v>
          </cell>
          <cell r="AE143">
            <v>3.0476000000000001</v>
          </cell>
          <cell r="AF143">
            <v>3.0350000000000001</v>
          </cell>
          <cell r="AG143">
            <v>3.0449999999999999</v>
          </cell>
          <cell r="AH143">
            <v>2.4725000000000001</v>
          </cell>
          <cell r="AI143">
            <v>3.28</v>
          </cell>
          <cell r="AJ143">
            <v>3.1711999999999998</v>
          </cell>
          <cell r="AK143">
            <v>3.3010000000000002</v>
          </cell>
          <cell r="AL143">
            <v>3.1261999999999999</v>
          </cell>
          <cell r="AM143">
            <v>3.351</v>
          </cell>
          <cell r="AN143">
            <v>3.1394000000000002</v>
          </cell>
          <cell r="AO143">
            <v>3.0125467311668244</v>
          </cell>
          <cell r="AP143">
            <v>3.063592595123942</v>
          </cell>
          <cell r="AQ143">
            <v>3.1510292035822784</v>
          </cell>
          <cell r="AR143">
            <v>3.1026112628787113</v>
          </cell>
          <cell r="AS143">
            <v>3.3717492540384817</v>
          </cell>
          <cell r="AT143">
            <v>2.9268107592991086</v>
          </cell>
          <cell r="AU143">
            <v>3.0678455102040818</v>
          </cell>
          <cell r="AV143">
            <v>3.0626000000000002</v>
          </cell>
          <cell r="AW143">
            <v>3.0668430379746834</v>
          </cell>
          <cell r="AX143">
            <v>3.2208999999999999</v>
          </cell>
          <cell r="AZ143">
            <v>47</v>
          </cell>
          <cell r="BA143">
            <v>47</v>
          </cell>
          <cell r="BC143">
            <v>2019</v>
          </cell>
        </row>
        <row r="144">
          <cell r="D144">
            <v>43556</v>
          </cell>
          <cell r="E144">
            <v>26.82</v>
          </cell>
          <cell r="F144">
            <v>22.815000000000001</v>
          </cell>
          <cell r="G144">
            <v>24.5</v>
          </cell>
          <cell r="H144">
            <v>25.535599999999999</v>
          </cell>
          <cell r="J144">
            <v>21.315000000000001</v>
          </cell>
          <cell r="K144">
            <v>21.315000000000001</v>
          </cell>
          <cell r="L144">
            <v>27.864999999999998</v>
          </cell>
          <cell r="M144">
            <v>21.6875</v>
          </cell>
          <cell r="N144">
            <v>17.11</v>
          </cell>
          <cell r="O144">
            <v>16.36</v>
          </cell>
          <cell r="P144">
            <v>22.208100000000002</v>
          </cell>
          <cell r="R144">
            <v>16.36</v>
          </cell>
          <cell r="S144">
            <v>16.11</v>
          </cell>
          <cell r="T144">
            <v>23.11</v>
          </cell>
          <cell r="U144">
            <v>24.652944444444444</v>
          </cell>
          <cell r="V144">
            <v>20.406222222222222</v>
          </cell>
          <cell r="W144">
            <v>21.063111111111112</v>
          </cell>
          <cell r="Z144">
            <v>19.222888888888889</v>
          </cell>
          <cell r="AC144">
            <v>2.63</v>
          </cell>
          <cell r="AD144">
            <v>2.3925000000000001</v>
          </cell>
          <cell r="AE144">
            <v>2.5686</v>
          </cell>
          <cell r="AF144">
            <v>2.6850000000000001</v>
          </cell>
          <cell r="AG144">
            <v>2.78</v>
          </cell>
          <cell r="AH144">
            <v>2.2599999999999998</v>
          </cell>
          <cell r="AI144">
            <v>2.8025000000000002</v>
          </cell>
          <cell r="AJ144">
            <v>2.75</v>
          </cell>
          <cell r="AK144">
            <v>2.8788999999999998</v>
          </cell>
          <cell r="AL144">
            <v>2.7128999999999999</v>
          </cell>
          <cell r="AM144">
            <v>2.9289000000000001</v>
          </cell>
          <cell r="AN144">
            <v>2.7223999999999999</v>
          </cell>
          <cell r="AO144">
            <v>2.6035662217226365</v>
          </cell>
          <cell r="AP144">
            <v>2.6479035203509134</v>
          </cell>
          <cell r="AQ144">
            <v>2.5917295240886076</v>
          </cell>
          <cell r="AR144">
            <v>2.6869221881056822</v>
          </cell>
          <cell r="AS144">
            <v>3.0116299001954938</v>
          </cell>
          <cell r="AT144">
            <v>2.5041240086074392</v>
          </cell>
          <cell r="AU144">
            <v>2.6520291836734695</v>
          </cell>
          <cell r="AV144">
            <v>2.5836000000000001</v>
          </cell>
          <cell r="AW144">
            <v>2.454184810126582</v>
          </cell>
          <cell r="AX144">
            <v>2.5568</v>
          </cell>
          <cell r="AZ144">
            <v>48</v>
          </cell>
          <cell r="BA144">
            <v>48</v>
          </cell>
          <cell r="BC144">
            <v>2019</v>
          </cell>
        </row>
        <row r="145">
          <cell r="D145">
            <v>43586</v>
          </cell>
          <cell r="E145">
            <v>23.74</v>
          </cell>
          <cell r="F145">
            <v>23.482500000000002</v>
          </cell>
          <cell r="G145">
            <v>19.46</v>
          </cell>
          <cell r="H145">
            <v>24.230699999999999</v>
          </cell>
          <cell r="J145">
            <v>23.482500000000002</v>
          </cell>
          <cell r="K145">
            <v>23.482500000000002</v>
          </cell>
          <cell r="L145">
            <v>28.532499999999999</v>
          </cell>
          <cell r="M145">
            <v>15.387499999999999</v>
          </cell>
          <cell r="N145">
            <v>16.920000000000002</v>
          </cell>
          <cell r="O145">
            <v>13.12</v>
          </cell>
          <cell r="P145">
            <v>16.938400000000001</v>
          </cell>
          <cell r="R145">
            <v>16.920000000000002</v>
          </cell>
          <cell r="S145">
            <v>16.420000000000002</v>
          </cell>
          <cell r="T145">
            <v>22.67</v>
          </cell>
          <cell r="U145">
            <v>20.057715053763442</v>
          </cell>
          <cell r="V145">
            <v>20.589354838709678</v>
          </cell>
          <cell r="W145">
            <v>16.664946236559139</v>
          </cell>
          <cell r="Z145">
            <v>20.589354838709678</v>
          </cell>
          <cell r="AC145">
            <v>2.5579999999999998</v>
          </cell>
          <cell r="AD145">
            <v>2.343</v>
          </cell>
          <cell r="AE145">
            <v>2.5615999999999999</v>
          </cell>
          <cell r="AF145">
            <v>2.6755</v>
          </cell>
          <cell r="AG145">
            <v>2.778</v>
          </cell>
          <cell r="AH145">
            <v>2.2029999999999998</v>
          </cell>
          <cell r="AI145">
            <v>2.8330000000000002</v>
          </cell>
          <cell r="AJ145">
            <v>2.6756000000000002</v>
          </cell>
          <cell r="AK145">
            <v>2.8043999999999998</v>
          </cell>
          <cell r="AL145">
            <v>2.6398999999999999</v>
          </cell>
          <cell r="AM145">
            <v>2.8544</v>
          </cell>
          <cell r="AN145">
            <v>2.6488</v>
          </cell>
          <cell r="AO145">
            <v>2.5313046347778965</v>
          </cell>
          <cell r="AP145">
            <v>2.5744566163419367</v>
          </cell>
          <cell r="AQ145">
            <v>2.5625778341518988</v>
          </cell>
          <cell r="AR145">
            <v>2.613475284096705</v>
          </cell>
          <cell r="AS145">
            <v>3.0018552320197553</v>
          </cell>
          <cell r="AT145">
            <v>2.5430624244287325</v>
          </cell>
          <cell r="AU145">
            <v>2.5785597959183675</v>
          </cell>
          <cell r="AV145">
            <v>2.5766</v>
          </cell>
          <cell r="AW145">
            <v>2.4040582278481009</v>
          </cell>
          <cell r="AX145">
            <v>2.5042</v>
          </cell>
          <cell r="AZ145">
            <v>49</v>
          </cell>
          <cell r="BA145">
            <v>49</v>
          </cell>
          <cell r="BC145">
            <v>2019</v>
          </cell>
        </row>
        <row r="146">
          <cell r="D146">
            <v>43617</v>
          </cell>
          <cell r="E146">
            <v>23.96</v>
          </cell>
          <cell r="F146">
            <v>25.93</v>
          </cell>
          <cell r="G146">
            <v>18.739999999999998</v>
          </cell>
          <cell r="H146">
            <v>24.9285</v>
          </cell>
          <cell r="J146">
            <v>25.18</v>
          </cell>
          <cell r="K146">
            <v>25.93</v>
          </cell>
          <cell r="L146">
            <v>31.48</v>
          </cell>
          <cell r="M146">
            <v>16.175000000000001</v>
          </cell>
          <cell r="N146">
            <v>17.87</v>
          </cell>
          <cell r="O146">
            <v>11.32</v>
          </cell>
          <cell r="P146">
            <v>17.3322</v>
          </cell>
          <cell r="R146">
            <v>17.37</v>
          </cell>
          <cell r="S146">
            <v>17.37</v>
          </cell>
          <cell r="T146">
            <v>24.12</v>
          </cell>
          <cell r="U146">
            <v>20.5</v>
          </cell>
          <cell r="V146">
            <v>22.347777777777779</v>
          </cell>
          <cell r="W146">
            <v>15.442222222222222</v>
          </cell>
          <cell r="Z146">
            <v>21.70888888888889</v>
          </cell>
          <cell r="AC146">
            <v>2.5910000000000002</v>
          </cell>
          <cell r="AD146">
            <v>2.3359999999999999</v>
          </cell>
          <cell r="AE146">
            <v>2.5994000000000002</v>
          </cell>
          <cell r="AF146">
            <v>2.7134999999999998</v>
          </cell>
          <cell r="AG146">
            <v>2.8109999999999999</v>
          </cell>
          <cell r="AH146">
            <v>2.1985000000000001</v>
          </cell>
          <cell r="AI146">
            <v>2.871</v>
          </cell>
          <cell r="AJ146">
            <v>2.7097000000000002</v>
          </cell>
          <cell r="AK146">
            <v>2.8384999999999998</v>
          </cell>
          <cell r="AL146">
            <v>2.6732999999999998</v>
          </cell>
          <cell r="AM146">
            <v>2.8885000000000001</v>
          </cell>
          <cell r="AN146">
            <v>2.6825000000000001</v>
          </cell>
          <cell r="AO146">
            <v>2.5644245287942353</v>
          </cell>
          <cell r="AP146">
            <v>2.6081197806793841</v>
          </cell>
          <cell r="AQ146">
            <v>2.5784693748607599</v>
          </cell>
          <cell r="AR146">
            <v>2.6471384484341534</v>
          </cell>
          <cell r="AS146">
            <v>3.0409539047227083</v>
          </cell>
          <cell r="AT146">
            <v>2.564068675069167</v>
          </cell>
          <cell r="AU146">
            <v>2.6122332653061227</v>
          </cell>
          <cell r="AV146">
            <v>2.6143999999999998</v>
          </cell>
          <cell r="AW146">
            <v>2.3969696202531643</v>
          </cell>
          <cell r="AX146">
            <v>2.4967000000000001</v>
          </cell>
          <cell r="AZ146">
            <v>50</v>
          </cell>
          <cell r="BA146">
            <v>50</v>
          </cell>
          <cell r="BC146">
            <v>2019</v>
          </cell>
        </row>
        <row r="147">
          <cell r="D147">
            <v>43647</v>
          </cell>
          <cell r="E147">
            <v>32.442500000000003</v>
          </cell>
          <cell r="F147">
            <v>35.200000000000003</v>
          </cell>
          <cell r="G147">
            <v>27.6</v>
          </cell>
          <cell r="H147">
            <v>33.601500000000001</v>
          </cell>
          <cell r="J147">
            <v>40.200000000000003</v>
          </cell>
          <cell r="K147">
            <v>40.700000000000003</v>
          </cell>
          <cell r="L147">
            <v>39.450000000000003</v>
          </cell>
          <cell r="M147">
            <v>17.267499999999998</v>
          </cell>
          <cell r="N147">
            <v>25.475000000000001</v>
          </cell>
          <cell r="O147">
            <v>15.6775</v>
          </cell>
          <cell r="P147">
            <v>23.040500000000002</v>
          </cell>
          <cell r="R147">
            <v>26.475000000000001</v>
          </cell>
          <cell r="S147">
            <v>26.475000000000001</v>
          </cell>
          <cell r="T147">
            <v>26.975000000000001</v>
          </cell>
          <cell r="U147">
            <v>25.752446236559145</v>
          </cell>
          <cell r="V147">
            <v>30.912634408602152</v>
          </cell>
          <cell r="W147">
            <v>22.343844086021505</v>
          </cell>
          <cell r="Z147">
            <v>34.149193548387096</v>
          </cell>
          <cell r="AC147">
            <v>2.6469999999999998</v>
          </cell>
          <cell r="AD147">
            <v>2.5169999999999999</v>
          </cell>
          <cell r="AE147">
            <v>2.6922000000000001</v>
          </cell>
          <cell r="AF147">
            <v>2.7370000000000001</v>
          </cell>
          <cell r="AG147">
            <v>2.847</v>
          </cell>
          <cell r="AH147">
            <v>2.1995</v>
          </cell>
          <cell r="AI147">
            <v>3.1095000000000002</v>
          </cell>
          <cell r="AJ147">
            <v>2.7675999999999998</v>
          </cell>
          <cell r="AK147">
            <v>2.8965000000000001</v>
          </cell>
          <cell r="AL147">
            <v>2.7301000000000002</v>
          </cell>
          <cell r="AM147">
            <v>2.9464999999999999</v>
          </cell>
          <cell r="AN147">
            <v>2.7397999999999998</v>
          </cell>
          <cell r="AO147">
            <v>2.6206279853068111</v>
          </cell>
          <cell r="AP147">
            <v>2.6652451504641439</v>
          </cell>
          <cell r="AQ147">
            <v>2.7197389802531644</v>
          </cell>
          <cell r="AR147">
            <v>2.7042638182189127</v>
          </cell>
          <cell r="AS147">
            <v>3.065133347052166</v>
          </cell>
          <cell r="AT147">
            <v>2.6445072445947329</v>
          </cell>
          <cell r="AU147">
            <v>2.6693761224489796</v>
          </cell>
          <cell r="AV147">
            <v>2.7071999999999998</v>
          </cell>
          <cell r="AW147">
            <v>2.5802607594936706</v>
          </cell>
          <cell r="AX147">
            <v>2.6890999999999998</v>
          </cell>
          <cell r="AZ147">
            <v>51</v>
          </cell>
          <cell r="BA147">
            <v>51</v>
          </cell>
          <cell r="BC147">
            <v>2019</v>
          </cell>
        </row>
        <row r="148">
          <cell r="D148">
            <v>43678</v>
          </cell>
          <cell r="E148">
            <v>34.56</v>
          </cell>
          <cell r="F148">
            <v>34.6</v>
          </cell>
          <cell r="G148">
            <v>32.369999999999997</v>
          </cell>
          <cell r="H148">
            <v>34.824100000000001</v>
          </cell>
          <cell r="J148">
            <v>39.1</v>
          </cell>
          <cell r="K148">
            <v>40.1</v>
          </cell>
          <cell r="L148">
            <v>38.35</v>
          </cell>
          <cell r="M148">
            <v>24.475000000000001</v>
          </cell>
          <cell r="N148">
            <v>27.68</v>
          </cell>
          <cell r="O148">
            <v>20.45</v>
          </cell>
          <cell r="P148">
            <v>27.470800000000001</v>
          </cell>
          <cell r="R148">
            <v>28.68</v>
          </cell>
          <cell r="S148">
            <v>28.68</v>
          </cell>
          <cell r="T148">
            <v>29.18</v>
          </cell>
          <cell r="U148">
            <v>30.330806451612904</v>
          </cell>
          <cell r="V148">
            <v>31.69806451612903</v>
          </cell>
          <cell r="W148">
            <v>27.371290322580641</v>
          </cell>
          <cell r="Z148">
            <v>34.730322580645158</v>
          </cell>
          <cell r="AC148">
            <v>2.665</v>
          </cell>
          <cell r="AD148">
            <v>2.5375000000000001</v>
          </cell>
          <cell r="AE148">
            <v>2.72</v>
          </cell>
          <cell r="AF148">
            <v>2.7774999999999999</v>
          </cell>
          <cell r="AG148">
            <v>2.8650000000000002</v>
          </cell>
          <cell r="AH148">
            <v>2.2174999999999998</v>
          </cell>
          <cell r="AI148">
            <v>3.1274999999999999</v>
          </cell>
          <cell r="AJ148">
            <v>2.7862</v>
          </cell>
          <cell r="AK148">
            <v>2.9152</v>
          </cell>
          <cell r="AL148">
            <v>2.7484000000000002</v>
          </cell>
          <cell r="AM148">
            <v>2.9651999999999998</v>
          </cell>
          <cell r="AN148">
            <v>2.7582</v>
          </cell>
          <cell r="AO148">
            <v>2.6386933820429959</v>
          </cell>
          <cell r="AP148">
            <v>2.6836068764663881</v>
          </cell>
          <cell r="AQ148">
            <v>2.7446598054556963</v>
          </cell>
          <cell r="AR148">
            <v>2.7226255442211573</v>
          </cell>
          <cell r="AS148">
            <v>3.1068043008539976</v>
          </cell>
          <cell r="AT148">
            <v>2.6629517573521881</v>
          </cell>
          <cell r="AU148">
            <v>2.6877434693877551</v>
          </cell>
          <cell r="AV148">
            <v>2.7349999999999999</v>
          </cell>
          <cell r="AW148">
            <v>2.6010202531645565</v>
          </cell>
          <cell r="AX148">
            <v>2.7109000000000001</v>
          </cell>
          <cell r="AZ148">
            <v>52</v>
          </cell>
          <cell r="BA148">
            <v>52</v>
          </cell>
          <cell r="BC148">
            <v>2019</v>
          </cell>
        </row>
        <row r="149">
          <cell r="D149">
            <v>43709</v>
          </cell>
          <cell r="E149">
            <v>33.047499999999999</v>
          </cell>
          <cell r="F149">
            <v>30.4</v>
          </cell>
          <cell r="G149">
            <v>30.78</v>
          </cell>
          <cell r="H149">
            <v>32.756900000000002</v>
          </cell>
          <cell r="J149">
            <v>33.4</v>
          </cell>
          <cell r="K149">
            <v>34.4</v>
          </cell>
          <cell r="L149">
            <v>33.4</v>
          </cell>
          <cell r="M149">
            <v>24.7075</v>
          </cell>
          <cell r="N149">
            <v>27.19</v>
          </cell>
          <cell r="O149">
            <v>25.2225</v>
          </cell>
          <cell r="P149">
            <v>27.1737</v>
          </cell>
          <cell r="R149">
            <v>25.69</v>
          </cell>
          <cell r="S149">
            <v>25.69</v>
          </cell>
          <cell r="T149">
            <v>28.44</v>
          </cell>
          <cell r="U149">
            <v>29.1555</v>
          </cell>
          <cell r="V149">
            <v>28.902000000000001</v>
          </cell>
          <cell r="W149">
            <v>28.186500000000002</v>
          </cell>
          <cell r="Z149">
            <v>29.802</v>
          </cell>
          <cell r="AC149">
            <v>2.6560000000000001</v>
          </cell>
          <cell r="AD149">
            <v>2.5684999999999998</v>
          </cell>
          <cell r="AE149">
            <v>2.7160000000000002</v>
          </cell>
          <cell r="AF149">
            <v>2.7534999999999998</v>
          </cell>
          <cell r="AG149">
            <v>2.8559999999999999</v>
          </cell>
          <cell r="AH149">
            <v>2.2509999999999999</v>
          </cell>
          <cell r="AI149">
            <v>2.9409999999999998</v>
          </cell>
          <cell r="AJ149">
            <v>2.7768999999999999</v>
          </cell>
          <cell r="AK149">
            <v>2.9058999999999999</v>
          </cell>
          <cell r="AL149">
            <v>2.7393000000000001</v>
          </cell>
          <cell r="AM149">
            <v>2.9559000000000002</v>
          </cell>
          <cell r="AN149">
            <v>2.7490000000000001</v>
          </cell>
          <cell r="AO149">
            <v>2.6296606836749037</v>
          </cell>
          <cell r="AP149">
            <v>2.6744260134652662</v>
          </cell>
          <cell r="AQ149">
            <v>2.758590701531646</v>
          </cell>
          <cell r="AR149">
            <v>2.713444681220035</v>
          </cell>
          <cell r="AS149">
            <v>3.0821104023047639</v>
          </cell>
          <cell r="AT149">
            <v>2.6486060252075005</v>
          </cell>
          <cell r="AU149">
            <v>2.6785597959183676</v>
          </cell>
          <cell r="AV149">
            <v>2.7309999999999999</v>
          </cell>
          <cell r="AW149">
            <v>2.6324126582278478</v>
          </cell>
          <cell r="AX149">
            <v>2.7437999999999998</v>
          </cell>
          <cell r="AZ149">
            <v>53</v>
          </cell>
          <cell r="BA149">
            <v>53</v>
          </cell>
          <cell r="BC149">
            <v>2019</v>
          </cell>
        </row>
        <row r="150">
          <cell r="D150">
            <v>43739</v>
          </cell>
          <cell r="E150">
            <v>30.315000000000001</v>
          </cell>
          <cell r="F150">
            <v>30.445</v>
          </cell>
          <cell r="G150">
            <v>29.387499999999999</v>
          </cell>
          <cell r="H150">
            <v>31.7409</v>
          </cell>
          <cell r="J150">
            <v>29.945</v>
          </cell>
          <cell r="K150">
            <v>30.445</v>
          </cell>
          <cell r="L150">
            <v>32.445</v>
          </cell>
          <cell r="M150">
            <v>27.04</v>
          </cell>
          <cell r="N150">
            <v>27.6</v>
          </cell>
          <cell r="O150">
            <v>24.625</v>
          </cell>
          <cell r="P150">
            <v>28.4528</v>
          </cell>
          <cell r="R150">
            <v>26.6</v>
          </cell>
          <cell r="S150">
            <v>26.1</v>
          </cell>
          <cell r="T150">
            <v>29.35</v>
          </cell>
          <cell r="U150">
            <v>28.941612903225806</v>
          </cell>
          <cell r="V150">
            <v>29.251935483870966</v>
          </cell>
          <cell r="W150">
            <v>27.390322580645158</v>
          </cell>
          <cell r="Z150">
            <v>28.542258064516133</v>
          </cell>
          <cell r="AC150">
            <v>2.6779999999999999</v>
          </cell>
          <cell r="AD150">
            <v>2.6880000000000002</v>
          </cell>
          <cell r="AE150">
            <v>2.7328999999999999</v>
          </cell>
          <cell r="AF150">
            <v>2.7605</v>
          </cell>
          <cell r="AG150">
            <v>2.8780000000000001</v>
          </cell>
          <cell r="AH150">
            <v>2.2755000000000001</v>
          </cell>
          <cell r="AI150">
            <v>2.863</v>
          </cell>
          <cell r="AJ150">
            <v>2.7995999999999999</v>
          </cell>
          <cell r="AK150">
            <v>2.9285999999999999</v>
          </cell>
          <cell r="AL150">
            <v>2.7616000000000001</v>
          </cell>
          <cell r="AM150">
            <v>2.9786000000000001</v>
          </cell>
          <cell r="AN150">
            <v>2.7715999999999998</v>
          </cell>
          <cell r="AO150">
            <v>2.6517406130191294</v>
          </cell>
          <cell r="AP150">
            <v>2.6968681230235645</v>
          </cell>
          <cell r="AQ150">
            <v>2.8289675246708859</v>
          </cell>
          <cell r="AR150">
            <v>2.7358867907783333</v>
          </cell>
          <cell r="AS150">
            <v>3.0893127893816237</v>
          </cell>
          <cell r="AT150">
            <v>2.6737110564607032</v>
          </cell>
          <cell r="AU150">
            <v>2.7010087755102039</v>
          </cell>
          <cell r="AV150">
            <v>2.7479</v>
          </cell>
          <cell r="AW150">
            <v>2.7534253164556959</v>
          </cell>
          <cell r="AX150">
            <v>2.8708</v>
          </cell>
          <cell r="AZ150">
            <v>54</v>
          </cell>
          <cell r="BA150">
            <v>54</v>
          </cell>
          <cell r="BC150">
            <v>2019</v>
          </cell>
        </row>
        <row r="151">
          <cell r="D151">
            <v>43770</v>
          </cell>
          <cell r="E151">
            <v>32.145000000000003</v>
          </cell>
          <cell r="F151">
            <v>29.0825</v>
          </cell>
          <cell r="G151">
            <v>30.477499999999999</v>
          </cell>
          <cell r="H151">
            <v>33.481299999999997</v>
          </cell>
          <cell r="J151">
            <v>28.5825</v>
          </cell>
          <cell r="K151">
            <v>27.5825</v>
          </cell>
          <cell r="L151">
            <v>31.0825</v>
          </cell>
          <cell r="M151">
            <v>27.545000000000002</v>
          </cell>
          <cell r="N151">
            <v>27.105</v>
          </cell>
          <cell r="O151">
            <v>27.88</v>
          </cell>
          <cell r="P151">
            <v>28.992699999999999</v>
          </cell>
          <cell r="R151">
            <v>26.605</v>
          </cell>
          <cell r="S151">
            <v>25.605</v>
          </cell>
          <cell r="T151">
            <v>28.855</v>
          </cell>
          <cell r="U151">
            <v>30.097011095700417</v>
          </cell>
          <cell r="V151">
            <v>28.202087378640776</v>
          </cell>
          <cell r="W151">
            <v>29.321054091539526</v>
          </cell>
          <cell r="Z151">
            <v>27.702087378640773</v>
          </cell>
          <cell r="AC151">
            <v>2.9049999999999998</v>
          </cell>
          <cell r="AD151">
            <v>3.1425000000000001</v>
          </cell>
          <cell r="AE151">
            <v>2.9706999999999999</v>
          </cell>
          <cell r="AF151">
            <v>2.9769999999999999</v>
          </cell>
          <cell r="AG151">
            <v>2.9550000000000001</v>
          </cell>
          <cell r="AH151">
            <v>2.4575</v>
          </cell>
          <cell r="AI151">
            <v>3.1675</v>
          </cell>
          <cell r="AJ151">
            <v>3.0341999999999998</v>
          </cell>
          <cell r="AK151">
            <v>3.1637</v>
          </cell>
          <cell r="AL151">
            <v>2.9918</v>
          </cell>
          <cell r="AM151">
            <v>3.2136999999999998</v>
          </cell>
          <cell r="AN151">
            <v>3.0038</v>
          </cell>
          <cell r="AO151">
            <v>2.8795653385254627</v>
          </cell>
          <cell r="AP151">
            <v>2.9284298898296446</v>
          </cell>
          <cell r="AQ151">
            <v>3.1861660192405061</v>
          </cell>
          <cell r="AR151">
            <v>2.9674485575844129</v>
          </cell>
          <cell r="AS151">
            <v>3.3120723325445005</v>
          </cell>
          <cell r="AT151">
            <v>2.934495972948048</v>
          </cell>
          <cell r="AU151">
            <v>2.9326414285714288</v>
          </cell>
          <cell r="AV151">
            <v>2.9857</v>
          </cell>
          <cell r="AW151">
            <v>3.213678481012658</v>
          </cell>
          <cell r="AX151">
            <v>3.375</v>
          </cell>
          <cell r="AZ151">
            <v>55</v>
          </cell>
          <cell r="BA151">
            <v>55</v>
          </cell>
          <cell r="BC151">
            <v>2019</v>
          </cell>
        </row>
        <row r="152">
          <cell r="D152">
            <v>43800</v>
          </cell>
          <cell r="E152">
            <v>34.89</v>
          </cell>
          <cell r="F152">
            <v>30.172499999999999</v>
          </cell>
          <cell r="G152">
            <v>32.384999999999998</v>
          </cell>
          <cell r="H152">
            <v>35.679099999999998</v>
          </cell>
          <cell r="J152">
            <v>29.672499999999999</v>
          </cell>
          <cell r="K152">
            <v>29.422499999999999</v>
          </cell>
          <cell r="L152">
            <v>32.172499999999999</v>
          </cell>
          <cell r="M152">
            <v>29.565000000000001</v>
          </cell>
          <cell r="N152">
            <v>28.094999999999999</v>
          </cell>
          <cell r="O152">
            <v>28.344999999999999</v>
          </cell>
          <cell r="P152">
            <v>31.583300000000001</v>
          </cell>
          <cell r="R152">
            <v>27.594999999999999</v>
          </cell>
          <cell r="S152">
            <v>27.094999999999999</v>
          </cell>
          <cell r="T152">
            <v>29.844999999999999</v>
          </cell>
          <cell r="U152">
            <v>32.427903225806453</v>
          </cell>
          <cell r="V152">
            <v>29.211935483870967</v>
          </cell>
          <cell r="W152">
            <v>30.517043010752687</v>
          </cell>
          <cell r="Z152">
            <v>28.711935483870967</v>
          </cell>
          <cell r="AC152">
            <v>3.1105</v>
          </cell>
          <cell r="AD152">
            <v>3.5405000000000002</v>
          </cell>
          <cell r="AE152">
            <v>3.1301000000000001</v>
          </cell>
          <cell r="AF152">
            <v>3.1379999999999999</v>
          </cell>
          <cell r="AG152">
            <v>3.1030000000000002</v>
          </cell>
          <cell r="AH152">
            <v>2.5905</v>
          </cell>
          <cell r="AI152">
            <v>3.363</v>
          </cell>
          <cell r="AJ152">
            <v>3.2465999999999999</v>
          </cell>
          <cell r="AK152">
            <v>3.3765999999999998</v>
          </cell>
          <cell r="AL152">
            <v>3.2002000000000002</v>
          </cell>
          <cell r="AM152">
            <v>3.4266000000000001</v>
          </cell>
          <cell r="AN152">
            <v>3.2141000000000002</v>
          </cell>
          <cell r="AO152">
            <v>3.0858119512635742</v>
          </cell>
          <cell r="AP152">
            <v>3.1380595950219323</v>
          </cell>
          <cell r="AQ152">
            <v>3.4737616293417721</v>
          </cell>
          <cell r="AR152">
            <v>3.1770782627767016</v>
          </cell>
          <cell r="AS152">
            <v>3.4777272353122752</v>
          </cell>
          <cell r="AT152">
            <v>3.12713866174813</v>
          </cell>
          <cell r="AU152">
            <v>3.1423353061224488</v>
          </cell>
          <cell r="AV152">
            <v>3.1450999999999998</v>
          </cell>
          <cell r="AW152">
            <v>3.6167164556962024</v>
          </cell>
          <cell r="AX152">
            <v>3.7978999999999998</v>
          </cell>
          <cell r="AZ152">
            <v>56</v>
          </cell>
          <cell r="BA152">
            <v>56</v>
          </cell>
          <cell r="BC152">
            <v>2019</v>
          </cell>
        </row>
        <row r="153">
          <cell r="D153">
            <v>43831</v>
          </cell>
          <cell r="E153">
            <v>33.590000000000003</v>
          </cell>
          <cell r="F153">
            <v>31.05</v>
          </cell>
          <cell r="G153">
            <v>30.762499999999999</v>
          </cell>
          <cell r="H153">
            <v>34.588500000000003</v>
          </cell>
          <cell r="J153">
            <v>30.55</v>
          </cell>
          <cell r="K153">
            <v>30.55</v>
          </cell>
          <cell r="L153">
            <v>33.299999999999997</v>
          </cell>
          <cell r="M153">
            <v>29.984999999999999</v>
          </cell>
          <cell r="N153">
            <v>28.62</v>
          </cell>
          <cell r="O153">
            <v>28.49</v>
          </cell>
          <cell r="P153">
            <v>31.1995</v>
          </cell>
          <cell r="R153">
            <v>28.12</v>
          </cell>
          <cell r="S153">
            <v>28.12</v>
          </cell>
          <cell r="T153">
            <v>30.07</v>
          </cell>
          <cell r="U153">
            <v>32.000698924731189</v>
          </cell>
          <cell r="V153">
            <v>29.978709677419356</v>
          </cell>
          <cell r="W153">
            <v>29.76064516129032</v>
          </cell>
          <cell r="Z153">
            <v>29.478709677419353</v>
          </cell>
          <cell r="AC153">
            <v>3.2404999999999999</v>
          </cell>
          <cell r="AD153">
            <v>3.468</v>
          </cell>
          <cell r="AE153">
            <v>3.2143999999999999</v>
          </cell>
          <cell r="AF153">
            <v>3.238</v>
          </cell>
          <cell r="AG153">
            <v>3.2130000000000001</v>
          </cell>
          <cell r="AH153">
            <v>2.6604999999999999</v>
          </cell>
          <cell r="AI153">
            <v>3.4929999999999999</v>
          </cell>
          <cell r="AJ153">
            <v>3.3809999999999998</v>
          </cell>
          <cell r="AK153">
            <v>3.5112000000000001</v>
          </cell>
          <cell r="AL153">
            <v>3.3319999999999999</v>
          </cell>
          <cell r="AM153">
            <v>3.5611999999999999</v>
          </cell>
          <cell r="AN153">
            <v>3.3471000000000002</v>
          </cell>
          <cell r="AO153">
            <v>3.2162842610249105</v>
          </cell>
          <cell r="AP153">
            <v>3.2706720605936961</v>
          </cell>
          <cell r="AQ153">
            <v>3.479849946886076</v>
          </cell>
          <cell r="AR153">
            <v>3.3096907283484653</v>
          </cell>
          <cell r="AS153">
            <v>3.5806184792674145</v>
          </cell>
          <cell r="AT153">
            <v>3.2910898862588382</v>
          </cell>
          <cell r="AU153">
            <v>3.2749883673469387</v>
          </cell>
          <cell r="AV153">
            <v>3.2294</v>
          </cell>
          <cell r="AW153">
            <v>3.5432987341772146</v>
          </cell>
          <cell r="AX153">
            <v>3.7208999999999999</v>
          </cell>
          <cell r="AZ153">
            <v>57</v>
          </cell>
          <cell r="BA153">
            <v>57</v>
          </cell>
          <cell r="BC153">
            <v>2020</v>
          </cell>
        </row>
        <row r="154">
          <cell r="D154">
            <v>43862</v>
          </cell>
          <cell r="E154">
            <v>33.020000000000003</v>
          </cell>
          <cell r="F154">
            <v>30.524999999999999</v>
          </cell>
          <cell r="G154">
            <v>30.004999999999999</v>
          </cell>
          <cell r="H154">
            <v>33.980499999999999</v>
          </cell>
          <cell r="J154">
            <v>30.524999999999999</v>
          </cell>
          <cell r="K154">
            <v>29.524999999999999</v>
          </cell>
          <cell r="L154">
            <v>32.774999999999999</v>
          </cell>
          <cell r="M154">
            <v>28.76</v>
          </cell>
          <cell r="N154">
            <v>27.892499999999998</v>
          </cell>
          <cell r="O154">
            <v>27.822500000000002</v>
          </cell>
          <cell r="P154">
            <v>30.1737</v>
          </cell>
          <cell r="R154">
            <v>27.392499999999998</v>
          </cell>
          <cell r="S154">
            <v>26.642499999999998</v>
          </cell>
          <cell r="T154">
            <v>29.092500000000001</v>
          </cell>
          <cell r="U154">
            <v>31.208275862068966</v>
          </cell>
          <cell r="V154">
            <v>29.405431034482753</v>
          </cell>
          <cell r="W154">
            <v>29.076810344827582</v>
          </cell>
          <cell r="Z154">
            <v>29.192787356321833</v>
          </cell>
          <cell r="AC154">
            <v>3.2250000000000001</v>
          </cell>
          <cell r="AD154">
            <v>3.2324999999999999</v>
          </cell>
          <cell r="AE154">
            <v>3.1991000000000001</v>
          </cell>
          <cell r="AF154">
            <v>3.22</v>
          </cell>
          <cell r="AG154">
            <v>3.1949999999999998</v>
          </cell>
          <cell r="AH154">
            <v>2.6549999999999998</v>
          </cell>
          <cell r="AI154">
            <v>3.4624999999999999</v>
          </cell>
          <cell r="AJ154">
            <v>3.3650000000000002</v>
          </cell>
          <cell r="AK154">
            <v>3.4950999999999999</v>
          </cell>
          <cell r="AL154">
            <v>3.3163</v>
          </cell>
          <cell r="AM154">
            <v>3.5451000000000001</v>
          </cell>
          <cell r="AN154">
            <v>3.3313000000000001</v>
          </cell>
          <cell r="AO154">
            <v>3.2007279471687511</v>
          </cell>
          <cell r="AP154">
            <v>3.254860574313986</v>
          </cell>
          <cell r="AQ154">
            <v>3.3504474011139238</v>
          </cell>
          <cell r="AR154">
            <v>3.2938792420687548</v>
          </cell>
          <cell r="AS154">
            <v>3.5620980553554897</v>
          </cell>
          <cell r="AT154">
            <v>3.2854540629162825</v>
          </cell>
          <cell r="AU154">
            <v>3.2591720408163267</v>
          </cell>
          <cell r="AV154">
            <v>3.2141000000000002</v>
          </cell>
          <cell r="AW154">
            <v>3.3048177215189867</v>
          </cell>
          <cell r="AX154">
            <v>3.4706000000000001</v>
          </cell>
          <cell r="AZ154">
            <v>58</v>
          </cell>
          <cell r="BA154">
            <v>58</v>
          </cell>
          <cell r="BC154">
            <v>2020</v>
          </cell>
        </row>
        <row r="155">
          <cell r="D155">
            <v>43891</v>
          </cell>
          <cell r="E155">
            <v>30.74</v>
          </cell>
          <cell r="F155">
            <v>28.425000000000001</v>
          </cell>
          <cell r="G155">
            <v>27.732500000000002</v>
          </cell>
          <cell r="H155">
            <v>31.548500000000001</v>
          </cell>
          <cell r="J155">
            <v>28.425000000000001</v>
          </cell>
          <cell r="K155">
            <v>27.425000000000001</v>
          </cell>
          <cell r="L155">
            <v>30.675000000000001</v>
          </cell>
          <cell r="M155">
            <v>27.535</v>
          </cell>
          <cell r="N155">
            <v>26.4375</v>
          </cell>
          <cell r="O155">
            <v>26.487500000000001</v>
          </cell>
          <cell r="P155">
            <v>29.148</v>
          </cell>
          <cell r="R155">
            <v>25.9375</v>
          </cell>
          <cell r="S155">
            <v>24.9375</v>
          </cell>
          <cell r="T155">
            <v>27.637499999999999</v>
          </cell>
          <cell r="U155">
            <v>29.329454912516827</v>
          </cell>
          <cell r="V155">
            <v>27.550286002691788</v>
          </cell>
          <cell r="W155">
            <v>27.18456594885599</v>
          </cell>
          <cell r="Z155">
            <v>27.33023216689098</v>
          </cell>
          <cell r="AC155">
            <v>3.1604999999999999</v>
          </cell>
          <cell r="AD155">
            <v>3.1855000000000002</v>
          </cell>
          <cell r="AE155">
            <v>3.1375000000000002</v>
          </cell>
          <cell r="AF155">
            <v>3.1579999999999999</v>
          </cell>
          <cell r="AG155">
            <v>3.133</v>
          </cell>
          <cell r="AH155">
            <v>2.613</v>
          </cell>
          <cell r="AI155">
            <v>3.4405000000000001</v>
          </cell>
          <cell r="AJ155">
            <v>3.2982999999999998</v>
          </cell>
          <cell r="AK155">
            <v>3.4283000000000001</v>
          </cell>
          <cell r="AL155">
            <v>3.2509000000000001</v>
          </cell>
          <cell r="AM155">
            <v>3.4782999999999999</v>
          </cell>
          <cell r="AN155">
            <v>3.2652999999999999</v>
          </cell>
          <cell r="AO155">
            <v>3.1359936088640885</v>
          </cell>
          <cell r="AP155">
            <v>3.1890643894726112</v>
          </cell>
          <cell r="AQ155">
            <v>3.2944142413417721</v>
          </cell>
          <cell r="AR155">
            <v>3.2280830572273795</v>
          </cell>
          <cell r="AS155">
            <v>3.498305484103303</v>
          </cell>
          <cell r="AT155">
            <v>3.0169839327799983</v>
          </cell>
          <cell r="AU155">
            <v>3.1933557142857145</v>
          </cell>
          <cell r="AV155">
            <v>3.1524999999999999</v>
          </cell>
          <cell r="AW155">
            <v>3.2572227848101263</v>
          </cell>
          <cell r="AX155">
            <v>3.4207000000000001</v>
          </cell>
          <cell r="AZ155">
            <v>59</v>
          </cell>
          <cell r="BA155">
            <v>59</v>
          </cell>
          <cell r="BC155">
            <v>2020</v>
          </cell>
        </row>
        <row r="156">
          <cell r="D156">
            <v>43922</v>
          </cell>
          <cell r="E156">
            <v>28.33</v>
          </cell>
          <cell r="F156">
            <v>24.164999999999999</v>
          </cell>
          <cell r="G156">
            <v>25.85</v>
          </cell>
          <cell r="H156">
            <v>26.993600000000001</v>
          </cell>
          <cell r="J156">
            <v>22.664999999999999</v>
          </cell>
          <cell r="K156">
            <v>22.664999999999999</v>
          </cell>
          <cell r="L156">
            <v>29.565000000000001</v>
          </cell>
          <cell r="M156">
            <v>20.887499999999999</v>
          </cell>
          <cell r="N156">
            <v>18.71</v>
          </cell>
          <cell r="O156">
            <v>17.14</v>
          </cell>
          <cell r="P156">
            <v>22.6631</v>
          </cell>
          <cell r="R156">
            <v>17.96</v>
          </cell>
          <cell r="S156">
            <v>17.71</v>
          </cell>
          <cell r="T156">
            <v>23.86</v>
          </cell>
          <cell r="U156">
            <v>25.18761111111111</v>
          </cell>
          <cell r="V156">
            <v>21.861777777777775</v>
          </cell>
          <cell r="W156">
            <v>22.172444444444444</v>
          </cell>
          <cell r="Z156">
            <v>20.678444444444445</v>
          </cell>
          <cell r="AC156">
            <v>2.7930000000000001</v>
          </cell>
          <cell r="AD156">
            <v>2.6055000000000001</v>
          </cell>
          <cell r="AE156">
            <v>2.7404000000000002</v>
          </cell>
          <cell r="AF156">
            <v>2.8054999999999999</v>
          </cell>
          <cell r="AG156">
            <v>2.883</v>
          </cell>
          <cell r="AH156">
            <v>2.4205000000000001</v>
          </cell>
          <cell r="AI156">
            <v>3.0154999999999998</v>
          </cell>
          <cell r="AJ156">
            <v>2.9184999999999999</v>
          </cell>
          <cell r="AK156">
            <v>3.0476999999999999</v>
          </cell>
          <cell r="AL156">
            <v>2.8782000000000001</v>
          </cell>
          <cell r="AM156">
            <v>3.0977000000000001</v>
          </cell>
          <cell r="AN156">
            <v>2.8892000000000002</v>
          </cell>
          <cell r="AO156">
            <v>2.7671584255003117</v>
          </cell>
          <cell r="AP156">
            <v>2.814179150260125</v>
          </cell>
          <cell r="AQ156">
            <v>2.7902705911265819</v>
          </cell>
          <cell r="AR156">
            <v>2.8531978180148938</v>
          </cell>
          <cell r="AS156">
            <v>3.1356138491614365</v>
          </cell>
          <cell r="AT156">
            <v>2.6096676093862077</v>
          </cell>
          <cell r="AU156">
            <v>2.8183557142857145</v>
          </cell>
          <cell r="AV156">
            <v>2.7553999999999998</v>
          </cell>
          <cell r="AW156">
            <v>2.6698810126582275</v>
          </cell>
          <cell r="AX156">
            <v>2.8043999999999998</v>
          </cell>
          <cell r="AZ156">
            <v>60</v>
          </cell>
          <cell r="BA156">
            <v>60</v>
          </cell>
          <cell r="BC156">
            <v>2020</v>
          </cell>
        </row>
        <row r="157">
          <cell r="D157">
            <v>43952</v>
          </cell>
          <cell r="E157">
            <v>25.25</v>
          </cell>
          <cell r="F157">
            <v>24.8325</v>
          </cell>
          <cell r="G157">
            <v>20.81</v>
          </cell>
          <cell r="H157">
            <v>25.688700000000001</v>
          </cell>
          <cell r="J157">
            <v>24.8325</v>
          </cell>
          <cell r="K157">
            <v>24.8325</v>
          </cell>
          <cell r="L157">
            <v>30.232500000000002</v>
          </cell>
          <cell r="M157">
            <v>14.5875</v>
          </cell>
          <cell r="N157">
            <v>18.52</v>
          </cell>
          <cell r="O157">
            <v>13.9</v>
          </cell>
          <cell r="P157">
            <v>17.3934</v>
          </cell>
          <cell r="R157">
            <v>18.52</v>
          </cell>
          <cell r="S157">
            <v>18.02</v>
          </cell>
          <cell r="T157">
            <v>23.42</v>
          </cell>
          <cell r="U157">
            <v>20.32002688172043</v>
          </cell>
          <cell r="V157">
            <v>21.913817204301075</v>
          </cell>
          <cell r="W157">
            <v>17.615053763440859</v>
          </cell>
          <cell r="Z157">
            <v>21.913817204301075</v>
          </cell>
          <cell r="AC157">
            <v>2.7210000000000001</v>
          </cell>
          <cell r="AD157">
            <v>2.5434999999999999</v>
          </cell>
          <cell r="AE157">
            <v>2.7334000000000001</v>
          </cell>
          <cell r="AF157">
            <v>2.7959999999999998</v>
          </cell>
          <cell r="AG157">
            <v>2.8809999999999998</v>
          </cell>
          <cell r="AH157">
            <v>2.351</v>
          </cell>
          <cell r="AI157">
            <v>3.1084999999999998</v>
          </cell>
          <cell r="AJ157">
            <v>2.8441000000000001</v>
          </cell>
          <cell r="AK157">
            <v>2.9731999999999998</v>
          </cell>
          <cell r="AL157">
            <v>2.8052000000000001</v>
          </cell>
          <cell r="AM157">
            <v>3.0232000000000001</v>
          </cell>
          <cell r="AN157">
            <v>2.8155999999999999</v>
          </cell>
          <cell r="AO157">
            <v>2.6948968385555716</v>
          </cell>
          <cell r="AP157">
            <v>2.7407322462511479</v>
          </cell>
          <cell r="AQ157">
            <v>2.7546694122658226</v>
          </cell>
          <cell r="AR157">
            <v>2.7797509140059171</v>
          </cell>
          <cell r="AS157">
            <v>3.125839180985698</v>
          </cell>
          <cell r="AT157">
            <v>2.6486060252075005</v>
          </cell>
          <cell r="AU157">
            <v>2.7448863265306125</v>
          </cell>
          <cell r="AV157">
            <v>2.7484000000000002</v>
          </cell>
          <cell r="AW157">
            <v>2.6070962025316451</v>
          </cell>
          <cell r="AX157">
            <v>2.7385000000000002</v>
          </cell>
          <cell r="AZ157">
            <v>61</v>
          </cell>
          <cell r="BA157">
            <v>61</v>
          </cell>
          <cell r="BC157">
            <v>2020</v>
          </cell>
        </row>
        <row r="158">
          <cell r="D158">
            <v>43983</v>
          </cell>
          <cell r="E158">
            <v>25.47</v>
          </cell>
          <cell r="F158">
            <v>27.28</v>
          </cell>
          <cell r="G158">
            <v>20.09</v>
          </cell>
          <cell r="H158">
            <v>26.386500000000002</v>
          </cell>
          <cell r="J158">
            <v>26.53</v>
          </cell>
          <cell r="K158">
            <v>27.28</v>
          </cell>
          <cell r="L158">
            <v>33.18</v>
          </cell>
          <cell r="M158">
            <v>15.375</v>
          </cell>
          <cell r="N158">
            <v>19.47</v>
          </cell>
          <cell r="O158">
            <v>12.1</v>
          </cell>
          <cell r="P158">
            <v>17.787199999999999</v>
          </cell>
          <cell r="R158">
            <v>18.97</v>
          </cell>
          <cell r="S158">
            <v>18.97</v>
          </cell>
          <cell r="T158">
            <v>24.87</v>
          </cell>
          <cell r="U158">
            <v>21.207666666666668</v>
          </cell>
          <cell r="V158">
            <v>23.982444444444443</v>
          </cell>
          <cell r="W158">
            <v>16.716444444444445</v>
          </cell>
          <cell r="Z158">
            <v>23.337999999999997</v>
          </cell>
          <cell r="AC158">
            <v>2.7530000000000001</v>
          </cell>
          <cell r="AD158">
            <v>2.5554999999999999</v>
          </cell>
          <cell r="AE158">
            <v>2.7700999999999998</v>
          </cell>
          <cell r="AF158">
            <v>2.8330000000000002</v>
          </cell>
          <cell r="AG158">
            <v>2.9129999999999998</v>
          </cell>
          <cell r="AH158">
            <v>2.3605</v>
          </cell>
          <cell r="AI158">
            <v>3.1555</v>
          </cell>
          <cell r="AJ158">
            <v>2.8772000000000002</v>
          </cell>
          <cell r="AK158">
            <v>3.0063</v>
          </cell>
          <cell r="AL158">
            <v>2.8376000000000001</v>
          </cell>
          <cell r="AM158">
            <v>3.0562999999999998</v>
          </cell>
          <cell r="AN158">
            <v>2.8483000000000001</v>
          </cell>
          <cell r="AO158">
            <v>2.7270130994199002</v>
          </cell>
          <cell r="AP158">
            <v>2.7733753146995821</v>
          </cell>
          <cell r="AQ158">
            <v>2.7797966211139236</v>
          </cell>
          <cell r="AR158">
            <v>2.8123939824543513</v>
          </cell>
          <cell r="AS158">
            <v>3.1639089412491002</v>
          </cell>
          <cell r="AT158">
            <v>2.6685875806947434</v>
          </cell>
          <cell r="AU158">
            <v>2.7775393877551022</v>
          </cell>
          <cell r="AV158">
            <v>2.7850999999999999</v>
          </cell>
          <cell r="AW158">
            <v>2.6192481012658222</v>
          </cell>
          <cell r="AX158">
            <v>2.7511999999999999</v>
          </cell>
          <cell r="AZ158">
            <v>62</v>
          </cell>
          <cell r="BA158">
            <v>62</v>
          </cell>
          <cell r="BC158">
            <v>2020</v>
          </cell>
        </row>
        <row r="159">
          <cell r="D159">
            <v>44013</v>
          </cell>
          <cell r="E159">
            <v>33.692500000000003</v>
          </cell>
          <cell r="F159">
            <v>36.549999999999997</v>
          </cell>
          <cell r="G159">
            <v>28.85</v>
          </cell>
          <cell r="H159">
            <v>34.796500000000002</v>
          </cell>
          <cell r="J159">
            <v>41.55</v>
          </cell>
          <cell r="K159">
            <v>42.05</v>
          </cell>
          <cell r="L159">
            <v>40.799999999999997</v>
          </cell>
          <cell r="M159">
            <v>19.567499999999999</v>
          </cell>
          <cell r="N159">
            <v>25.875</v>
          </cell>
          <cell r="O159">
            <v>17.827500000000001</v>
          </cell>
          <cell r="P159">
            <v>24.6417</v>
          </cell>
          <cell r="R159">
            <v>26.875</v>
          </cell>
          <cell r="S159">
            <v>26.875</v>
          </cell>
          <cell r="T159">
            <v>27.875</v>
          </cell>
          <cell r="U159">
            <v>27.465349462365591</v>
          </cell>
          <cell r="V159">
            <v>31.843817204301072</v>
          </cell>
          <cell r="W159">
            <v>23.990618279569894</v>
          </cell>
          <cell r="Z159">
            <v>35.080376344086012</v>
          </cell>
          <cell r="AC159">
            <v>2.8094999999999999</v>
          </cell>
          <cell r="AD159">
            <v>2.7469999999999999</v>
          </cell>
          <cell r="AE159">
            <v>2.8534999999999999</v>
          </cell>
          <cell r="AF159">
            <v>2.8719999999999999</v>
          </cell>
          <cell r="AG159">
            <v>2.9470000000000001</v>
          </cell>
          <cell r="AH159">
            <v>2.3744999999999998</v>
          </cell>
          <cell r="AI159">
            <v>3.3370000000000002</v>
          </cell>
          <cell r="AJ159">
            <v>2.9355000000000002</v>
          </cell>
          <cell r="AK159">
            <v>3.0648</v>
          </cell>
          <cell r="AL159">
            <v>2.8948999999999998</v>
          </cell>
          <cell r="AM159">
            <v>3.1147999999999998</v>
          </cell>
          <cell r="AN159">
            <v>2.9060999999999999</v>
          </cell>
          <cell r="AO159">
            <v>2.7837183725084813</v>
          </cell>
          <cell r="AP159">
            <v>2.8310107324288487</v>
          </cell>
          <cell r="AQ159">
            <v>2.9216337815316455</v>
          </cell>
          <cell r="AR159">
            <v>2.8700294001836175</v>
          </cell>
          <cell r="AS159">
            <v>3.2040365263916044</v>
          </cell>
          <cell r="AT159">
            <v>2.7469767599139256</v>
          </cell>
          <cell r="AU159">
            <v>2.8351924489795923</v>
          </cell>
          <cell r="AV159">
            <v>2.8685</v>
          </cell>
          <cell r="AW159">
            <v>2.8131721518987338</v>
          </cell>
          <cell r="AX159">
            <v>2.9546999999999999</v>
          </cell>
          <cell r="AZ159">
            <v>63</v>
          </cell>
          <cell r="BA159">
            <v>63</v>
          </cell>
          <cell r="BC159">
            <v>2020</v>
          </cell>
        </row>
        <row r="160">
          <cell r="D160">
            <v>44044</v>
          </cell>
          <cell r="E160">
            <v>35.81</v>
          </cell>
          <cell r="F160">
            <v>35.950000000000003</v>
          </cell>
          <cell r="G160">
            <v>33.619999999999997</v>
          </cell>
          <cell r="H160">
            <v>36.019100000000002</v>
          </cell>
          <cell r="J160">
            <v>40.450000000000003</v>
          </cell>
          <cell r="K160">
            <v>41.45</v>
          </cell>
          <cell r="L160">
            <v>39.700000000000003</v>
          </cell>
          <cell r="M160">
            <v>26.774999999999999</v>
          </cell>
          <cell r="N160">
            <v>28.08</v>
          </cell>
          <cell r="O160">
            <v>22.6</v>
          </cell>
          <cell r="P160">
            <v>29.071999999999999</v>
          </cell>
          <cell r="R160">
            <v>29.08</v>
          </cell>
          <cell r="S160">
            <v>29.08</v>
          </cell>
          <cell r="T160">
            <v>30.08</v>
          </cell>
          <cell r="U160">
            <v>31.826827956989245</v>
          </cell>
          <cell r="V160">
            <v>32.480430107526885</v>
          </cell>
          <cell r="W160">
            <v>28.761720430107527</v>
          </cell>
          <cell r="Z160">
            <v>35.43741935483871</v>
          </cell>
          <cell r="AC160">
            <v>2.8325</v>
          </cell>
          <cell r="AD160">
            <v>2.74</v>
          </cell>
          <cell r="AE160">
            <v>2.8961999999999999</v>
          </cell>
          <cell r="AF160">
            <v>2.9249999999999998</v>
          </cell>
          <cell r="AG160">
            <v>2.97</v>
          </cell>
          <cell r="AH160">
            <v>2.3650000000000002</v>
          </cell>
          <cell r="AI160">
            <v>3.35</v>
          </cell>
          <cell r="AJ160">
            <v>2.9592999999999998</v>
          </cell>
          <cell r="AK160">
            <v>3.0886</v>
          </cell>
          <cell r="AL160">
            <v>2.9182999999999999</v>
          </cell>
          <cell r="AM160">
            <v>3.1385999999999998</v>
          </cell>
          <cell r="AN160">
            <v>2.9296000000000002</v>
          </cell>
          <cell r="AO160">
            <v>2.8068019350047173</v>
          </cell>
          <cell r="AP160">
            <v>2.8544729378761606</v>
          </cell>
          <cell r="AQ160">
            <v>2.9400535218987338</v>
          </cell>
          <cell r="AR160">
            <v>2.8934916056309299</v>
          </cell>
          <cell r="AS160">
            <v>3.2585688856878279</v>
          </cell>
          <cell r="AT160">
            <v>2.7705447484373402</v>
          </cell>
          <cell r="AU160">
            <v>2.8586618367346937</v>
          </cell>
          <cell r="AV160">
            <v>2.9112</v>
          </cell>
          <cell r="AW160">
            <v>2.8060835443037973</v>
          </cell>
          <cell r="AX160">
            <v>2.9472999999999998</v>
          </cell>
          <cell r="AZ160">
            <v>64</v>
          </cell>
          <cell r="BA160">
            <v>64</v>
          </cell>
          <cell r="BC160">
            <v>2020</v>
          </cell>
        </row>
        <row r="161">
          <cell r="D161">
            <v>44075</v>
          </cell>
          <cell r="E161">
            <v>34.297499999999999</v>
          </cell>
          <cell r="F161">
            <v>31.75</v>
          </cell>
          <cell r="G161">
            <v>32.03</v>
          </cell>
          <cell r="H161">
            <v>33.951900000000002</v>
          </cell>
          <cell r="J161">
            <v>34.75</v>
          </cell>
          <cell r="K161">
            <v>35.75</v>
          </cell>
          <cell r="L161">
            <v>34.75</v>
          </cell>
          <cell r="M161">
            <v>27.0075</v>
          </cell>
          <cell r="N161">
            <v>27.59</v>
          </cell>
          <cell r="O161">
            <v>27.372499999999999</v>
          </cell>
          <cell r="P161">
            <v>28.774999999999999</v>
          </cell>
          <cell r="R161">
            <v>26.09</v>
          </cell>
          <cell r="S161">
            <v>26.09</v>
          </cell>
          <cell r="T161">
            <v>29.34</v>
          </cell>
          <cell r="U161">
            <v>31.057500000000005</v>
          </cell>
          <cell r="V161">
            <v>29.90111111111111</v>
          </cell>
          <cell r="W161">
            <v>29.96</v>
          </cell>
          <cell r="Z161">
            <v>30.901111111111113</v>
          </cell>
          <cell r="AC161">
            <v>2.8275000000000001</v>
          </cell>
          <cell r="AD161">
            <v>2.8125</v>
          </cell>
          <cell r="AE161">
            <v>2.8938000000000001</v>
          </cell>
          <cell r="AF161">
            <v>2.9024999999999999</v>
          </cell>
          <cell r="AG161">
            <v>2.9649999999999999</v>
          </cell>
          <cell r="AH161">
            <v>2.44</v>
          </cell>
          <cell r="AI161">
            <v>3.1625000000000001</v>
          </cell>
          <cell r="AJ161">
            <v>2.9542000000000002</v>
          </cell>
          <cell r="AK161">
            <v>3.0834999999999999</v>
          </cell>
          <cell r="AL161">
            <v>2.9131999999999998</v>
          </cell>
          <cell r="AM161">
            <v>3.1335000000000002</v>
          </cell>
          <cell r="AN161">
            <v>2.9245000000000001</v>
          </cell>
          <cell r="AO161">
            <v>2.8017837692446661</v>
          </cell>
          <cell r="AP161">
            <v>2.8493724584310929</v>
          </cell>
          <cell r="AQ161">
            <v>2.9762222557848101</v>
          </cell>
          <cell r="AR161">
            <v>2.8883911261858621</v>
          </cell>
          <cell r="AS161">
            <v>3.2354183557979215</v>
          </cell>
          <cell r="AT161">
            <v>2.7602977969054208</v>
          </cell>
          <cell r="AU161">
            <v>2.8535597959183674</v>
          </cell>
          <cell r="AV161">
            <v>2.9087999999999998</v>
          </cell>
          <cell r="AW161">
            <v>2.8795012658227845</v>
          </cell>
          <cell r="AX161">
            <v>3.0243000000000002</v>
          </cell>
          <cell r="AZ161">
            <v>65</v>
          </cell>
          <cell r="BA161">
            <v>65</v>
          </cell>
          <cell r="BC161">
            <v>2020</v>
          </cell>
        </row>
        <row r="162">
          <cell r="D162">
            <v>44105</v>
          </cell>
          <cell r="E162">
            <v>31.664999999999999</v>
          </cell>
          <cell r="F162">
            <v>31.795000000000002</v>
          </cell>
          <cell r="G162">
            <v>30.737500000000001</v>
          </cell>
          <cell r="H162">
            <v>32.867199999999997</v>
          </cell>
          <cell r="J162">
            <v>31.295000000000002</v>
          </cell>
          <cell r="K162">
            <v>31.795000000000002</v>
          </cell>
          <cell r="L162">
            <v>33.795000000000002</v>
          </cell>
          <cell r="M162">
            <v>28.19</v>
          </cell>
          <cell r="N162">
            <v>28.45</v>
          </cell>
          <cell r="O162">
            <v>25.774999999999999</v>
          </cell>
          <cell r="P162">
            <v>29.764099999999999</v>
          </cell>
          <cell r="R162">
            <v>27.45</v>
          </cell>
          <cell r="S162">
            <v>26.95</v>
          </cell>
          <cell r="T162">
            <v>30.2</v>
          </cell>
          <cell r="U162">
            <v>30.207741935483874</v>
          </cell>
          <cell r="V162">
            <v>30.392258064516131</v>
          </cell>
          <cell r="W162">
            <v>28.656451612903226</v>
          </cell>
          <cell r="Z162">
            <v>29.682580645161291</v>
          </cell>
          <cell r="AC162">
            <v>2.8595000000000002</v>
          </cell>
          <cell r="AD162">
            <v>2.847</v>
          </cell>
          <cell r="AE162">
            <v>2.9205999999999999</v>
          </cell>
          <cell r="AF162">
            <v>2.9119999999999999</v>
          </cell>
          <cell r="AG162">
            <v>2.9969999999999999</v>
          </cell>
          <cell r="AH162">
            <v>2.4620000000000002</v>
          </cell>
          <cell r="AI162">
            <v>3.1070000000000002</v>
          </cell>
          <cell r="AJ162">
            <v>2.9872000000000001</v>
          </cell>
          <cell r="AK162">
            <v>3.1166</v>
          </cell>
          <cell r="AL162">
            <v>2.9456000000000002</v>
          </cell>
          <cell r="AM162">
            <v>3.1665999999999999</v>
          </cell>
          <cell r="AN162">
            <v>2.9573</v>
          </cell>
          <cell r="AO162">
            <v>2.8339000301089947</v>
          </cell>
          <cell r="AP162">
            <v>2.8820155268795271</v>
          </cell>
          <cell r="AQ162">
            <v>3.0078505494683543</v>
          </cell>
          <cell r="AR162">
            <v>2.9210341946342964</v>
          </cell>
          <cell r="AS162">
            <v>3.2451930239736599</v>
          </cell>
          <cell r="AT162">
            <v>2.795649779690542</v>
          </cell>
          <cell r="AU162">
            <v>2.8862128571428571</v>
          </cell>
          <cell r="AV162">
            <v>2.9356</v>
          </cell>
          <cell r="AW162">
            <v>2.914437974683544</v>
          </cell>
          <cell r="AX162">
            <v>3.0609999999999999</v>
          </cell>
          <cell r="AZ162">
            <v>66</v>
          </cell>
          <cell r="BA162">
            <v>66</v>
          </cell>
          <cell r="BC162">
            <v>2020</v>
          </cell>
        </row>
        <row r="163">
          <cell r="D163">
            <v>44136</v>
          </cell>
          <cell r="E163">
            <v>33.494999999999997</v>
          </cell>
          <cell r="F163">
            <v>30.432500000000001</v>
          </cell>
          <cell r="G163">
            <v>31.827500000000001</v>
          </cell>
          <cell r="H163">
            <v>34.607500000000002</v>
          </cell>
          <cell r="J163">
            <v>29.932500000000001</v>
          </cell>
          <cell r="K163">
            <v>28.932500000000001</v>
          </cell>
          <cell r="L163">
            <v>32.432499999999997</v>
          </cell>
          <cell r="M163">
            <v>28.695</v>
          </cell>
          <cell r="N163">
            <v>27.954999999999998</v>
          </cell>
          <cell r="O163">
            <v>29.03</v>
          </cell>
          <cell r="P163">
            <v>30.303899999999999</v>
          </cell>
          <cell r="R163">
            <v>27.454999999999998</v>
          </cell>
          <cell r="S163">
            <v>26.454999999999998</v>
          </cell>
          <cell r="T163">
            <v>29.704999999999998</v>
          </cell>
          <cell r="U163">
            <v>31.251449375866848</v>
          </cell>
          <cell r="V163">
            <v>29.274500693481276</v>
          </cell>
          <cell r="W163">
            <v>30.5199306518724</v>
          </cell>
          <cell r="Z163">
            <v>28.774500693481276</v>
          </cell>
          <cell r="AC163">
            <v>3.0794999999999999</v>
          </cell>
          <cell r="AD163">
            <v>3.3045</v>
          </cell>
          <cell r="AE163">
            <v>3.0918000000000001</v>
          </cell>
          <cell r="AF163">
            <v>3.0990000000000002</v>
          </cell>
          <cell r="AG163">
            <v>3.077</v>
          </cell>
          <cell r="AH163">
            <v>2.617</v>
          </cell>
          <cell r="AI163">
            <v>3.3294999999999999</v>
          </cell>
          <cell r="AJ163">
            <v>3.2145999999999999</v>
          </cell>
          <cell r="AK163">
            <v>3.3443999999999998</v>
          </cell>
          <cell r="AL163">
            <v>3.1688000000000001</v>
          </cell>
          <cell r="AM163">
            <v>3.3944000000000001</v>
          </cell>
          <cell r="AN163">
            <v>3.1823999999999999</v>
          </cell>
          <cell r="AO163">
            <v>3.0546993235512563</v>
          </cell>
          <cell r="AP163">
            <v>3.1064366224625122</v>
          </cell>
          <cell r="AQ163">
            <v>3.332234044392405</v>
          </cell>
          <cell r="AR163">
            <v>3.1454552902172805</v>
          </cell>
          <cell r="AS163">
            <v>3.437599650169771</v>
          </cell>
          <cell r="AT163">
            <v>3.0595087816374633</v>
          </cell>
          <cell r="AU163">
            <v>3.110702653061225</v>
          </cell>
          <cell r="AV163">
            <v>3.1067999999999998</v>
          </cell>
          <cell r="AW163">
            <v>3.3777291139240502</v>
          </cell>
          <cell r="AX163">
            <v>3.5470999999999999</v>
          </cell>
          <cell r="AZ163">
            <v>67</v>
          </cell>
          <cell r="BA163">
            <v>67</v>
          </cell>
          <cell r="BC163">
            <v>2020</v>
          </cell>
        </row>
        <row r="164">
          <cell r="D164">
            <v>44166</v>
          </cell>
          <cell r="E164">
            <v>36.24</v>
          </cell>
          <cell r="F164">
            <v>31.522500000000001</v>
          </cell>
          <cell r="G164">
            <v>33.734999999999999</v>
          </cell>
          <cell r="H164">
            <v>36.805300000000003</v>
          </cell>
          <cell r="J164">
            <v>31.022500000000001</v>
          </cell>
          <cell r="K164">
            <v>30.772500000000001</v>
          </cell>
          <cell r="L164">
            <v>33.522500000000001</v>
          </cell>
          <cell r="M164">
            <v>30.715</v>
          </cell>
          <cell r="N164">
            <v>28.945</v>
          </cell>
          <cell r="O164">
            <v>29.495000000000001</v>
          </cell>
          <cell r="P164">
            <v>32.894500000000001</v>
          </cell>
          <cell r="R164">
            <v>28.445</v>
          </cell>
          <cell r="S164">
            <v>27.945</v>
          </cell>
          <cell r="T164">
            <v>30.695</v>
          </cell>
          <cell r="U164">
            <v>33.804247311827957</v>
          </cell>
          <cell r="V164">
            <v>30.386182795698925</v>
          </cell>
          <cell r="W164">
            <v>31.865752688172044</v>
          </cell>
          <cell r="Z164">
            <v>29.886182795698922</v>
          </cell>
          <cell r="AC164">
            <v>3.2919999999999998</v>
          </cell>
          <cell r="AD164">
            <v>3.7395</v>
          </cell>
          <cell r="AE164">
            <v>3.2581000000000002</v>
          </cell>
          <cell r="AF164">
            <v>3.2669999999999999</v>
          </cell>
          <cell r="AG164">
            <v>3.2320000000000002</v>
          </cell>
          <cell r="AH164">
            <v>2.7570000000000001</v>
          </cell>
          <cell r="AI164">
            <v>3.5194999999999999</v>
          </cell>
          <cell r="AJ164">
            <v>3.4342000000000001</v>
          </cell>
          <cell r="AK164">
            <v>3.5644999999999998</v>
          </cell>
          <cell r="AL164">
            <v>3.3843000000000001</v>
          </cell>
          <cell r="AM164">
            <v>3.6145</v>
          </cell>
          <cell r="AN164">
            <v>3.3997999999999999</v>
          </cell>
          <cell r="AO164">
            <v>3.2679713683534399</v>
          </cell>
          <cell r="AP164">
            <v>3.3232069988778949</v>
          </cell>
          <cell r="AQ164">
            <v>3.6424802595949366</v>
          </cell>
          <cell r="AR164">
            <v>3.3622256666326638</v>
          </cell>
          <cell r="AS164">
            <v>3.6104569400144051</v>
          </cell>
          <cell r="AT164">
            <v>3.2593243365098883</v>
          </cell>
          <cell r="AU164">
            <v>3.3275393877551021</v>
          </cell>
          <cell r="AV164">
            <v>3.2730999999999999</v>
          </cell>
          <cell r="AW164">
            <v>3.8182354430379744</v>
          </cell>
          <cell r="AX164">
            <v>4.0094000000000003</v>
          </cell>
          <cell r="AZ164">
            <v>68</v>
          </cell>
          <cell r="BA164">
            <v>68</v>
          </cell>
          <cell r="BC164">
            <v>2020</v>
          </cell>
        </row>
        <row r="165">
          <cell r="D165">
            <v>44197</v>
          </cell>
          <cell r="E165">
            <v>34.99</v>
          </cell>
          <cell r="F165">
            <v>32.9</v>
          </cell>
          <cell r="G165">
            <v>32.262500000000003</v>
          </cell>
          <cell r="H165">
            <v>35.929699999999997</v>
          </cell>
          <cell r="J165">
            <v>32.4</v>
          </cell>
          <cell r="K165">
            <v>32.4</v>
          </cell>
          <cell r="L165">
            <v>36.25</v>
          </cell>
          <cell r="M165">
            <v>30.925000000000001</v>
          </cell>
          <cell r="N165">
            <v>29.41</v>
          </cell>
          <cell r="O165">
            <v>27.99</v>
          </cell>
          <cell r="P165">
            <v>31.978300000000001</v>
          </cell>
          <cell r="R165">
            <v>28.91</v>
          </cell>
          <cell r="S165">
            <v>28.91</v>
          </cell>
          <cell r="T165">
            <v>30.31</v>
          </cell>
          <cell r="U165">
            <v>33.110483870967741</v>
          </cell>
          <cell r="V165">
            <v>31.286344086021508</v>
          </cell>
          <cell r="W165">
            <v>30.287043010752686</v>
          </cell>
          <cell r="Z165">
            <v>30.786344086021501</v>
          </cell>
          <cell r="AC165">
            <v>3.3820000000000001</v>
          </cell>
          <cell r="AD165">
            <v>3.6444999999999999</v>
          </cell>
          <cell r="AE165">
            <v>3.3523999999999998</v>
          </cell>
          <cell r="AF165">
            <v>3.3769999999999998</v>
          </cell>
          <cell r="AG165">
            <v>3.3519999999999999</v>
          </cell>
          <cell r="AH165">
            <v>2.887</v>
          </cell>
          <cell r="AI165">
            <v>3.657</v>
          </cell>
          <cell r="AJ165">
            <v>3.5272000000000001</v>
          </cell>
          <cell r="AK165">
            <v>3.6577000000000002</v>
          </cell>
          <cell r="AL165">
            <v>3.4754999999999998</v>
          </cell>
          <cell r="AM165">
            <v>3.7077</v>
          </cell>
          <cell r="AN165">
            <v>3.4918999999999998</v>
          </cell>
          <cell r="AO165">
            <v>3.3582983520343648</v>
          </cell>
          <cell r="AP165">
            <v>3.4150156288891158</v>
          </cell>
          <cell r="AQ165">
            <v>3.642119088215189</v>
          </cell>
          <cell r="AR165">
            <v>3.4540342966438851</v>
          </cell>
          <cell r="AS165">
            <v>3.723637308365058</v>
          </cell>
          <cell r="AT165">
            <v>3.4335225125525155</v>
          </cell>
          <cell r="AU165">
            <v>3.4193761224489796</v>
          </cell>
          <cell r="AV165">
            <v>3.3673999999999999</v>
          </cell>
          <cell r="AW165">
            <v>3.7220329113924047</v>
          </cell>
          <cell r="AX165">
            <v>3.9083999999999999</v>
          </cell>
          <cell r="AZ165">
            <v>69</v>
          </cell>
          <cell r="BA165">
            <v>69</v>
          </cell>
          <cell r="BC165">
            <v>2021</v>
          </cell>
        </row>
        <row r="166">
          <cell r="D166">
            <v>44228</v>
          </cell>
          <cell r="E166">
            <v>34.42</v>
          </cell>
          <cell r="F166">
            <v>32.375</v>
          </cell>
          <cell r="G166">
            <v>31.504999999999999</v>
          </cell>
          <cell r="H166">
            <v>35.321800000000003</v>
          </cell>
          <cell r="J166">
            <v>32.375</v>
          </cell>
          <cell r="K166">
            <v>31.375</v>
          </cell>
          <cell r="L166">
            <v>35.725000000000001</v>
          </cell>
          <cell r="M166">
            <v>29.7</v>
          </cell>
          <cell r="N166">
            <v>28.682500000000001</v>
          </cell>
          <cell r="O166">
            <v>27.322500000000002</v>
          </cell>
          <cell r="P166">
            <v>30.952500000000001</v>
          </cell>
          <cell r="R166">
            <v>28.182500000000001</v>
          </cell>
          <cell r="S166">
            <v>27.432500000000001</v>
          </cell>
          <cell r="T166">
            <v>29.3325</v>
          </cell>
          <cell r="U166">
            <v>32.39714285714286</v>
          </cell>
          <cell r="V166">
            <v>30.792499999999997</v>
          </cell>
          <cell r="W166">
            <v>29.712500000000002</v>
          </cell>
          <cell r="Z166">
            <v>30.578214285714289</v>
          </cell>
          <cell r="AC166">
            <v>3.3685</v>
          </cell>
          <cell r="AD166">
            <v>3.431</v>
          </cell>
          <cell r="AE166">
            <v>3.339</v>
          </cell>
          <cell r="AF166">
            <v>3.3610000000000002</v>
          </cell>
          <cell r="AG166">
            <v>3.3359999999999999</v>
          </cell>
          <cell r="AH166">
            <v>2.8759999999999999</v>
          </cell>
          <cell r="AI166">
            <v>3.6259999999999999</v>
          </cell>
          <cell r="AJ166">
            <v>3.5133000000000001</v>
          </cell>
          <cell r="AK166">
            <v>3.6436999999999999</v>
          </cell>
          <cell r="AL166">
            <v>3.4618000000000002</v>
          </cell>
          <cell r="AM166">
            <v>3.6937000000000002</v>
          </cell>
          <cell r="AN166">
            <v>3.4781</v>
          </cell>
          <cell r="AO166">
            <v>3.3447493044822258</v>
          </cell>
          <cell r="AP166">
            <v>3.401244334387433</v>
          </cell>
          <cell r="AQ166">
            <v>3.5250479652658222</v>
          </cell>
          <cell r="AR166">
            <v>3.4402630021422018</v>
          </cell>
          <cell r="AS166">
            <v>3.7071747093322363</v>
          </cell>
          <cell r="AT166">
            <v>3.4299360795163443</v>
          </cell>
          <cell r="AU166">
            <v>3.4056006122448981</v>
          </cell>
          <cell r="AV166">
            <v>3.3540000000000001</v>
          </cell>
          <cell r="AW166">
            <v>3.5058303797468349</v>
          </cell>
          <cell r="AX166">
            <v>3.6816</v>
          </cell>
          <cell r="AZ166">
            <v>70</v>
          </cell>
          <cell r="BA166">
            <v>70</v>
          </cell>
          <cell r="BC166">
            <v>2021</v>
          </cell>
        </row>
        <row r="167">
          <cell r="D167">
            <v>44256</v>
          </cell>
          <cell r="E167">
            <v>32.14</v>
          </cell>
          <cell r="F167">
            <v>30.274999999999999</v>
          </cell>
          <cell r="G167">
            <v>29.232500000000002</v>
          </cell>
          <cell r="H167">
            <v>32.889699999999998</v>
          </cell>
          <cell r="J167">
            <v>30.274999999999999</v>
          </cell>
          <cell r="K167">
            <v>29.274999999999999</v>
          </cell>
          <cell r="L167">
            <v>33.625</v>
          </cell>
          <cell r="M167">
            <v>28.475000000000001</v>
          </cell>
          <cell r="N167">
            <v>27.227499999999999</v>
          </cell>
          <cell r="O167">
            <v>25.987500000000001</v>
          </cell>
          <cell r="P167">
            <v>29.9267</v>
          </cell>
          <cell r="R167">
            <v>26.727499999999999</v>
          </cell>
          <cell r="S167">
            <v>25.727499999999999</v>
          </cell>
          <cell r="T167">
            <v>27.877500000000001</v>
          </cell>
          <cell r="U167">
            <v>30.605928667563933</v>
          </cell>
          <cell r="V167">
            <v>28.999397711978464</v>
          </cell>
          <cell r="W167">
            <v>27.874229475100943</v>
          </cell>
          <cell r="Z167">
            <v>28.790111036339166</v>
          </cell>
          <cell r="AC167">
            <v>3.3039999999999998</v>
          </cell>
          <cell r="AD167">
            <v>3.3965000000000001</v>
          </cell>
          <cell r="AE167">
            <v>3.2774999999999999</v>
          </cell>
          <cell r="AF167">
            <v>3.2989999999999999</v>
          </cell>
          <cell r="AG167">
            <v>3.274</v>
          </cell>
          <cell r="AH167">
            <v>2.839</v>
          </cell>
          <cell r="AI167">
            <v>3.5615000000000001</v>
          </cell>
          <cell r="AJ167">
            <v>3.4466000000000001</v>
          </cell>
          <cell r="AK167">
            <v>3.5769000000000002</v>
          </cell>
          <cell r="AL167">
            <v>3.3963999999999999</v>
          </cell>
          <cell r="AM167">
            <v>3.6269</v>
          </cell>
          <cell r="AN167">
            <v>3.4121000000000001</v>
          </cell>
          <cell r="AO167">
            <v>3.2800149661775633</v>
          </cell>
          <cell r="AP167">
            <v>3.3354481495460577</v>
          </cell>
          <cell r="AQ167">
            <v>3.4755158903291137</v>
          </cell>
          <cell r="AR167">
            <v>3.3744668173008265</v>
          </cell>
          <cell r="AS167">
            <v>3.6433821380800495</v>
          </cell>
          <cell r="AT167">
            <v>3.1614659493800596</v>
          </cell>
          <cell r="AU167">
            <v>3.3397842857142859</v>
          </cell>
          <cell r="AV167">
            <v>3.2925</v>
          </cell>
          <cell r="AW167">
            <v>3.4708936708860758</v>
          </cell>
          <cell r="AX167">
            <v>3.6448999999999998</v>
          </cell>
          <cell r="AZ167">
            <v>71</v>
          </cell>
          <cell r="BA167">
            <v>71</v>
          </cell>
          <cell r="BC167">
            <v>2021</v>
          </cell>
        </row>
        <row r="168">
          <cell r="D168">
            <v>44287</v>
          </cell>
          <cell r="E168">
            <v>29.83</v>
          </cell>
          <cell r="F168">
            <v>26.015000000000001</v>
          </cell>
          <cell r="G168">
            <v>26.35</v>
          </cell>
          <cell r="H168">
            <v>27.9573</v>
          </cell>
          <cell r="J168">
            <v>24.515000000000001</v>
          </cell>
          <cell r="K168">
            <v>24.515000000000001</v>
          </cell>
          <cell r="L168">
            <v>29.114999999999998</v>
          </cell>
          <cell r="M168">
            <v>24.887499999999999</v>
          </cell>
          <cell r="N168">
            <v>22.25</v>
          </cell>
          <cell r="O168">
            <v>18.739999999999998</v>
          </cell>
          <cell r="P168">
            <v>25.5656</v>
          </cell>
          <cell r="R168">
            <v>21.5</v>
          </cell>
          <cell r="S168">
            <v>21.25</v>
          </cell>
          <cell r="T168">
            <v>24.25</v>
          </cell>
          <cell r="U168">
            <v>27.743166666666664</v>
          </cell>
          <cell r="V168">
            <v>24.425333333333331</v>
          </cell>
          <cell r="W168">
            <v>23.13688888888889</v>
          </cell>
          <cell r="Z168">
            <v>23.241999999999997</v>
          </cell>
          <cell r="AC168">
            <v>2.9540000000000002</v>
          </cell>
          <cell r="AD168">
            <v>2.7639999999999998</v>
          </cell>
          <cell r="AE168">
            <v>2.8654999999999999</v>
          </cell>
          <cell r="AF168">
            <v>2.9590000000000001</v>
          </cell>
          <cell r="AG168">
            <v>3.0089999999999999</v>
          </cell>
          <cell r="AH168">
            <v>2.6139999999999999</v>
          </cell>
          <cell r="AI168">
            <v>3.2265000000000001</v>
          </cell>
          <cell r="AJ168">
            <v>3.0849000000000002</v>
          </cell>
          <cell r="AK168">
            <v>3.2145000000000001</v>
          </cell>
          <cell r="AL168">
            <v>3.0415000000000001</v>
          </cell>
          <cell r="AM168">
            <v>3.2645</v>
          </cell>
          <cell r="AN168">
            <v>3.0539999999999998</v>
          </cell>
          <cell r="AO168">
            <v>2.9287433629739663</v>
          </cell>
          <cell r="AP168">
            <v>2.9784145883913093</v>
          </cell>
          <cell r="AQ168">
            <v>2.936596595835443</v>
          </cell>
          <cell r="AR168">
            <v>3.0174332561460782</v>
          </cell>
          <cell r="AS168">
            <v>3.2935519086325757</v>
          </cell>
          <cell r="AT168">
            <v>2.7387791986883903</v>
          </cell>
          <cell r="AU168">
            <v>2.9826414285714287</v>
          </cell>
          <cell r="AV168">
            <v>2.8805000000000001</v>
          </cell>
          <cell r="AW168">
            <v>2.8303873417721515</v>
          </cell>
          <cell r="AX168">
            <v>2.9727999999999999</v>
          </cell>
          <cell r="AZ168">
            <v>72</v>
          </cell>
          <cell r="BA168">
            <v>72</v>
          </cell>
          <cell r="BC168">
            <v>2021</v>
          </cell>
        </row>
        <row r="169">
          <cell r="D169">
            <v>44317</v>
          </cell>
          <cell r="E169">
            <v>26.75</v>
          </cell>
          <cell r="F169">
            <v>26.682500000000001</v>
          </cell>
          <cell r="G169">
            <v>21.31</v>
          </cell>
          <cell r="H169">
            <v>26.6524</v>
          </cell>
          <cell r="J169">
            <v>26.682500000000001</v>
          </cell>
          <cell r="K169">
            <v>26.682500000000001</v>
          </cell>
          <cell r="L169">
            <v>29.782499999999999</v>
          </cell>
          <cell r="M169">
            <v>18.587499999999999</v>
          </cell>
          <cell r="N169">
            <v>22.06</v>
          </cell>
          <cell r="O169">
            <v>15.5</v>
          </cell>
          <cell r="P169">
            <v>20.2959</v>
          </cell>
          <cell r="R169">
            <v>22.06</v>
          </cell>
          <cell r="S169">
            <v>21.56</v>
          </cell>
          <cell r="T169">
            <v>23.81</v>
          </cell>
          <cell r="U169">
            <v>22.975940860215054</v>
          </cell>
          <cell r="V169">
            <v>24.545215053763439</v>
          </cell>
          <cell r="W169">
            <v>18.623655913978492</v>
          </cell>
          <cell r="Z169">
            <v>24.545215053763439</v>
          </cell>
          <cell r="AC169">
            <v>2.8839999999999999</v>
          </cell>
          <cell r="AD169">
            <v>2.7090000000000001</v>
          </cell>
          <cell r="AE169">
            <v>2.8555000000000001</v>
          </cell>
          <cell r="AF169">
            <v>2.9489999999999998</v>
          </cell>
          <cell r="AG169">
            <v>3.004</v>
          </cell>
          <cell r="AH169">
            <v>2.5514999999999999</v>
          </cell>
          <cell r="AI169">
            <v>3.2614999999999998</v>
          </cell>
          <cell r="AJ169">
            <v>3.0125000000000002</v>
          </cell>
          <cell r="AK169">
            <v>3.1419999999999999</v>
          </cell>
          <cell r="AL169">
            <v>2.9704999999999999</v>
          </cell>
          <cell r="AM169">
            <v>3.1920000000000002</v>
          </cell>
          <cell r="AN169">
            <v>2.9823</v>
          </cell>
          <cell r="AO169">
            <v>2.8584890423332467</v>
          </cell>
          <cell r="AP169">
            <v>2.9070078761603595</v>
          </cell>
          <cell r="AQ169">
            <v>2.9030592534303796</v>
          </cell>
          <cell r="AR169">
            <v>2.9460265439151283</v>
          </cell>
          <cell r="AS169">
            <v>3.2832627842370616</v>
          </cell>
          <cell r="AT169">
            <v>2.7746435290501079</v>
          </cell>
          <cell r="AU169">
            <v>2.9112128571428575</v>
          </cell>
          <cell r="AV169">
            <v>2.8704999999999998</v>
          </cell>
          <cell r="AW169">
            <v>2.774691139240506</v>
          </cell>
          <cell r="AX169">
            <v>2.9142999999999999</v>
          </cell>
          <cell r="AZ169">
            <v>73</v>
          </cell>
          <cell r="BA169">
            <v>73</v>
          </cell>
          <cell r="BC169">
            <v>2021</v>
          </cell>
        </row>
        <row r="170">
          <cell r="D170">
            <v>44348</v>
          </cell>
          <cell r="E170">
            <v>26.97</v>
          </cell>
          <cell r="F170">
            <v>29.13</v>
          </cell>
          <cell r="G170">
            <v>20.59</v>
          </cell>
          <cell r="H170">
            <v>27.350200000000001</v>
          </cell>
          <cell r="J170">
            <v>28.38</v>
          </cell>
          <cell r="K170">
            <v>29.13</v>
          </cell>
          <cell r="L170">
            <v>32.729999999999997</v>
          </cell>
          <cell r="M170">
            <v>19.375</v>
          </cell>
          <cell r="N170">
            <v>23.01</v>
          </cell>
          <cell r="O170">
            <v>13.7</v>
          </cell>
          <cell r="P170">
            <v>20.689699999999998</v>
          </cell>
          <cell r="R170">
            <v>22.51</v>
          </cell>
          <cell r="S170">
            <v>22.51</v>
          </cell>
          <cell r="T170">
            <v>25.26</v>
          </cell>
          <cell r="U170">
            <v>23.763222222222222</v>
          </cell>
          <cell r="V170">
            <v>26.545999999999999</v>
          </cell>
          <cell r="W170">
            <v>17.680888888888891</v>
          </cell>
          <cell r="Z170">
            <v>25.901555555555554</v>
          </cell>
          <cell r="AC170">
            <v>2.9140000000000001</v>
          </cell>
          <cell r="AD170">
            <v>2.7065000000000001</v>
          </cell>
          <cell r="AE170">
            <v>2.8902999999999999</v>
          </cell>
          <cell r="AF170">
            <v>2.984</v>
          </cell>
          <cell r="AG170">
            <v>3.0339999999999998</v>
          </cell>
          <cell r="AH170">
            <v>2.5465</v>
          </cell>
          <cell r="AI170">
            <v>3.2965</v>
          </cell>
          <cell r="AJ170">
            <v>3.0436000000000001</v>
          </cell>
          <cell r="AK170">
            <v>3.1730999999999998</v>
          </cell>
          <cell r="AL170">
            <v>3.0009000000000001</v>
          </cell>
          <cell r="AM170">
            <v>3.2231000000000001</v>
          </cell>
          <cell r="AN170">
            <v>3.0129999999999999</v>
          </cell>
          <cell r="AO170">
            <v>2.8885980368935549</v>
          </cell>
          <cell r="AP170">
            <v>2.9376107528307664</v>
          </cell>
          <cell r="AQ170">
            <v>2.9197247328101263</v>
          </cell>
          <cell r="AR170">
            <v>2.9766294205855357</v>
          </cell>
          <cell r="AS170">
            <v>3.3192747196213603</v>
          </cell>
          <cell r="AT170">
            <v>2.7925756942309667</v>
          </cell>
          <cell r="AU170">
            <v>2.9418251020408164</v>
          </cell>
          <cell r="AV170">
            <v>2.9053</v>
          </cell>
          <cell r="AW170">
            <v>2.7721594936708858</v>
          </cell>
          <cell r="AX170">
            <v>2.9117000000000002</v>
          </cell>
          <cell r="AZ170">
            <v>74</v>
          </cell>
          <cell r="BA170">
            <v>74</v>
          </cell>
          <cell r="BC170">
            <v>2021</v>
          </cell>
        </row>
        <row r="171">
          <cell r="D171">
            <v>44378</v>
          </cell>
          <cell r="E171">
            <v>35.192500000000003</v>
          </cell>
          <cell r="F171">
            <v>38.4</v>
          </cell>
          <cell r="G171">
            <v>30.35</v>
          </cell>
          <cell r="H171">
            <v>36.069000000000003</v>
          </cell>
          <cell r="J171">
            <v>43.4</v>
          </cell>
          <cell r="K171">
            <v>43.9</v>
          </cell>
          <cell r="L171">
            <v>43.75</v>
          </cell>
          <cell r="M171">
            <v>23.567499999999999</v>
          </cell>
          <cell r="N171">
            <v>27.465</v>
          </cell>
          <cell r="O171">
            <v>21.827500000000001</v>
          </cell>
          <cell r="P171">
            <v>27.116700000000002</v>
          </cell>
          <cell r="R171">
            <v>28.465</v>
          </cell>
          <cell r="S171">
            <v>28.465</v>
          </cell>
          <cell r="T171">
            <v>29.965</v>
          </cell>
          <cell r="U171">
            <v>30.067499999999999</v>
          </cell>
          <cell r="V171">
            <v>33.579193548387096</v>
          </cell>
          <cell r="W171">
            <v>26.592768817204302</v>
          </cell>
          <cell r="Z171">
            <v>36.815752688172047</v>
          </cell>
          <cell r="AC171">
            <v>2.9735</v>
          </cell>
          <cell r="AD171">
            <v>2.9184999999999999</v>
          </cell>
          <cell r="AE171">
            <v>2.9767000000000001</v>
          </cell>
          <cell r="AF171">
            <v>3.0259999999999998</v>
          </cell>
          <cell r="AG171">
            <v>3.0710000000000002</v>
          </cell>
          <cell r="AH171">
            <v>2.581</v>
          </cell>
          <cell r="AI171">
            <v>3.5510000000000002</v>
          </cell>
          <cell r="AJ171">
            <v>3.105</v>
          </cell>
          <cell r="AK171">
            <v>3.2347000000000001</v>
          </cell>
          <cell r="AL171">
            <v>3.0613000000000001</v>
          </cell>
          <cell r="AM171">
            <v>3.2847</v>
          </cell>
          <cell r="AN171">
            <v>3.0739000000000001</v>
          </cell>
          <cell r="AO171">
            <v>2.9483142094381662</v>
          </cell>
          <cell r="AP171">
            <v>2.9983064582270735</v>
          </cell>
          <cell r="AQ171">
            <v>3.0736869324050633</v>
          </cell>
          <cell r="AR171">
            <v>3.0373251259818428</v>
          </cell>
          <cell r="AS171">
            <v>3.3624890420825189</v>
          </cell>
          <cell r="AT171">
            <v>2.8740389589097246</v>
          </cell>
          <cell r="AU171">
            <v>3.0025393877551019</v>
          </cell>
          <cell r="AV171">
            <v>2.9916999999999998</v>
          </cell>
          <cell r="AW171">
            <v>2.9868430379746829</v>
          </cell>
          <cell r="AX171">
            <v>3.137</v>
          </cell>
          <cell r="AZ171">
            <v>75</v>
          </cell>
          <cell r="BA171">
            <v>75</v>
          </cell>
          <cell r="BC171">
            <v>2021</v>
          </cell>
        </row>
        <row r="172">
          <cell r="D172">
            <v>44409</v>
          </cell>
          <cell r="E172">
            <v>37.31</v>
          </cell>
          <cell r="F172">
            <v>37.799999999999997</v>
          </cell>
          <cell r="G172">
            <v>35.119999999999997</v>
          </cell>
          <cell r="H172">
            <v>37.291600000000003</v>
          </cell>
          <cell r="J172">
            <v>42.3</v>
          </cell>
          <cell r="K172">
            <v>43.3</v>
          </cell>
          <cell r="L172">
            <v>42.65</v>
          </cell>
          <cell r="M172">
            <v>30.774999999999999</v>
          </cell>
          <cell r="N172">
            <v>29.67</v>
          </cell>
          <cell r="O172">
            <v>26.6</v>
          </cell>
          <cell r="P172">
            <v>31.547000000000001</v>
          </cell>
          <cell r="R172">
            <v>30.67</v>
          </cell>
          <cell r="S172">
            <v>30.67</v>
          </cell>
          <cell r="T172">
            <v>32.17</v>
          </cell>
          <cell r="U172">
            <v>34.428978494623657</v>
          </cell>
          <cell r="V172">
            <v>34.215806451612899</v>
          </cell>
          <cell r="W172">
            <v>31.363870967741935</v>
          </cell>
          <cell r="Z172">
            <v>37.17279569892473</v>
          </cell>
          <cell r="AC172">
            <v>3.0055000000000001</v>
          </cell>
          <cell r="AD172">
            <v>2.9104999999999999</v>
          </cell>
          <cell r="AE172">
            <v>3.0283000000000002</v>
          </cell>
          <cell r="AF172">
            <v>3.093</v>
          </cell>
          <cell r="AG172">
            <v>3.1030000000000002</v>
          </cell>
          <cell r="AH172">
            <v>2.5705</v>
          </cell>
          <cell r="AI172">
            <v>3.573</v>
          </cell>
          <cell r="AJ172">
            <v>3.1381000000000001</v>
          </cell>
          <cell r="AK172">
            <v>3.2677999999999998</v>
          </cell>
          <cell r="AL172">
            <v>3.0937000000000001</v>
          </cell>
          <cell r="AM172">
            <v>3.3178000000000001</v>
          </cell>
          <cell r="AN172">
            <v>3.1067</v>
          </cell>
          <cell r="AO172">
            <v>2.9804304703024953</v>
          </cell>
          <cell r="AP172">
            <v>3.0309495266755078</v>
          </cell>
          <cell r="AQ172">
            <v>3.0961827497721517</v>
          </cell>
          <cell r="AR172">
            <v>3.069968194430277</v>
          </cell>
          <cell r="AS172">
            <v>3.4314261755324624</v>
          </cell>
          <cell r="AT172">
            <v>2.9068292038118662</v>
          </cell>
          <cell r="AU172">
            <v>3.0351924489795916</v>
          </cell>
          <cell r="AV172">
            <v>3.0432999999999999</v>
          </cell>
          <cell r="AW172">
            <v>2.9787417721518983</v>
          </cell>
          <cell r="AX172">
            <v>3.1284999999999998</v>
          </cell>
          <cell r="AZ172">
            <v>76</v>
          </cell>
          <cell r="BA172">
            <v>76</v>
          </cell>
          <cell r="BC172">
            <v>2021</v>
          </cell>
        </row>
        <row r="173">
          <cell r="D173">
            <v>44440</v>
          </cell>
          <cell r="E173">
            <v>35.797499999999999</v>
          </cell>
          <cell r="F173">
            <v>33.6</v>
          </cell>
          <cell r="G173">
            <v>33.53</v>
          </cell>
          <cell r="H173">
            <v>35.224400000000003</v>
          </cell>
          <cell r="J173">
            <v>36.6</v>
          </cell>
          <cell r="K173">
            <v>37.6</v>
          </cell>
          <cell r="L173">
            <v>37.700000000000003</v>
          </cell>
          <cell r="M173">
            <v>31.0075</v>
          </cell>
          <cell r="N173">
            <v>29.18</v>
          </cell>
          <cell r="O173">
            <v>31.372499999999999</v>
          </cell>
          <cell r="P173">
            <v>31.25</v>
          </cell>
          <cell r="R173">
            <v>27.68</v>
          </cell>
          <cell r="S173">
            <v>27.68</v>
          </cell>
          <cell r="T173">
            <v>31.43</v>
          </cell>
          <cell r="U173">
            <v>33.668611111111119</v>
          </cell>
          <cell r="V173">
            <v>31.635555555555555</v>
          </cell>
          <cell r="W173">
            <v>32.571111111111115</v>
          </cell>
          <cell r="Z173">
            <v>32.635555555555563</v>
          </cell>
          <cell r="AC173">
            <v>3.0074999999999998</v>
          </cell>
          <cell r="AD173">
            <v>2.9624999999999999</v>
          </cell>
          <cell r="AE173">
            <v>3.0327999999999999</v>
          </cell>
          <cell r="AF173">
            <v>3.0775000000000001</v>
          </cell>
          <cell r="AG173">
            <v>3.105</v>
          </cell>
          <cell r="AH173">
            <v>2.625</v>
          </cell>
          <cell r="AI173">
            <v>3.3925000000000001</v>
          </cell>
          <cell r="AJ173">
            <v>3.1402000000000001</v>
          </cell>
          <cell r="AK173">
            <v>3.2698999999999998</v>
          </cell>
          <cell r="AL173">
            <v>3.0956999999999999</v>
          </cell>
          <cell r="AM173">
            <v>3.3199000000000001</v>
          </cell>
          <cell r="AN173">
            <v>3.1086999999999998</v>
          </cell>
          <cell r="AO173">
            <v>2.9824377366065162</v>
          </cell>
          <cell r="AP173">
            <v>3.032989718453535</v>
          </cell>
          <cell r="AQ173">
            <v>3.1253344397088609</v>
          </cell>
          <cell r="AR173">
            <v>3.0720083862083039</v>
          </cell>
          <cell r="AS173">
            <v>3.4154780327194159</v>
          </cell>
          <cell r="AT173">
            <v>2.9037551183522905</v>
          </cell>
          <cell r="AU173">
            <v>3.0372332653061225</v>
          </cell>
          <cell r="AV173">
            <v>3.0478000000000001</v>
          </cell>
          <cell r="AW173">
            <v>3.0313999999999997</v>
          </cell>
          <cell r="AX173">
            <v>3.1837</v>
          </cell>
          <cell r="AZ173">
            <v>77</v>
          </cell>
          <cell r="BA173">
            <v>77</v>
          </cell>
          <cell r="BC173">
            <v>2021</v>
          </cell>
        </row>
        <row r="174">
          <cell r="D174">
            <v>44470</v>
          </cell>
          <cell r="E174">
            <v>34.215000000000003</v>
          </cell>
          <cell r="F174">
            <v>33.645000000000003</v>
          </cell>
          <cell r="G174">
            <v>32.887500000000003</v>
          </cell>
          <cell r="H174">
            <v>34.7834</v>
          </cell>
          <cell r="J174">
            <v>33.145000000000003</v>
          </cell>
          <cell r="K174">
            <v>33.645000000000003</v>
          </cell>
          <cell r="L174">
            <v>36.744999999999997</v>
          </cell>
          <cell r="M174">
            <v>29.44</v>
          </cell>
          <cell r="N174">
            <v>29.44</v>
          </cell>
          <cell r="O174">
            <v>27.024999999999999</v>
          </cell>
          <cell r="P174">
            <v>30.5791</v>
          </cell>
          <cell r="R174">
            <v>28.44</v>
          </cell>
          <cell r="S174">
            <v>27.94</v>
          </cell>
          <cell r="T174">
            <v>31.19</v>
          </cell>
          <cell r="U174">
            <v>32.109892473118286</v>
          </cell>
          <cell r="V174">
            <v>31.791182795698926</v>
          </cell>
          <cell r="W174">
            <v>30.302956989247317</v>
          </cell>
          <cell r="Z174">
            <v>31.070752688172043</v>
          </cell>
          <cell r="AC174">
            <v>3.0445000000000002</v>
          </cell>
          <cell r="AD174">
            <v>2.992</v>
          </cell>
          <cell r="AE174">
            <v>3.0644999999999998</v>
          </cell>
          <cell r="AF174">
            <v>3.0870000000000002</v>
          </cell>
          <cell r="AG174">
            <v>3.1419999999999999</v>
          </cell>
          <cell r="AH174">
            <v>2.6745000000000001</v>
          </cell>
          <cell r="AI174">
            <v>3.327</v>
          </cell>
          <cell r="AJ174">
            <v>3.1783999999999999</v>
          </cell>
          <cell r="AK174">
            <v>3.3081999999999998</v>
          </cell>
          <cell r="AL174">
            <v>3.1333000000000002</v>
          </cell>
          <cell r="AM174">
            <v>3.3582000000000001</v>
          </cell>
          <cell r="AN174">
            <v>3.1465999999999998</v>
          </cell>
          <cell r="AO174">
            <v>3.0195721632308961</v>
          </cell>
          <cell r="AP174">
            <v>3.070733266347037</v>
          </cell>
          <cell r="AQ174">
            <v>3.1569111374810124</v>
          </cell>
          <cell r="AR174">
            <v>3.1097519341018063</v>
          </cell>
          <cell r="AS174">
            <v>3.4252527008951543</v>
          </cell>
          <cell r="AT174">
            <v>2.9442305769033714</v>
          </cell>
          <cell r="AU174">
            <v>3.0749883673469389</v>
          </cell>
          <cell r="AV174">
            <v>3.0794999999999999</v>
          </cell>
          <cell r="AW174">
            <v>3.0612734177215186</v>
          </cell>
          <cell r="AX174">
            <v>3.2151000000000001</v>
          </cell>
          <cell r="AZ174">
            <v>78</v>
          </cell>
          <cell r="BA174">
            <v>78</v>
          </cell>
          <cell r="BC174">
            <v>2021</v>
          </cell>
        </row>
        <row r="175">
          <cell r="D175">
            <v>44501</v>
          </cell>
          <cell r="E175">
            <v>36.045000000000002</v>
          </cell>
          <cell r="F175">
            <v>32.282499999999999</v>
          </cell>
          <cell r="G175">
            <v>33.977499999999999</v>
          </cell>
          <cell r="H175">
            <v>36.523800000000001</v>
          </cell>
          <cell r="J175">
            <v>31.782499999999999</v>
          </cell>
          <cell r="K175">
            <v>30.782499999999999</v>
          </cell>
          <cell r="L175">
            <v>35.3825</v>
          </cell>
          <cell r="M175">
            <v>29.945</v>
          </cell>
          <cell r="N175">
            <v>28.945</v>
          </cell>
          <cell r="O175">
            <v>30.28</v>
          </cell>
          <cell r="P175">
            <v>31.1189</v>
          </cell>
          <cell r="R175">
            <v>28.445</v>
          </cell>
          <cell r="S175">
            <v>27.445</v>
          </cell>
          <cell r="T175">
            <v>30.695</v>
          </cell>
          <cell r="U175">
            <v>33.329188626907076</v>
          </cell>
          <cell r="V175">
            <v>30.796595006934815</v>
          </cell>
          <cell r="W175">
            <v>32.331317614424414</v>
          </cell>
          <cell r="Z175">
            <v>30.296595006934812</v>
          </cell>
          <cell r="AC175">
            <v>3.2269999999999999</v>
          </cell>
          <cell r="AD175">
            <v>3.4870000000000001</v>
          </cell>
          <cell r="AE175">
            <v>3.2357999999999998</v>
          </cell>
          <cell r="AF175">
            <v>3.2519999999999998</v>
          </cell>
          <cell r="AG175">
            <v>3.222</v>
          </cell>
          <cell r="AH175">
            <v>2.7995000000000001</v>
          </cell>
          <cell r="AI175">
            <v>3.5295000000000001</v>
          </cell>
          <cell r="AJ175">
            <v>3.367</v>
          </cell>
          <cell r="AK175">
            <v>3.4971999999999999</v>
          </cell>
          <cell r="AL175">
            <v>3.3182999999999998</v>
          </cell>
          <cell r="AM175">
            <v>3.5472000000000001</v>
          </cell>
          <cell r="AN175">
            <v>3.3332999999999999</v>
          </cell>
          <cell r="AO175">
            <v>3.202735213472772</v>
          </cell>
          <cell r="AP175">
            <v>3.2569007660920133</v>
          </cell>
          <cell r="AQ175">
            <v>3.5006946950886073</v>
          </cell>
          <cell r="AR175">
            <v>3.2959194338467821</v>
          </cell>
          <cell r="AS175">
            <v>3.5950232534211337</v>
          </cell>
          <cell r="AT175">
            <v>3.2080895788502923</v>
          </cell>
          <cell r="AU175">
            <v>3.2612128571428576</v>
          </cell>
          <cell r="AV175">
            <v>3.2507999999999999</v>
          </cell>
          <cell r="AW175">
            <v>3.5625392405063288</v>
          </cell>
          <cell r="AX175">
            <v>3.7410999999999999</v>
          </cell>
          <cell r="AZ175">
            <v>79</v>
          </cell>
          <cell r="BA175">
            <v>79</v>
          </cell>
          <cell r="BC175">
            <v>2021</v>
          </cell>
        </row>
        <row r="176">
          <cell r="D176">
            <v>44531</v>
          </cell>
          <cell r="E176">
            <v>38.79</v>
          </cell>
          <cell r="F176">
            <v>33.372500000000002</v>
          </cell>
          <cell r="G176">
            <v>35.884999999999998</v>
          </cell>
          <cell r="H176">
            <v>38.721600000000002</v>
          </cell>
          <cell r="J176">
            <v>32.872500000000002</v>
          </cell>
          <cell r="K176">
            <v>32.622500000000002</v>
          </cell>
          <cell r="L176">
            <v>36.472499999999997</v>
          </cell>
          <cell r="M176">
            <v>31.965</v>
          </cell>
          <cell r="N176">
            <v>29.934999999999999</v>
          </cell>
          <cell r="O176">
            <v>30.745000000000001</v>
          </cell>
          <cell r="P176">
            <v>33.709499999999998</v>
          </cell>
          <cell r="R176">
            <v>29.434999999999999</v>
          </cell>
          <cell r="S176">
            <v>28.934999999999999</v>
          </cell>
          <cell r="T176">
            <v>31.684999999999999</v>
          </cell>
          <cell r="U176">
            <v>35.781129032258065</v>
          </cell>
          <cell r="V176">
            <v>31.857043010752687</v>
          </cell>
          <cell r="W176">
            <v>33.618978494623654</v>
          </cell>
          <cell r="Z176">
            <v>31.357043010752687</v>
          </cell>
          <cell r="AC176">
            <v>3.4405000000000001</v>
          </cell>
          <cell r="AD176">
            <v>3.8879999999999999</v>
          </cell>
          <cell r="AE176">
            <v>3.4030999999999998</v>
          </cell>
          <cell r="AF176">
            <v>3.4430000000000001</v>
          </cell>
          <cell r="AG176">
            <v>3.3780000000000001</v>
          </cell>
          <cell r="AH176">
            <v>2.9405000000000001</v>
          </cell>
          <cell r="AI176">
            <v>3.7155</v>
          </cell>
          <cell r="AJ176">
            <v>3.5876999999999999</v>
          </cell>
          <cell r="AK176">
            <v>3.7183000000000002</v>
          </cell>
          <cell r="AL176">
            <v>3.5348999999999999</v>
          </cell>
          <cell r="AM176">
            <v>3.7683</v>
          </cell>
          <cell r="AN176">
            <v>3.5518000000000001</v>
          </cell>
          <cell r="AO176">
            <v>3.4170108914269659</v>
          </cell>
          <cell r="AP176">
            <v>3.4746912383964097</v>
          </cell>
          <cell r="AQ176">
            <v>3.7939142595316451</v>
          </cell>
          <cell r="AR176">
            <v>3.513709906151179</v>
          </cell>
          <cell r="AS176">
            <v>3.7915455293754503</v>
          </cell>
          <cell r="AT176">
            <v>3.4089298288759093</v>
          </cell>
          <cell r="AU176">
            <v>3.4790700000000001</v>
          </cell>
          <cell r="AV176">
            <v>3.4180999999999999</v>
          </cell>
          <cell r="AW176">
            <v>3.9686151898734172</v>
          </cell>
          <cell r="AX176">
            <v>4.1672000000000002</v>
          </cell>
          <cell r="AZ176">
            <v>80</v>
          </cell>
          <cell r="BA176">
            <v>80</v>
          </cell>
          <cell r="BC176">
            <v>2021</v>
          </cell>
        </row>
        <row r="177">
          <cell r="D177">
            <v>44562</v>
          </cell>
          <cell r="E177">
            <v>36.99</v>
          </cell>
          <cell r="F177">
            <v>34.9</v>
          </cell>
          <cell r="G177">
            <v>33.762500000000003</v>
          </cell>
          <cell r="H177">
            <v>37.570999999999998</v>
          </cell>
          <cell r="J177">
            <v>34.4</v>
          </cell>
          <cell r="K177">
            <v>34.4</v>
          </cell>
          <cell r="L177">
            <v>37.15</v>
          </cell>
          <cell r="M177">
            <v>32.174999999999997</v>
          </cell>
          <cell r="N177">
            <v>31.37</v>
          </cell>
          <cell r="O177">
            <v>29.24</v>
          </cell>
          <cell r="P177">
            <v>32.484499999999997</v>
          </cell>
          <cell r="R177">
            <v>30.87</v>
          </cell>
          <cell r="S177">
            <v>30.87</v>
          </cell>
          <cell r="T177">
            <v>33.619999999999997</v>
          </cell>
          <cell r="U177">
            <v>34.763709677419357</v>
          </cell>
          <cell r="V177">
            <v>33.267849462365589</v>
          </cell>
          <cell r="W177">
            <v>31.671451612903226</v>
          </cell>
          <cell r="Z177">
            <v>32.767849462365589</v>
          </cell>
          <cell r="AC177">
            <v>3.569</v>
          </cell>
          <cell r="AD177">
            <v>3.8464999999999998</v>
          </cell>
          <cell r="AE177">
            <v>3.5282</v>
          </cell>
          <cell r="AF177">
            <v>3.5840000000000001</v>
          </cell>
          <cell r="AG177">
            <v>3.5289999999999999</v>
          </cell>
          <cell r="AH177">
            <v>3.109</v>
          </cell>
          <cell r="AI177">
            <v>3.8889999999999998</v>
          </cell>
          <cell r="AJ177">
            <v>3.7204999999999999</v>
          </cell>
          <cell r="AK177">
            <v>3.8513999999999999</v>
          </cell>
          <cell r="AL177">
            <v>3.6652</v>
          </cell>
          <cell r="AM177">
            <v>3.9014000000000002</v>
          </cell>
          <cell r="AN177">
            <v>3.6833</v>
          </cell>
          <cell r="AO177">
            <v>3.5459777514602866</v>
          </cell>
          <cell r="AP177">
            <v>3.605773560134653</v>
          </cell>
          <cell r="AQ177">
            <v>3.8370484414556962</v>
          </cell>
          <cell r="AR177">
            <v>3.6447922278894218</v>
          </cell>
          <cell r="AS177">
            <v>3.9366221833521973</v>
          </cell>
          <cell r="AT177">
            <v>3.6148935546674865</v>
          </cell>
          <cell r="AU177">
            <v>3.6101924489795918</v>
          </cell>
          <cell r="AV177">
            <v>3.5432000000000001</v>
          </cell>
          <cell r="AW177">
            <v>3.9265898734177207</v>
          </cell>
          <cell r="AX177">
            <v>4.1231</v>
          </cell>
          <cell r="AZ177">
            <v>81</v>
          </cell>
          <cell r="BA177">
            <v>81</v>
          </cell>
          <cell r="BC177">
            <v>2022</v>
          </cell>
        </row>
        <row r="178">
          <cell r="D178">
            <v>44593</v>
          </cell>
          <cell r="E178">
            <v>36.42</v>
          </cell>
          <cell r="F178">
            <v>34.375</v>
          </cell>
          <cell r="G178">
            <v>33.005000000000003</v>
          </cell>
          <cell r="H178">
            <v>36.963000000000001</v>
          </cell>
          <cell r="J178">
            <v>34.375</v>
          </cell>
          <cell r="K178">
            <v>33.375</v>
          </cell>
          <cell r="L178">
            <v>36.625</v>
          </cell>
          <cell r="M178">
            <v>30.95</v>
          </cell>
          <cell r="N178">
            <v>30.642499999999998</v>
          </cell>
          <cell r="O178">
            <v>28.572500000000002</v>
          </cell>
          <cell r="P178">
            <v>31.4587</v>
          </cell>
          <cell r="R178">
            <v>30.142499999999998</v>
          </cell>
          <cell r="S178">
            <v>29.392499999999998</v>
          </cell>
          <cell r="T178">
            <v>32.642499999999998</v>
          </cell>
          <cell r="U178">
            <v>34.075714285714284</v>
          </cell>
          <cell r="V178">
            <v>32.775357142857139</v>
          </cell>
          <cell r="W178">
            <v>31.105357142857144</v>
          </cell>
          <cell r="Z178">
            <v>32.561071428571431</v>
          </cell>
          <cell r="AC178">
            <v>3.5505</v>
          </cell>
          <cell r="AD178">
            <v>3.6629999999999998</v>
          </cell>
          <cell r="AE178">
            <v>3.5148000000000001</v>
          </cell>
          <cell r="AF178">
            <v>3.5680000000000001</v>
          </cell>
          <cell r="AG178">
            <v>3.5129999999999999</v>
          </cell>
          <cell r="AH178">
            <v>3.1004999999999998</v>
          </cell>
          <cell r="AI178">
            <v>3.8479999999999999</v>
          </cell>
          <cell r="AJ178">
            <v>3.7014</v>
          </cell>
          <cell r="AK178">
            <v>3.8321999999999998</v>
          </cell>
          <cell r="AL178">
            <v>3.6463999999999999</v>
          </cell>
          <cell r="AM178">
            <v>3.8822000000000001</v>
          </cell>
          <cell r="AN178">
            <v>3.6644000000000001</v>
          </cell>
          <cell r="AO178">
            <v>3.5274105381480965</v>
          </cell>
          <cell r="AP178">
            <v>3.586901786187902</v>
          </cell>
          <cell r="AQ178">
            <v>3.7354560919240503</v>
          </cell>
          <cell r="AR178">
            <v>3.6259204539426713</v>
          </cell>
          <cell r="AS178">
            <v>3.9201595843193746</v>
          </cell>
          <cell r="AT178">
            <v>3.6113071216313148</v>
          </cell>
          <cell r="AU178">
            <v>3.5913148979591836</v>
          </cell>
          <cell r="AV178">
            <v>3.5297999999999998</v>
          </cell>
          <cell r="AW178">
            <v>3.7407670886075941</v>
          </cell>
          <cell r="AX178">
            <v>3.9281000000000001</v>
          </cell>
          <cell r="AZ178">
            <v>82</v>
          </cell>
          <cell r="BA178">
            <v>82</v>
          </cell>
          <cell r="BC178">
            <v>2022</v>
          </cell>
        </row>
        <row r="179">
          <cell r="D179">
            <v>44621</v>
          </cell>
          <cell r="E179">
            <v>34.14</v>
          </cell>
          <cell r="F179">
            <v>32.274999999999999</v>
          </cell>
          <cell r="G179">
            <v>30.732500000000002</v>
          </cell>
          <cell r="H179">
            <v>34.530999999999999</v>
          </cell>
          <cell r="J179">
            <v>32.274999999999999</v>
          </cell>
          <cell r="K179">
            <v>31.274999999999999</v>
          </cell>
          <cell r="L179">
            <v>34.524999999999999</v>
          </cell>
          <cell r="M179">
            <v>29.725000000000001</v>
          </cell>
          <cell r="N179">
            <v>29.1875</v>
          </cell>
          <cell r="O179">
            <v>27.237500000000001</v>
          </cell>
          <cell r="P179">
            <v>30.433</v>
          </cell>
          <cell r="R179">
            <v>28.6875</v>
          </cell>
          <cell r="S179">
            <v>27.6875</v>
          </cell>
          <cell r="T179">
            <v>31.1875</v>
          </cell>
          <cell r="U179">
            <v>32.291998654104979</v>
          </cell>
          <cell r="V179">
            <v>30.982654777927319</v>
          </cell>
          <cell r="W179">
            <v>29.269586137281294</v>
          </cell>
          <cell r="Z179">
            <v>30.773368102288021</v>
          </cell>
          <cell r="AC179">
            <v>3.4860000000000002</v>
          </cell>
          <cell r="AD179">
            <v>3.621</v>
          </cell>
          <cell r="AE179">
            <v>3.4531999999999998</v>
          </cell>
          <cell r="AF179">
            <v>3.5059999999999998</v>
          </cell>
          <cell r="AG179">
            <v>3.4510000000000001</v>
          </cell>
          <cell r="AH179">
            <v>3.0609999999999999</v>
          </cell>
          <cell r="AI179">
            <v>3.7835000000000001</v>
          </cell>
          <cell r="AJ179">
            <v>3.6347</v>
          </cell>
          <cell r="AK179">
            <v>3.7654000000000001</v>
          </cell>
          <cell r="AL179">
            <v>3.581</v>
          </cell>
          <cell r="AM179">
            <v>3.8153999999999999</v>
          </cell>
          <cell r="AN179">
            <v>3.5983999999999998</v>
          </cell>
          <cell r="AO179">
            <v>3.4626761998434339</v>
          </cell>
          <cell r="AP179">
            <v>3.5211056013465272</v>
          </cell>
          <cell r="AQ179">
            <v>3.6820027277215184</v>
          </cell>
          <cell r="AR179">
            <v>3.560124269101296</v>
          </cell>
          <cell r="AS179">
            <v>3.8563670130671879</v>
          </cell>
          <cell r="AT179">
            <v>3.3428369914950307</v>
          </cell>
          <cell r="AU179">
            <v>3.5254985714285718</v>
          </cell>
          <cell r="AV179">
            <v>3.4681999999999999</v>
          </cell>
          <cell r="AW179">
            <v>3.6982354430379742</v>
          </cell>
          <cell r="AX179">
            <v>3.8835000000000002</v>
          </cell>
          <cell r="AZ179">
            <v>83</v>
          </cell>
          <cell r="BA179">
            <v>83</v>
          </cell>
          <cell r="BC179">
            <v>2022</v>
          </cell>
        </row>
        <row r="180">
          <cell r="D180">
            <v>44652</v>
          </cell>
          <cell r="E180">
            <v>31.33</v>
          </cell>
          <cell r="F180">
            <v>28.015000000000001</v>
          </cell>
          <cell r="G180">
            <v>27.85</v>
          </cell>
          <cell r="H180">
            <v>29.348600000000001</v>
          </cell>
          <cell r="J180">
            <v>26.515000000000001</v>
          </cell>
          <cell r="K180">
            <v>26.515000000000001</v>
          </cell>
          <cell r="L180">
            <v>30.015000000000001</v>
          </cell>
          <cell r="M180">
            <v>26.137499999999999</v>
          </cell>
          <cell r="N180">
            <v>24.21</v>
          </cell>
          <cell r="O180">
            <v>19.989999999999998</v>
          </cell>
          <cell r="P180">
            <v>26.665600000000001</v>
          </cell>
          <cell r="R180">
            <v>23.46</v>
          </cell>
          <cell r="S180">
            <v>23.21</v>
          </cell>
          <cell r="T180">
            <v>26.21</v>
          </cell>
          <cell r="U180">
            <v>29.137611111111106</v>
          </cell>
          <cell r="V180">
            <v>26.408444444444442</v>
          </cell>
          <cell r="W180">
            <v>24.531333333333333</v>
          </cell>
          <cell r="Z180">
            <v>25.225111111111111</v>
          </cell>
          <cell r="AC180">
            <v>3.1585000000000001</v>
          </cell>
          <cell r="AD180">
            <v>2.8885000000000001</v>
          </cell>
          <cell r="AE180">
            <v>3.0263</v>
          </cell>
          <cell r="AF180">
            <v>3.1309999999999998</v>
          </cell>
          <cell r="AG180">
            <v>3.1709999999999998</v>
          </cell>
          <cell r="AH180">
            <v>2.806</v>
          </cell>
          <cell r="AI180">
            <v>3.4285000000000001</v>
          </cell>
          <cell r="AJ180">
            <v>3.2961999999999998</v>
          </cell>
          <cell r="AK180">
            <v>3.4262999999999999</v>
          </cell>
          <cell r="AL180">
            <v>3.2488999999999999</v>
          </cell>
          <cell r="AM180">
            <v>3.4763000000000002</v>
          </cell>
          <cell r="AN180">
            <v>3.2631999999999999</v>
          </cell>
          <cell r="AO180">
            <v>3.1339863425600676</v>
          </cell>
          <cell r="AP180">
            <v>3.1870241976945839</v>
          </cell>
          <cell r="AQ180">
            <v>3.0837997310379741</v>
          </cell>
          <cell r="AR180">
            <v>3.2260428654493527</v>
          </cell>
          <cell r="AS180">
            <v>3.4705248482354154</v>
          </cell>
          <cell r="AT180">
            <v>2.9047798135054821</v>
          </cell>
          <cell r="AU180">
            <v>3.1913148979591837</v>
          </cell>
          <cell r="AV180">
            <v>3.0413000000000001</v>
          </cell>
          <cell r="AW180">
            <v>2.9564632911392401</v>
          </cell>
          <cell r="AX180">
            <v>3.1051000000000002</v>
          </cell>
          <cell r="AZ180">
            <v>84</v>
          </cell>
          <cell r="BA180">
            <v>84</v>
          </cell>
          <cell r="BC180">
            <v>2022</v>
          </cell>
        </row>
        <row r="181">
          <cell r="D181">
            <v>44682</v>
          </cell>
          <cell r="E181">
            <v>29.110410000000002</v>
          </cell>
          <cell r="F181">
            <v>31.351759999999999</v>
          </cell>
          <cell r="G181">
            <v>24.883199999999999</v>
          </cell>
          <cell r="H181">
            <v>30.116900000000001</v>
          </cell>
          <cell r="J181">
            <v>31.351759999999999</v>
          </cell>
          <cell r="K181">
            <v>31.351759999999999</v>
          </cell>
          <cell r="L181">
            <v>33.351759999999999</v>
          </cell>
          <cell r="M181">
            <v>21.973610000000001</v>
          </cell>
          <cell r="N181">
            <v>27.32771</v>
          </cell>
          <cell r="O181">
            <v>19.057089999999999</v>
          </cell>
          <cell r="P181">
            <v>23.70299</v>
          </cell>
          <cell r="R181">
            <v>27.32771</v>
          </cell>
          <cell r="S181">
            <v>26.82771</v>
          </cell>
          <cell r="T181">
            <v>29.07771</v>
          </cell>
          <cell r="U181">
            <v>25.810599247311828</v>
          </cell>
          <cell r="V181">
            <v>29.491177741935484</v>
          </cell>
          <cell r="W181">
            <v>22.189407204301073</v>
          </cell>
          <cell r="Z181">
            <v>29.491177741935484</v>
          </cell>
          <cell r="AC181">
            <v>3.2383999999999999</v>
          </cell>
          <cell r="AD181">
            <v>3.0583</v>
          </cell>
          <cell r="AE181">
            <v>3.2303000000000002</v>
          </cell>
          <cell r="AF181">
            <v>3.2955999999999999</v>
          </cell>
          <cell r="AG181">
            <v>3.4095</v>
          </cell>
          <cell r="AH181">
            <v>2.7141000000000002</v>
          </cell>
          <cell r="AI181">
            <v>3.5815000000000001</v>
          </cell>
          <cell r="AJ181">
            <v>3.3744000000000001</v>
          </cell>
          <cell r="AK181">
            <v>3.5043000000000002</v>
          </cell>
          <cell r="AL181">
            <v>3.3279999999999998</v>
          </cell>
          <cell r="AM181">
            <v>3.5543</v>
          </cell>
          <cell r="AN181">
            <v>3.3418999999999999</v>
          </cell>
          <cell r="AO181">
            <v>3.2141766314056888</v>
          </cell>
          <cell r="AP181">
            <v>3.2685298592267675</v>
          </cell>
          <cell r="AQ181">
            <v>3.2766652478227849</v>
          </cell>
          <cell r="AR181">
            <v>3.3075485269815368</v>
          </cell>
          <cell r="AS181">
            <v>3.6398838357855747</v>
          </cell>
          <cell r="AT181">
            <v>3.1377954913413264</v>
          </cell>
          <cell r="AU181">
            <v>3.2728455102040814</v>
          </cell>
          <cell r="AV181">
            <v>3.2452999999999999</v>
          </cell>
          <cell r="AW181">
            <v>3.1284126582278478</v>
          </cell>
          <cell r="AX181">
            <v>3.2770999999999999</v>
          </cell>
          <cell r="AZ181">
            <v>85</v>
          </cell>
          <cell r="BA181">
            <v>85</v>
          </cell>
          <cell r="BC181">
            <v>2022</v>
          </cell>
        </row>
        <row r="182">
          <cell r="D182">
            <v>44713</v>
          </cell>
          <cell r="E182">
            <v>31.915389999999999</v>
          </cell>
          <cell r="F182">
            <v>34.449399999999997</v>
          </cell>
          <cell r="G182">
            <v>27.099589999999999</v>
          </cell>
          <cell r="H182">
            <v>33.751089999999998</v>
          </cell>
          <cell r="J182">
            <v>33.699399999999997</v>
          </cell>
          <cell r="K182">
            <v>34.449399999999997</v>
          </cell>
          <cell r="L182">
            <v>36.949399999999997</v>
          </cell>
          <cell r="M182">
            <v>23.559349999999998</v>
          </cell>
          <cell r="N182">
            <v>28.36337</v>
          </cell>
          <cell r="O182">
            <v>19.29663</v>
          </cell>
          <cell r="P182">
            <v>26.136330000000001</v>
          </cell>
          <cell r="R182">
            <v>27.86337</v>
          </cell>
          <cell r="S182">
            <v>27.86337</v>
          </cell>
          <cell r="T182">
            <v>30.61337</v>
          </cell>
          <cell r="U182">
            <v>28.38728422222222</v>
          </cell>
          <cell r="V182">
            <v>31.879742888888888</v>
          </cell>
          <cell r="W182">
            <v>23.80500688888889</v>
          </cell>
          <cell r="Z182">
            <v>31.235298444444439</v>
          </cell>
          <cell r="AC182">
            <v>3.2410999999999999</v>
          </cell>
          <cell r="AD182">
            <v>3.0571000000000002</v>
          </cell>
          <cell r="AE182">
            <v>3.2414999999999998</v>
          </cell>
          <cell r="AF182">
            <v>3.3378000000000001</v>
          </cell>
          <cell r="AG182">
            <v>3.4306999999999999</v>
          </cell>
          <cell r="AH182">
            <v>2.7115999999999998</v>
          </cell>
          <cell r="AI182">
            <v>3.6052</v>
          </cell>
          <cell r="AJ182">
            <v>3.3780999999999999</v>
          </cell>
          <cell r="AK182">
            <v>3.508</v>
          </cell>
          <cell r="AL182">
            <v>3.3311000000000002</v>
          </cell>
          <cell r="AM182">
            <v>3.5579999999999998</v>
          </cell>
          <cell r="AN182">
            <v>3.3452999999999999</v>
          </cell>
          <cell r="AO182">
            <v>3.2168864409161171</v>
          </cell>
          <cell r="AP182">
            <v>3.2712841181271046</v>
          </cell>
          <cell r="AQ182">
            <v>3.2818248389620246</v>
          </cell>
          <cell r="AR182">
            <v>3.310302785881873</v>
          </cell>
          <cell r="AS182">
            <v>3.683303940734644</v>
          </cell>
          <cell r="AT182">
            <v>3.1277534788400452</v>
          </cell>
          <cell r="AU182">
            <v>3.2756006122448982</v>
          </cell>
          <cell r="AV182">
            <v>3.2565</v>
          </cell>
          <cell r="AW182">
            <v>3.1271974683544301</v>
          </cell>
          <cell r="AX182">
            <v>3.2776999999999998</v>
          </cell>
          <cell r="AZ182">
            <v>86</v>
          </cell>
          <cell r="BA182">
            <v>86</v>
          </cell>
          <cell r="BC182">
            <v>2022</v>
          </cell>
        </row>
        <row r="183">
          <cell r="D183">
            <v>44743</v>
          </cell>
          <cell r="E183">
            <v>38.068680000000001</v>
          </cell>
          <cell r="F183">
            <v>40.70767</v>
          </cell>
          <cell r="G183">
            <v>33.93177</v>
          </cell>
          <cell r="H183">
            <v>39.542070000000002</v>
          </cell>
          <cell r="J183">
            <v>45.70767</v>
          </cell>
          <cell r="K183">
            <v>46.20767</v>
          </cell>
          <cell r="L183">
            <v>44.95767</v>
          </cell>
          <cell r="M183">
            <v>27.518170000000001</v>
          </cell>
          <cell r="N183">
            <v>31.53152</v>
          </cell>
          <cell r="O183">
            <v>25.140989999999999</v>
          </cell>
          <cell r="P183">
            <v>30.280290000000001</v>
          </cell>
          <cell r="R183">
            <v>32.53152</v>
          </cell>
          <cell r="S183">
            <v>32.53152</v>
          </cell>
          <cell r="T183">
            <v>34.03152</v>
          </cell>
          <cell r="U183">
            <v>33.190487204301071</v>
          </cell>
          <cell r="V183">
            <v>36.464933978494628</v>
          </cell>
          <cell r="W183">
            <v>29.867215806451611</v>
          </cell>
          <cell r="Z183">
            <v>39.615471612903235</v>
          </cell>
          <cell r="AC183">
            <v>3.2831999999999999</v>
          </cell>
          <cell r="AD183">
            <v>3.1753999999999998</v>
          </cell>
          <cell r="AE183">
            <v>3.3031999999999999</v>
          </cell>
          <cell r="AF183">
            <v>3.3650000000000002</v>
          </cell>
          <cell r="AG183">
            <v>3.4676999999999998</v>
          </cell>
          <cell r="AH183">
            <v>2.7349999999999999</v>
          </cell>
          <cell r="AI183">
            <v>3.7509000000000001</v>
          </cell>
          <cell r="AJ183">
            <v>3.4214000000000002</v>
          </cell>
          <cell r="AK183">
            <v>3.5514999999999999</v>
          </cell>
          <cell r="AL183">
            <v>3.3738000000000001</v>
          </cell>
          <cell r="AM183">
            <v>3.6015000000000001</v>
          </cell>
          <cell r="AN183">
            <v>3.3883000000000001</v>
          </cell>
          <cell r="AO183">
            <v>3.2591393966157494</v>
          </cell>
          <cell r="AP183">
            <v>3.3142301550545756</v>
          </cell>
          <cell r="AQ183">
            <v>3.3746974794683542</v>
          </cell>
          <cell r="AR183">
            <v>3.3532488228093444</v>
          </cell>
          <cell r="AS183">
            <v>3.7112903590904418</v>
          </cell>
          <cell r="AT183">
            <v>3.1913870478532638</v>
          </cell>
          <cell r="AU183">
            <v>3.3185597959183677</v>
          </cell>
          <cell r="AV183">
            <v>3.3182</v>
          </cell>
          <cell r="AW183">
            <v>3.2469949367088602</v>
          </cell>
          <cell r="AX183">
            <v>3.3984999999999999</v>
          </cell>
          <cell r="AZ183">
            <v>87</v>
          </cell>
          <cell r="BA183">
            <v>87</v>
          </cell>
          <cell r="BC183">
            <v>2022</v>
          </cell>
        </row>
        <row r="184">
          <cell r="D184">
            <v>44774</v>
          </cell>
          <cell r="E184">
            <v>41.258879999999998</v>
          </cell>
          <cell r="F184">
            <v>41.29486</v>
          </cell>
          <cell r="G184">
            <v>38.358379999999997</v>
          </cell>
          <cell r="H184">
            <v>40.421280000000003</v>
          </cell>
          <cell r="J184">
            <v>45.79486</v>
          </cell>
          <cell r="K184">
            <v>46.79486</v>
          </cell>
          <cell r="L184">
            <v>45.04486</v>
          </cell>
          <cell r="M184">
            <v>32.313490000000002</v>
          </cell>
          <cell r="N184">
            <v>32.968040000000002</v>
          </cell>
          <cell r="O184">
            <v>28.66639</v>
          </cell>
          <cell r="P184">
            <v>33.463389999999997</v>
          </cell>
          <cell r="R184">
            <v>33.968040000000002</v>
          </cell>
          <cell r="S184">
            <v>33.968040000000002</v>
          </cell>
          <cell r="T184">
            <v>35.468040000000002</v>
          </cell>
          <cell r="U184">
            <v>37.507587419354834</v>
          </cell>
          <cell r="V184">
            <v>37.80296774193549</v>
          </cell>
          <cell r="W184">
            <v>34.293997096774191</v>
          </cell>
          <cell r="Z184">
            <v>40.835225806451611</v>
          </cell>
          <cell r="AC184">
            <v>3.3609</v>
          </cell>
          <cell r="AD184">
            <v>3.2454999999999998</v>
          </cell>
          <cell r="AE184">
            <v>3.3723000000000001</v>
          </cell>
          <cell r="AF184">
            <v>3.4108000000000001</v>
          </cell>
          <cell r="AG184">
            <v>3.5022000000000002</v>
          </cell>
          <cell r="AH184">
            <v>2.7483</v>
          </cell>
          <cell r="AI184">
            <v>3.7928000000000002</v>
          </cell>
          <cell r="AJ184">
            <v>3.5004</v>
          </cell>
          <cell r="AK184">
            <v>3.6305000000000001</v>
          </cell>
          <cell r="AL184">
            <v>3.452</v>
          </cell>
          <cell r="AM184">
            <v>3.6804999999999999</v>
          </cell>
          <cell r="AN184">
            <v>3.4668000000000001</v>
          </cell>
          <cell r="AO184">
            <v>3.3371216925269476</v>
          </cell>
          <cell r="AP184">
            <v>3.3934916056309294</v>
          </cell>
          <cell r="AQ184">
            <v>3.4465189881265816</v>
          </cell>
          <cell r="AR184">
            <v>3.4325102733856987</v>
          </cell>
          <cell r="AS184">
            <v>3.7584145488218956</v>
          </cell>
          <cell r="AT184">
            <v>3.2710058612562762</v>
          </cell>
          <cell r="AU184">
            <v>3.3978455102040814</v>
          </cell>
          <cell r="AV184">
            <v>3.3873000000000002</v>
          </cell>
          <cell r="AW184">
            <v>3.3179822784810122</v>
          </cell>
          <cell r="AX184">
            <v>3.4708000000000001</v>
          </cell>
          <cell r="AZ184">
            <v>88</v>
          </cell>
          <cell r="BA184">
            <v>88</v>
          </cell>
          <cell r="BC184">
            <v>2022</v>
          </cell>
        </row>
        <row r="185">
          <cell r="D185">
            <v>44805</v>
          </cell>
          <cell r="E185">
            <v>40.762590000000003</v>
          </cell>
          <cell r="F185">
            <v>37.15493</v>
          </cell>
          <cell r="G185">
            <v>38.287570000000002</v>
          </cell>
          <cell r="H185">
            <v>39.873170000000002</v>
          </cell>
          <cell r="J185">
            <v>40.15493</v>
          </cell>
          <cell r="K185">
            <v>41.15493</v>
          </cell>
          <cell r="L185">
            <v>40.15493</v>
          </cell>
          <cell r="M185">
            <v>33.874870000000001</v>
          </cell>
          <cell r="N185">
            <v>32.286380000000001</v>
          </cell>
          <cell r="O185">
            <v>32.61168</v>
          </cell>
          <cell r="P185">
            <v>32.339179999999999</v>
          </cell>
          <cell r="R185">
            <v>30.786380000000001</v>
          </cell>
          <cell r="S185">
            <v>30.786380000000001</v>
          </cell>
          <cell r="T185">
            <v>34.536380000000001</v>
          </cell>
          <cell r="U185">
            <v>37.701381111111118</v>
          </cell>
          <cell r="V185">
            <v>34.991129999999998</v>
          </cell>
          <cell r="W185">
            <v>35.76495222222222</v>
          </cell>
          <cell r="Z185">
            <v>35.991130000000005</v>
          </cell>
          <cell r="AC185">
            <v>3.3866000000000001</v>
          </cell>
          <cell r="AD185">
            <v>3.3085</v>
          </cell>
          <cell r="AE185">
            <v>3.3868999999999998</v>
          </cell>
          <cell r="AF185">
            <v>3.4216000000000002</v>
          </cell>
          <cell r="AG185">
            <v>3.5156000000000001</v>
          </cell>
          <cell r="AH185">
            <v>2.8927999999999998</v>
          </cell>
          <cell r="AI185">
            <v>3.7271999999999998</v>
          </cell>
          <cell r="AJ185">
            <v>3.5261999999999998</v>
          </cell>
          <cell r="AK185">
            <v>3.6562999999999999</v>
          </cell>
          <cell r="AL185">
            <v>3.4777</v>
          </cell>
          <cell r="AM185">
            <v>3.7063000000000001</v>
          </cell>
          <cell r="AN185">
            <v>3.4925999999999999</v>
          </cell>
          <cell r="AO185">
            <v>3.3629150645336119</v>
          </cell>
          <cell r="AP185">
            <v>3.4197080699785785</v>
          </cell>
          <cell r="AQ185">
            <v>3.4865574153670886</v>
          </cell>
          <cell r="AR185">
            <v>3.4587267377333473</v>
          </cell>
          <cell r="AS185">
            <v>3.7695268031690508</v>
          </cell>
          <cell r="AT185">
            <v>3.2922170509273494</v>
          </cell>
          <cell r="AU185">
            <v>3.4240699999999999</v>
          </cell>
          <cell r="AV185">
            <v>3.4018999999999999</v>
          </cell>
          <cell r="AW185">
            <v>3.3817797468354427</v>
          </cell>
          <cell r="AX185">
            <v>3.5341</v>
          </cell>
          <cell r="AZ185">
            <v>89</v>
          </cell>
          <cell r="BA185">
            <v>89</v>
          </cell>
          <cell r="BC185">
            <v>2022</v>
          </cell>
        </row>
        <row r="186">
          <cell r="D186">
            <v>44835</v>
          </cell>
          <cell r="E186">
            <v>37.786110000000001</v>
          </cell>
          <cell r="F186">
            <v>36.71998</v>
          </cell>
          <cell r="G186">
            <v>35.431109999999997</v>
          </cell>
          <cell r="H186">
            <v>37.218310000000002</v>
          </cell>
          <cell r="J186">
            <v>36.21998</v>
          </cell>
          <cell r="K186">
            <v>36.71998</v>
          </cell>
          <cell r="L186">
            <v>38.71998</v>
          </cell>
          <cell r="M186">
            <v>31.879960000000001</v>
          </cell>
          <cell r="N186">
            <v>32.489339999999999</v>
          </cell>
          <cell r="O186">
            <v>29.11074</v>
          </cell>
          <cell r="P186">
            <v>32.51484</v>
          </cell>
          <cell r="R186">
            <v>31.489339999999999</v>
          </cell>
          <cell r="S186">
            <v>30.989339999999999</v>
          </cell>
          <cell r="T186">
            <v>34.239339999999999</v>
          </cell>
          <cell r="U186">
            <v>35.182323440860216</v>
          </cell>
          <cell r="V186">
            <v>34.854859139784942</v>
          </cell>
          <cell r="W186">
            <v>32.64471032258065</v>
          </cell>
          <cell r="Z186">
            <v>34.134429032258062</v>
          </cell>
          <cell r="AC186">
            <v>3.4236</v>
          </cell>
          <cell r="AD186">
            <v>3.3294000000000001</v>
          </cell>
          <cell r="AE186">
            <v>3.4150999999999998</v>
          </cell>
          <cell r="AF186">
            <v>3.4386999999999999</v>
          </cell>
          <cell r="AG186">
            <v>3.5464000000000002</v>
          </cell>
          <cell r="AH186">
            <v>2.9361000000000002</v>
          </cell>
          <cell r="AI186">
            <v>3.7130000000000001</v>
          </cell>
          <cell r="AJ186">
            <v>3.5646</v>
          </cell>
          <cell r="AK186">
            <v>3.6947999999999999</v>
          </cell>
          <cell r="AL186">
            <v>3.5152999999999999</v>
          </cell>
          <cell r="AM186">
            <v>3.7448000000000001</v>
          </cell>
          <cell r="AN186">
            <v>3.5306000000000002</v>
          </cell>
          <cell r="AO186">
            <v>3.4000494911579922</v>
          </cell>
          <cell r="AP186">
            <v>3.4574516178720804</v>
          </cell>
          <cell r="AQ186">
            <v>3.5118910078607595</v>
          </cell>
          <cell r="AR186">
            <v>3.4964702856268493</v>
          </cell>
          <cell r="AS186">
            <v>3.7871212058853794</v>
          </cell>
          <cell r="AT186">
            <v>3.3326925094784303</v>
          </cell>
          <cell r="AU186">
            <v>3.4618251020408164</v>
          </cell>
          <cell r="AV186">
            <v>3.4300999999999999</v>
          </cell>
          <cell r="AW186">
            <v>3.4029443037974683</v>
          </cell>
          <cell r="AX186">
            <v>3.5575000000000001</v>
          </cell>
          <cell r="AZ186">
            <v>90</v>
          </cell>
          <cell r="BA186">
            <v>90</v>
          </cell>
          <cell r="BC186">
            <v>2022</v>
          </cell>
        </row>
        <row r="187">
          <cell r="D187">
            <v>44866</v>
          </cell>
          <cell r="E187">
            <v>40.393720000000002</v>
          </cell>
          <cell r="F187">
            <v>37.38485</v>
          </cell>
          <cell r="G187">
            <v>37.568359999999998</v>
          </cell>
          <cell r="H187">
            <v>40.005859999999998</v>
          </cell>
          <cell r="J187">
            <v>36.88485</v>
          </cell>
          <cell r="K187">
            <v>35.88485</v>
          </cell>
          <cell r="L187">
            <v>39.38485</v>
          </cell>
          <cell r="M187">
            <v>33.195030000000003</v>
          </cell>
          <cell r="N187">
            <v>32.821269999999998</v>
          </cell>
          <cell r="O187">
            <v>31.757169999999999</v>
          </cell>
          <cell r="P187">
            <v>32.446069999999999</v>
          </cell>
          <cell r="R187">
            <v>32.321269999999998</v>
          </cell>
          <cell r="S187">
            <v>31.321269999999998</v>
          </cell>
          <cell r="T187">
            <v>34.571269999999998</v>
          </cell>
          <cell r="U187">
            <v>37.188755381414701</v>
          </cell>
          <cell r="V187">
            <v>35.353075825242719</v>
          </cell>
          <cell r="W187">
            <v>34.981131165048545</v>
          </cell>
          <cell r="Z187">
            <v>34.853075825242719</v>
          </cell>
          <cell r="AC187">
            <v>3.6444999999999999</v>
          </cell>
          <cell r="AD187">
            <v>3.6941999999999999</v>
          </cell>
          <cell r="AE187">
            <v>3.6303999999999998</v>
          </cell>
          <cell r="AF187">
            <v>3.6076000000000001</v>
          </cell>
          <cell r="AG187">
            <v>3.6789999999999998</v>
          </cell>
          <cell r="AH187">
            <v>3.1776</v>
          </cell>
          <cell r="AI187">
            <v>3.9253999999999998</v>
          </cell>
          <cell r="AJ187">
            <v>3.7919</v>
          </cell>
          <cell r="AK187">
            <v>3.9224999999999999</v>
          </cell>
          <cell r="AL187">
            <v>3.7389000000000001</v>
          </cell>
          <cell r="AM187">
            <v>3.9725000000000001</v>
          </cell>
          <cell r="AN187">
            <v>3.7559</v>
          </cell>
          <cell r="AO187">
            <v>3.6217520544370627</v>
          </cell>
          <cell r="AP187">
            <v>3.6827907997551774</v>
          </cell>
          <cell r="AQ187">
            <v>3.8111988898481011</v>
          </cell>
          <cell r="AR187">
            <v>3.7218094675099462</v>
          </cell>
          <cell r="AS187">
            <v>3.9609045169256101</v>
          </cell>
          <cell r="AT187">
            <v>3.635899805307921</v>
          </cell>
          <cell r="AU187">
            <v>3.6872332653061228</v>
          </cell>
          <cell r="AV187">
            <v>3.6454</v>
          </cell>
          <cell r="AW187">
            <v>3.7723620253164549</v>
          </cell>
          <cell r="AX187">
            <v>3.9613</v>
          </cell>
          <cell r="AZ187">
            <v>91</v>
          </cell>
          <cell r="BA187">
            <v>91</v>
          </cell>
          <cell r="BC187">
            <v>2022</v>
          </cell>
        </row>
        <row r="188">
          <cell r="D188">
            <v>44896</v>
          </cell>
          <cell r="E188">
            <v>42.601770000000002</v>
          </cell>
          <cell r="F188">
            <v>38.401409999999998</v>
          </cell>
          <cell r="G188">
            <v>39.575389999999999</v>
          </cell>
          <cell r="H188">
            <v>42.303190000000001</v>
          </cell>
          <cell r="J188">
            <v>37.901409999999998</v>
          </cell>
          <cell r="K188">
            <v>37.651409999999998</v>
          </cell>
          <cell r="L188">
            <v>40.401409999999998</v>
          </cell>
          <cell r="M188">
            <v>35.471600000000002</v>
          </cell>
          <cell r="N188">
            <v>34.103160000000003</v>
          </cell>
          <cell r="O188">
            <v>33.256</v>
          </cell>
          <cell r="P188">
            <v>36.070500000000003</v>
          </cell>
          <cell r="R188">
            <v>33.603160000000003</v>
          </cell>
          <cell r="S188">
            <v>33.103160000000003</v>
          </cell>
          <cell r="T188">
            <v>35.853160000000003</v>
          </cell>
          <cell r="U188">
            <v>39.458361720430112</v>
          </cell>
          <cell r="V188">
            <v>36.506482580645162</v>
          </cell>
          <cell r="W188">
            <v>36.789422365591399</v>
          </cell>
          <cell r="Z188">
            <v>36.006482580645155</v>
          </cell>
          <cell r="AC188">
            <v>3.8622999999999998</v>
          </cell>
          <cell r="AD188">
            <v>4.0305</v>
          </cell>
          <cell r="AE188">
            <v>3.8189000000000002</v>
          </cell>
          <cell r="AF188">
            <v>3.8698000000000001</v>
          </cell>
          <cell r="AG188">
            <v>3.8805000000000001</v>
          </cell>
          <cell r="AH188">
            <v>3.3531</v>
          </cell>
          <cell r="AI188">
            <v>4.1233000000000004</v>
          </cell>
          <cell r="AJ188">
            <v>4.0151000000000003</v>
          </cell>
          <cell r="AK188">
            <v>4.1460999999999997</v>
          </cell>
          <cell r="AL188">
            <v>3.9590999999999998</v>
          </cell>
          <cell r="AM188">
            <v>4.1961000000000004</v>
          </cell>
          <cell r="AN188">
            <v>3.9775</v>
          </cell>
          <cell r="AO188">
            <v>3.8403433549449009</v>
          </cell>
          <cell r="AP188">
            <v>3.9049676843823327</v>
          </cell>
          <cell r="AQ188">
            <v>4.0819742328354431</v>
          </cell>
          <cell r="AR188">
            <v>3.943986352137101</v>
          </cell>
          <cell r="AS188">
            <v>4.2306853585759852</v>
          </cell>
          <cell r="AT188">
            <v>3.8411462444922639</v>
          </cell>
          <cell r="AU188">
            <v>3.9094781632653062</v>
          </cell>
          <cell r="AV188">
            <v>3.8338999999999999</v>
          </cell>
          <cell r="AW188">
            <v>4.1129189873417715</v>
          </cell>
          <cell r="AX188">
            <v>4.3076999999999996</v>
          </cell>
          <cell r="AZ188">
            <v>92</v>
          </cell>
          <cell r="BA188">
            <v>92</v>
          </cell>
          <cell r="BC188">
            <v>2022</v>
          </cell>
        </row>
        <row r="189">
          <cell r="D189">
            <v>44927</v>
          </cell>
          <cell r="E189">
            <v>42.3217</v>
          </cell>
          <cell r="F189">
            <v>40.711910000000003</v>
          </cell>
          <cell r="G189">
            <v>38.839300000000001</v>
          </cell>
          <cell r="H189">
            <v>42.647799999999997</v>
          </cell>
          <cell r="J189">
            <v>40.211910000000003</v>
          </cell>
          <cell r="K189">
            <v>40.211910000000003</v>
          </cell>
          <cell r="L189">
            <v>42.961910000000003</v>
          </cell>
          <cell r="M189">
            <v>35.603380000000001</v>
          </cell>
          <cell r="N189">
            <v>36.20429</v>
          </cell>
          <cell r="O189">
            <v>32.454149999999998</v>
          </cell>
          <cell r="P189">
            <v>35.698650000000001</v>
          </cell>
          <cell r="R189">
            <v>35.70429</v>
          </cell>
          <cell r="S189">
            <v>35.70429</v>
          </cell>
          <cell r="T189">
            <v>38.45429</v>
          </cell>
          <cell r="U189">
            <v>39.215380000000003</v>
          </cell>
          <cell r="V189">
            <v>38.627741612903222</v>
          </cell>
          <cell r="W189">
            <v>35.887026344086017</v>
          </cell>
          <cell r="Z189">
            <v>38.127741612903222</v>
          </cell>
          <cell r="AC189">
            <v>4.0579999999999998</v>
          </cell>
          <cell r="AD189">
            <v>4.1272000000000002</v>
          </cell>
          <cell r="AE189">
            <v>4.0438999999999998</v>
          </cell>
          <cell r="AF189">
            <v>4.0970000000000004</v>
          </cell>
          <cell r="AG189">
            <v>4.0884999999999998</v>
          </cell>
          <cell r="AH189">
            <v>3.5564</v>
          </cell>
          <cell r="AI189">
            <v>4.3569000000000004</v>
          </cell>
          <cell r="AJ189">
            <v>4.2150999999999996</v>
          </cell>
          <cell r="AK189">
            <v>4.3463000000000003</v>
          </cell>
          <cell r="AL189">
            <v>4.1565000000000003</v>
          </cell>
          <cell r="AM189">
            <v>4.3963000000000001</v>
          </cell>
          <cell r="AN189">
            <v>4.1761999999999997</v>
          </cell>
          <cell r="AO189">
            <v>4.0367543627933111</v>
          </cell>
          <cell r="AP189">
            <v>4.1046004498622866</v>
          </cell>
          <cell r="AQ189">
            <v>4.2479582797848092</v>
          </cell>
          <cell r="AR189">
            <v>4.1436191176170558</v>
          </cell>
          <cell r="AS189">
            <v>4.464454264842062</v>
          </cell>
          <cell r="AT189">
            <v>4.1159694845783381</v>
          </cell>
          <cell r="AU189">
            <v>4.1091720408163255</v>
          </cell>
          <cell r="AV189">
            <v>4.0589000000000004</v>
          </cell>
          <cell r="AW189">
            <v>4.2108430379746826</v>
          </cell>
          <cell r="AX189">
            <v>4.4124999999999996</v>
          </cell>
          <cell r="AZ189">
            <v>93</v>
          </cell>
          <cell r="BA189">
            <v>93</v>
          </cell>
          <cell r="BC189">
            <v>2023</v>
          </cell>
        </row>
        <row r="190">
          <cell r="D190">
            <v>44958</v>
          </cell>
          <cell r="E190">
            <v>42.881329999999998</v>
          </cell>
          <cell r="F190">
            <v>40.743870000000001</v>
          </cell>
          <cell r="G190">
            <v>39.36121</v>
          </cell>
          <cell r="H190">
            <v>43.319209999999998</v>
          </cell>
          <cell r="J190">
            <v>40.743870000000001</v>
          </cell>
          <cell r="K190">
            <v>39.743870000000001</v>
          </cell>
          <cell r="L190">
            <v>42.993870000000001</v>
          </cell>
          <cell r="M190">
            <v>36.002009999999999</v>
          </cell>
          <cell r="N190">
            <v>36.088949999999997</v>
          </cell>
          <cell r="O190">
            <v>33.128749999999997</v>
          </cell>
          <cell r="P190">
            <v>36.015050000000002</v>
          </cell>
          <cell r="R190">
            <v>35.588949999999997</v>
          </cell>
          <cell r="S190">
            <v>34.838949999999997</v>
          </cell>
          <cell r="T190">
            <v>38.088949999999997</v>
          </cell>
          <cell r="U190">
            <v>39.933050000000001</v>
          </cell>
          <cell r="V190">
            <v>38.748904285714282</v>
          </cell>
          <cell r="W190">
            <v>36.690155714285716</v>
          </cell>
          <cell r="Z190">
            <v>38.534618571428567</v>
          </cell>
          <cell r="AC190">
            <v>4.0361000000000002</v>
          </cell>
          <cell r="AD190">
            <v>4.0228999999999999</v>
          </cell>
          <cell r="AE190">
            <v>3.9929999999999999</v>
          </cell>
          <cell r="AF190">
            <v>4.0575000000000001</v>
          </cell>
          <cell r="AG190">
            <v>4.0868000000000002</v>
          </cell>
          <cell r="AH190">
            <v>3.5585</v>
          </cell>
          <cell r="AI190">
            <v>4.3300999999999998</v>
          </cell>
          <cell r="AJ190">
            <v>4.1927000000000003</v>
          </cell>
          <cell r="AK190">
            <v>4.3239000000000001</v>
          </cell>
          <cell r="AL190">
            <v>4.1344000000000003</v>
          </cell>
          <cell r="AM190">
            <v>4.3738999999999999</v>
          </cell>
          <cell r="AN190">
            <v>4.1539000000000001</v>
          </cell>
          <cell r="AO190">
            <v>4.0147747967642866</v>
          </cell>
          <cell r="AP190">
            <v>4.0822603498928904</v>
          </cell>
          <cell r="AQ190">
            <v>4.167881425303797</v>
          </cell>
          <cell r="AR190">
            <v>4.1212790176476588</v>
          </cell>
          <cell r="AS190">
            <v>4.4238122234797821</v>
          </cell>
          <cell r="AT190">
            <v>4.1088990880213139</v>
          </cell>
          <cell r="AU190">
            <v>4.0868251020408159</v>
          </cell>
          <cell r="AV190">
            <v>4.008</v>
          </cell>
          <cell r="AW190">
            <v>4.1052227848101257</v>
          </cell>
          <cell r="AX190">
            <v>4.3071000000000002</v>
          </cell>
          <cell r="AZ190">
            <v>94</v>
          </cell>
          <cell r="BA190">
            <v>94</v>
          </cell>
          <cell r="BC190">
            <v>2023</v>
          </cell>
        </row>
        <row r="191">
          <cell r="D191">
            <v>44986</v>
          </cell>
          <cell r="E191">
            <v>38.141770000000001</v>
          </cell>
          <cell r="F191">
            <v>37.629330000000003</v>
          </cell>
          <cell r="G191">
            <v>34.686619999999998</v>
          </cell>
          <cell r="H191">
            <v>38.485120000000002</v>
          </cell>
          <cell r="J191">
            <v>37.629330000000003</v>
          </cell>
          <cell r="K191">
            <v>36.629330000000003</v>
          </cell>
          <cell r="L191">
            <v>39.879330000000003</v>
          </cell>
          <cell r="M191">
            <v>33.165399999999998</v>
          </cell>
          <cell r="N191">
            <v>34.064630000000001</v>
          </cell>
          <cell r="O191">
            <v>30.28678</v>
          </cell>
          <cell r="P191">
            <v>33.482280000000003</v>
          </cell>
          <cell r="R191">
            <v>33.564630000000001</v>
          </cell>
          <cell r="S191">
            <v>32.564630000000001</v>
          </cell>
          <cell r="T191">
            <v>36.064630000000001</v>
          </cell>
          <cell r="U191">
            <v>36.058794131897713</v>
          </cell>
          <cell r="V191">
            <v>36.137241574697178</v>
          </cell>
          <cell r="W191">
            <v>32.844964226110363</v>
          </cell>
          <cell r="Z191">
            <v>35.92795489905788</v>
          </cell>
          <cell r="AC191">
            <v>3.8332999999999999</v>
          </cell>
          <cell r="AD191">
            <v>3.8628999999999998</v>
          </cell>
          <cell r="AE191">
            <v>3.8169</v>
          </cell>
          <cell r="AF191">
            <v>3.8622999999999998</v>
          </cell>
          <cell r="AG191">
            <v>3.9041999999999999</v>
          </cell>
          <cell r="AH191">
            <v>3.3807999999999998</v>
          </cell>
          <cell r="AI191">
            <v>4.1210000000000004</v>
          </cell>
          <cell r="AJ191">
            <v>3.9878</v>
          </cell>
          <cell r="AK191">
            <v>4.1189</v>
          </cell>
          <cell r="AL191">
            <v>3.9308000000000001</v>
          </cell>
          <cell r="AM191">
            <v>4.1688999999999998</v>
          </cell>
          <cell r="AN191">
            <v>3.9497</v>
          </cell>
          <cell r="AO191">
            <v>3.8112379935366025</v>
          </cell>
          <cell r="AP191">
            <v>3.8753849036009389</v>
          </cell>
          <cell r="AQ191">
            <v>3.994467567113924</v>
          </cell>
          <cell r="AR191">
            <v>3.9144035713557077</v>
          </cell>
          <cell r="AS191">
            <v>4.2229685152793497</v>
          </cell>
          <cell r="AT191">
            <v>3.6987136181985858</v>
          </cell>
          <cell r="AU191">
            <v>3.8798863265306123</v>
          </cell>
          <cell r="AV191">
            <v>3.8319000000000001</v>
          </cell>
          <cell r="AW191">
            <v>3.9431974683544295</v>
          </cell>
          <cell r="AX191">
            <v>4.1432000000000002</v>
          </cell>
          <cell r="AZ191">
            <v>95</v>
          </cell>
          <cell r="BA191">
            <v>95</v>
          </cell>
          <cell r="BC191">
            <v>2023</v>
          </cell>
        </row>
        <row r="192">
          <cell r="D192">
            <v>45017</v>
          </cell>
          <cell r="E192">
            <v>35.309179999999998</v>
          </cell>
          <cell r="F192">
            <v>34.35022</v>
          </cell>
          <cell r="G192">
            <v>31.872299999999999</v>
          </cell>
          <cell r="H192">
            <v>33.370899999999999</v>
          </cell>
          <cell r="J192">
            <v>32.85022</v>
          </cell>
          <cell r="K192">
            <v>32.85022</v>
          </cell>
          <cell r="L192">
            <v>36.35022</v>
          </cell>
          <cell r="M192">
            <v>30.349519999999998</v>
          </cell>
          <cell r="N192">
            <v>30.89228</v>
          </cell>
          <cell r="O192">
            <v>25.685120000000001</v>
          </cell>
          <cell r="P192">
            <v>32.360720000000001</v>
          </cell>
          <cell r="R192">
            <v>30.14228</v>
          </cell>
          <cell r="S192">
            <v>29.89228</v>
          </cell>
          <cell r="T192">
            <v>32.89228</v>
          </cell>
          <cell r="U192">
            <v>33.104886666666665</v>
          </cell>
          <cell r="V192">
            <v>32.813357777777775</v>
          </cell>
          <cell r="W192">
            <v>29.122442222222222</v>
          </cell>
          <cell r="Z192">
            <v>31.64669111111111</v>
          </cell>
          <cell r="AC192">
            <v>3.5243000000000002</v>
          </cell>
          <cell r="AD192">
            <v>3.3262</v>
          </cell>
          <cell r="AE192">
            <v>3.4645000000000001</v>
          </cell>
          <cell r="AF192">
            <v>3.5106000000000002</v>
          </cell>
          <cell r="AG192">
            <v>3.6253000000000002</v>
          </cell>
          <cell r="AH192">
            <v>2.9944000000000002</v>
          </cell>
          <cell r="AI192">
            <v>3.7982999999999998</v>
          </cell>
          <cell r="AJ192">
            <v>3.6667000000000001</v>
          </cell>
          <cell r="AK192">
            <v>3.7970000000000002</v>
          </cell>
          <cell r="AL192">
            <v>3.6166999999999998</v>
          </cell>
          <cell r="AM192">
            <v>3.847</v>
          </cell>
          <cell r="AN192">
            <v>3.6322999999999999</v>
          </cell>
          <cell r="AO192">
            <v>3.5011153495654272</v>
          </cell>
          <cell r="AP192">
            <v>3.5601752738957466</v>
          </cell>
          <cell r="AQ192">
            <v>3.5357283189240505</v>
          </cell>
          <cell r="AR192">
            <v>3.5991939416505159</v>
          </cell>
          <cell r="AS192">
            <v>3.8611000102891246</v>
          </cell>
          <cell r="AT192">
            <v>3.2796133005430885</v>
          </cell>
          <cell r="AU192">
            <v>3.5645802040816328</v>
          </cell>
          <cell r="AV192">
            <v>3.4794999999999998</v>
          </cell>
          <cell r="AW192">
            <v>3.3997037974683542</v>
          </cell>
          <cell r="AX192">
            <v>3.552</v>
          </cell>
          <cell r="AZ192">
            <v>96</v>
          </cell>
          <cell r="BA192">
            <v>96</v>
          </cell>
          <cell r="BC192">
            <v>2023</v>
          </cell>
        </row>
        <row r="193">
          <cell r="D193">
            <v>45047</v>
          </cell>
          <cell r="E193">
            <v>31.470829999999999</v>
          </cell>
          <cell r="F193">
            <v>36.021030000000003</v>
          </cell>
          <cell r="G193">
            <v>28.456389999999999</v>
          </cell>
          <cell r="H193">
            <v>33.690089999999998</v>
          </cell>
          <cell r="J193">
            <v>36.021030000000003</v>
          </cell>
          <cell r="K193">
            <v>36.021030000000003</v>
          </cell>
          <cell r="L193">
            <v>38.021030000000003</v>
          </cell>
          <cell r="M193">
            <v>25.359719999999999</v>
          </cell>
          <cell r="N193">
            <v>32.59543</v>
          </cell>
          <cell r="O193">
            <v>22.614170000000001</v>
          </cell>
          <cell r="P193">
            <v>27.260069999999999</v>
          </cell>
          <cell r="R193">
            <v>32.59543</v>
          </cell>
          <cell r="S193">
            <v>32.09543</v>
          </cell>
          <cell r="T193">
            <v>34.34543</v>
          </cell>
          <cell r="U193">
            <v>28.776684731182794</v>
          </cell>
          <cell r="V193">
            <v>34.510819247311829</v>
          </cell>
          <cell r="W193">
            <v>25.880787634408598</v>
          </cell>
          <cell r="Z193">
            <v>34.510819247311829</v>
          </cell>
          <cell r="AC193">
            <v>3.5928</v>
          </cell>
          <cell r="AD193">
            <v>3.4076</v>
          </cell>
          <cell r="AE193">
            <v>3.6051000000000002</v>
          </cell>
          <cell r="AF193">
            <v>3.6421999999999999</v>
          </cell>
          <cell r="AG193">
            <v>3.8149999999999999</v>
          </cell>
          <cell r="AH193">
            <v>2.8767</v>
          </cell>
          <cell r="AI193">
            <v>3.9015</v>
          </cell>
          <cell r="AJ193">
            <v>3.7288000000000001</v>
          </cell>
          <cell r="AK193">
            <v>3.8586999999999998</v>
          </cell>
          <cell r="AL193">
            <v>3.6823999999999999</v>
          </cell>
          <cell r="AM193">
            <v>3.9087000000000001</v>
          </cell>
          <cell r="AN193">
            <v>3.6962999999999999</v>
          </cell>
          <cell r="AO193">
            <v>3.5698642204781312</v>
          </cell>
          <cell r="AP193">
            <v>3.630051842293176</v>
          </cell>
          <cell r="AQ193">
            <v>3.6502712422151897</v>
          </cell>
          <cell r="AR193">
            <v>3.6690705100479448</v>
          </cell>
          <cell r="AS193">
            <v>3.9965048873340878</v>
          </cell>
          <cell r="AT193">
            <v>3.5009474536325449</v>
          </cell>
          <cell r="AU193">
            <v>3.6344781632653063</v>
          </cell>
          <cell r="AV193">
            <v>3.6200999999999999</v>
          </cell>
          <cell r="AW193">
            <v>3.4821341772151895</v>
          </cell>
          <cell r="AX193">
            <v>3.6263999999999998</v>
          </cell>
          <cell r="AZ193">
            <v>97</v>
          </cell>
          <cell r="BA193">
            <v>97</v>
          </cell>
          <cell r="BC193">
            <v>2023</v>
          </cell>
        </row>
        <row r="194">
          <cell r="D194">
            <v>45078</v>
          </cell>
          <cell r="E194">
            <v>36.860779999999998</v>
          </cell>
          <cell r="F194">
            <v>39.768799999999999</v>
          </cell>
          <cell r="G194">
            <v>33.609180000000002</v>
          </cell>
          <cell r="H194">
            <v>40.260680000000001</v>
          </cell>
          <cell r="J194">
            <v>39.018799999999999</v>
          </cell>
          <cell r="K194">
            <v>39.768799999999999</v>
          </cell>
          <cell r="L194">
            <v>42.268799999999999</v>
          </cell>
          <cell r="M194">
            <v>27.74371</v>
          </cell>
          <cell r="N194">
            <v>33.716740000000001</v>
          </cell>
          <cell r="O194">
            <v>24.893260000000001</v>
          </cell>
          <cell r="P194">
            <v>31.732959999999999</v>
          </cell>
          <cell r="R194">
            <v>33.216740000000001</v>
          </cell>
          <cell r="S194">
            <v>33.216740000000001</v>
          </cell>
          <cell r="T194">
            <v>35.966740000000001</v>
          </cell>
          <cell r="U194">
            <v>33.011350444444446</v>
          </cell>
          <cell r="V194">
            <v>37.213485777777777</v>
          </cell>
          <cell r="W194">
            <v>29.929124888888889</v>
          </cell>
          <cell r="Z194">
            <v>36.569041333333331</v>
          </cell>
          <cell r="AC194">
            <v>3.5680999999999998</v>
          </cell>
          <cell r="AD194">
            <v>3.4076</v>
          </cell>
          <cell r="AE194">
            <v>3.5928</v>
          </cell>
          <cell r="AF194">
            <v>3.6916000000000002</v>
          </cell>
          <cell r="AG194">
            <v>3.8273999999999999</v>
          </cell>
          <cell r="AH194">
            <v>2.8767</v>
          </cell>
          <cell r="AI194">
            <v>3.9138000000000002</v>
          </cell>
          <cell r="AJ194">
            <v>3.7050999999999998</v>
          </cell>
          <cell r="AK194">
            <v>3.8351000000000002</v>
          </cell>
          <cell r="AL194">
            <v>3.6581999999999999</v>
          </cell>
          <cell r="AM194">
            <v>3.8851</v>
          </cell>
          <cell r="AN194">
            <v>3.6722999999999999</v>
          </cell>
          <cell r="AO194">
            <v>3.5450744816234776</v>
          </cell>
          <cell r="AP194">
            <v>3.6048554738345411</v>
          </cell>
          <cell r="AQ194">
            <v>3.6439249451139237</v>
          </cell>
          <cell r="AR194">
            <v>3.6438741415893099</v>
          </cell>
          <cell r="AS194">
            <v>4.0473331618479271</v>
          </cell>
          <cell r="AT194">
            <v>3.4628287939338045</v>
          </cell>
          <cell r="AU194">
            <v>3.6092740816326532</v>
          </cell>
          <cell r="AV194">
            <v>3.6078000000000001</v>
          </cell>
          <cell r="AW194">
            <v>3.4821341772151895</v>
          </cell>
          <cell r="AX194">
            <v>3.6282999999999999</v>
          </cell>
          <cell r="AZ194">
            <v>98</v>
          </cell>
          <cell r="BA194">
            <v>98</v>
          </cell>
          <cell r="BC194">
            <v>2023</v>
          </cell>
        </row>
        <row r="195">
          <cell r="D195">
            <v>45108</v>
          </cell>
          <cell r="E195">
            <v>40.944850000000002</v>
          </cell>
          <cell r="F195">
            <v>43.015340000000002</v>
          </cell>
          <cell r="G195">
            <v>37.513550000000002</v>
          </cell>
          <cell r="H195">
            <v>43.123849999999997</v>
          </cell>
          <cell r="J195">
            <v>48.015340000000002</v>
          </cell>
          <cell r="K195">
            <v>48.515340000000002</v>
          </cell>
          <cell r="L195">
            <v>47.265340000000002</v>
          </cell>
          <cell r="M195">
            <v>31.468830000000001</v>
          </cell>
          <cell r="N195">
            <v>35.598050000000001</v>
          </cell>
          <cell r="O195">
            <v>28.45448</v>
          </cell>
          <cell r="P195">
            <v>33.593780000000002</v>
          </cell>
          <cell r="R195">
            <v>36.598050000000001</v>
          </cell>
          <cell r="S195">
            <v>36.598050000000001</v>
          </cell>
          <cell r="T195">
            <v>38.098050000000001</v>
          </cell>
          <cell r="U195">
            <v>36.563464408602151</v>
          </cell>
          <cell r="V195">
            <v>39.585840322580651</v>
          </cell>
          <cell r="W195">
            <v>33.324947741935482</v>
          </cell>
          <cell r="Z195">
            <v>42.736377956989251</v>
          </cell>
          <cell r="AC195">
            <v>3.5928</v>
          </cell>
          <cell r="AD195">
            <v>3.4323000000000001</v>
          </cell>
          <cell r="AE195">
            <v>3.6297999999999999</v>
          </cell>
          <cell r="AF195">
            <v>3.7039</v>
          </cell>
          <cell r="AG195">
            <v>3.8643999999999998</v>
          </cell>
          <cell r="AH195">
            <v>2.8891</v>
          </cell>
          <cell r="AI195">
            <v>3.9508000000000001</v>
          </cell>
          <cell r="AJ195">
            <v>3.7311000000000001</v>
          </cell>
          <cell r="AK195">
            <v>3.8611</v>
          </cell>
          <cell r="AL195">
            <v>3.6833999999999998</v>
          </cell>
          <cell r="AM195">
            <v>3.9110999999999998</v>
          </cell>
          <cell r="AN195">
            <v>3.6979000000000002</v>
          </cell>
          <cell r="AO195">
            <v>3.5698642204781312</v>
          </cell>
          <cell r="AP195">
            <v>3.630051842293176</v>
          </cell>
          <cell r="AQ195">
            <v>3.6757596224430378</v>
          </cell>
          <cell r="AR195">
            <v>3.6690705100479448</v>
          </cell>
          <cell r="AS195">
            <v>4.0599887848544087</v>
          </cell>
          <cell r="AT195">
            <v>3.5086326672814838</v>
          </cell>
          <cell r="AU195">
            <v>3.6344781632653063</v>
          </cell>
          <cell r="AV195">
            <v>3.6448</v>
          </cell>
          <cell r="AW195">
            <v>3.5071468354430375</v>
          </cell>
          <cell r="AX195">
            <v>3.6554000000000002</v>
          </cell>
          <cell r="AZ195">
            <v>99</v>
          </cell>
          <cell r="BA195">
            <v>99</v>
          </cell>
          <cell r="BC195">
            <v>2023</v>
          </cell>
        </row>
        <row r="196">
          <cell r="D196">
            <v>45139</v>
          </cell>
          <cell r="E196">
            <v>45.20776</v>
          </cell>
          <cell r="F196">
            <v>44.789729999999999</v>
          </cell>
          <cell r="G196">
            <v>41.596769999999999</v>
          </cell>
          <cell r="H196">
            <v>43.659669999999998</v>
          </cell>
          <cell r="J196">
            <v>49.289729999999999</v>
          </cell>
          <cell r="K196">
            <v>50.289729999999999</v>
          </cell>
          <cell r="L196">
            <v>48.539729999999999</v>
          </cell>
          <cell r="M196">
            <v>33.851979999999998</v>
          </cell>
          <cell r="N196">
            <v>36.266089999999998</v>
          </cell>
          <cell r="O196">
            <v>30.732769999999999</v>
          </cell>
          <cell r="P196">
            <v>35.529769999999999</v>
          </cell>
          <cell r="R196">
            <v>37.266089999999998</v>
          </cell>
          <cell r="S196">
            <v>37.266089999999998</v>
          </cell>
          <cell r="T196">
            <v>38.766089999999998</v>
          </cell>
          <cell r="U196">
            <v>40.445658709677417</v>
          </cell>
          <cell r="V196">
            <v>41.215300322580639</v>
          </cell>
          <cell r="W196">
            <v>37.040899032258061</v>
          </cell>
          <cell r="Z196">
            <v>44.247558387096774</v>
          </cell>
          <cell r="AC196">
            <v>3.7162999999999999</v>
          </cell>
          <cell r="AD196">
            <v>3.5804999999999998</v>
          </cell>
          <cell r="AE196">
            <v>3.7162999999999999</v>
          </cell>
          <cell r="AF196">
            <v>3.7286000000000001</v>
          </cell>
          <cell r="AG196">
            <v>3.9015</v>
          </cell>
          <cell r="AH196">
            <v>2.9260999999999999</v>
          </cell>
          <cell r="AI196">
            <v>4.0125999999999999</v>
          </cell>
          <cell r="AJ196">
            <v>3.8557000000000001</v>
          </cell>
          <cell r="AK196">
            <v>3.9859</v>
          </cell>
          <cell r="AL196">
            <v>3.8073999999999999</v>
          </cell>
          <cell r="AM196">
            <v>4.0358999999999998</v>
          </cell>
          <cell r="AN196">
            <v>3.8222</v>
          </cell>
          <cell r="AO196">
            <v>3.6938129147514003</v>
          </cell>
          <cell r="AP196">
            <v>3.7560336845863516</v>
          </cell>
          <cell r="AQ196">
            <v>3.7968552264810116</v>
          </cell>
          <cell r="AR196">
            <v>3.7950523523411204</v>
          </cell>
          <cell r="AS196">
            <v>4.0854029221113288</v>
          </cell>
          <cell r="AT196">
            <v>3.6351825187006868</v>
          </cell>
          <cell r="AU196">
            <v>3.7604985714285712</v>
          </cell>
          <cell r="AV196">
            <v>3.7313000000000001</v>
          </cell>
          <cell r="AW196">
            <v>3.6572227848101257</v>
          </cell>
          <cell r="AX196">
            <v>3.8058000000000001</v>
          </cell>
          <cell r="AZ196">
            <v>100</v>
          </cell>
          <cell r="BA196">
            <v>100</v>
          </cell>
          <cell r="BC196">
            <v>2023</v>
          </cell>
        </row>
        <row r="197">
          <cell r="D197">
            <v>45170</v>
          </cell>
          <cell r="E197">
            <v>45.727679999999999</v>
          </cell>
          <cell r="F197">
            <v>40.709850000000003</v>
          </cell>
          <cell r="G197">
            <v>43.04515</v>
          </cell>
          <cell r="H197">
            <v>44.630749999999999</v>
          </cell>
          <cell r="J197">
            <v>43.709850000000003</v>
          </cell>
          <cell r="K197">
            <v>44.709850000000003</v>
          </cell>
          <cell r="L197">
            <v>43.709850000000003</v>
          </cell>
          <cell r="M197">
            <v>36.742240000000002</v>
          </cell>
          <cell r="N197">
            <v>35.392769999999999</v>
          </cell>
          <cell r="O197">
            <v>33.850850000000001</v>
          </cell>
          <cell r="P197">
            <v>33.57835</v>
          </cell>
          <cell r="R197">
            <v>33.892769999999999</v>
          </cell>
          <cell r="S197">
            <v>33.892769999999999</v>
          </cell>
          <cell r="T197">
            <v>37.642769999999999</v>
          </cell>
          <cell r="U197">
            <v>41.73415111111111</v>
          </cell>
          <cell r="V197">
            <v>38.346703333333338</v>
          </cell>
          <cell r="W197">
            <v>38.95879444444445</v>
          </cell>
          <cell r="Z197">
            <v>39.346703333333338</v>
          </cell>
          <cell r="AC197">
            <v>3.7656999999999998</v>
          </cell>
          <cell r="AD197">
            <v>3.6545000000000001</v>
          </cell>
          <cell r="AE197">
            <v>3.7410000000000001</v>
          </cell>
          <cell r="AF197">
            <v>3.7656999999999998</v>
          </cell>
          <cell r="AG197">
            <v>3.9262000000000001</v>
          </cell>
          <cell r="AH197">
            <v>3.1606999999999998</v>
          </cell>
          <cell r="AI197">
            <v>4.0620000000000003</v>
          </cell>
          <cell r="AJ197">
            <v>3.9053</v>
          </cell>
          <cell r="AK197">
            <v>4.0354000000000001</v>
          </cell>
          <cell r="AL197">
            <v>3.8567999999999998</v>
          </cell>
          <cell r="AM197">
            <v>4.0853999999999999</v>
          </cell>
          <cell r="AN197">
            <v>3.8717000000000001</v>
          </cell>
          <cell r="AO197">
            <v>3.7433923924607084</v>
          </cell>
          <cell r="AP197">
            <v>3.8064264215036219</v>
          </cell>
          <cell r="AQ197">
            <v>3.8477803910253163</v>
          </cell>
          <cell r="AR197">
            <v>3.8454450892583907</v>
          </cell>
          <cell r="AS197">
            <v>4.1235755736186848</v>
          </cell>
          <cell r="AT197">
            <v>3.6806789835024083</v>
          </cell>
          <cell r="AU197">
            <v>3.8109067346938779</v>
          </cell>
          <cell r="AV197">
            <v>3.7559999999999998</v>
          </cell>
          <cell r="AW197">
            <v>3.7321594936708857</v>
          </cell>
          <cell r="AX197">
            <v>3.8801000000000001</v>
          </cell>
          <cell r="AZ197">
            <v>101</v>
          </cell>
          <cell r="BA197">
            <v>101</v>
          </cell>
          <cell r="BC197">
            <v>2023</v>
          </cell>
        </row>
        <row r="198">
          <cell r="D198">
            <v>45200</v>
          </cell>
          <cell r="E198">
            <v>41.357230000000001</v>
          </cell>
          <cell r="F198">
            <v>39.794960000000003</v>
          </cell>
          <cell r="G198">
            <v>37.974719999999998</v>
          </cell>
          <cell r="H198">
            <v>39.761920000000003</v>
          </cell>
          <cell r="J198">
            <v>39.294960000000003</v>
          </cell>
          <cell r="K198">
            <v>39.794960000000003</v>
          </cell>
          <cell r="L198">
            <v>41.794960000000003</v>
          </cell>
          <cell r="M198">
            <v>34.31991</v>
          </cell>
          <cell r="N198">
            <v>35.538679999999999</v>
          </cell>
          <cell r="O198">
            <v>31.196480000000001</v>
          </cell>
          <cell r="P198">
            <v>34.600580000000001</v>
          </cell>
          <cell r="R198">
            <v>34.538679999999999</v>
          </cell>
          <cell r="S198">
            <v>34.038679999999999</v>
          </cell>
          <cell r="T198">
            <v>37.288679999999999</v>
          </cell>
          <cell r="U198">
            <v>38.254755591397853</v>
          </cell>
          <cell r="V198">
            <v>37.918535483870969</v>
          </cell>
          <cell r="W198">
            <v>34.98646365591398</v>
          </cell>
          <cell r="Z198">
            <v>37.198105376344088</v>
          </cell>
          <cell r="AC198">
            <v>3.8027000000000002</v>
          </cell>
          <cell r="AD198">
            <v>3.6669</v>
          </cell>
          <cell r="AE198">
            <v>3.7656999999999998</v>
          </cell>
          <cell r="AF198">
            <v>3.7902999999999998</v>
          </cell>
          <cell r="AG198">
            <v>3.9508000000000001</v>
          </cell>
          <cell r="AH198">
            <v>3.1977000000000002</v>
          </cell>
          <cell r="AI198">
            <v>4.0990000000000002</v>
          </cell>
          <cell r="AJ198">
            <v>3.9436</v>
          </cell>
          <cell r="AK198">
            <v>4.0739000000000001</v>
          </cell>
          <cell r="AL198">
            <v>3.8944000000000001</v>
          </cell>
          <cell r="AM198">
            <v>4.1238999999999999</v>
          </cell>
          <cell r="AN198">
            <v>3.9097</v>
          </cell>
          <cell r="AO198">
            <v>3.7805268190850883</v>
          </cell>
          <cell r="AP198">
            <v>3.8441699693971239</v>
          </cell>
          <cell r="AQ198">
            <v>3.8669224741518984</v>
          </cell>
          <cell r="AR198">
            <v>3.8831886371518931</v>
          </cell>
          <cell r="AS198">
            <v>4.1488868196316488</v>
          </cell>
          <cell r="AT198">
            <v>3.7211544420534892</v>
          </cell>
          <cell r="AU198">
            <v>3.8486618367346939</v>
          </cell>
          <cell r="AV198">
            <v>3.7806999999999999</v>
          </cell>
          <cell r="AW198">
            <v>3.744716455696202</v>
          </cell>
          <cell r="AX198">
            <v>3.895</v>
          </cell>
          <cell r="AZ198">
            <v>102</v>
          </cell>
          <cell r="BA198">
            <v>102</v>
          </cell>
          <cell r="BC198">
            <v>2023</v>
          </cell>
        </row>
        <row r="199">
          <cell r="D199">
            <v>45231</v>
          </cell>
          <cell r="E199">
            <v>44.742440000000002</v>
          </cell>
          <cell r="F199">
            <v>42.487200000000001</v>
          </cell>
          <cell r="G199">
            <v>41.159210000000002</v>
          </cell>
          <cell r="H199">
            <v>43.596710000000002</v>
          </cell>
          <cell r="J199">
            <v>41.987200000000001</v>
          </cell>
          <cell r="K199">
            <v>40.987200000000001</v>
          </cell>
          <cell r="L199">
            <v>44.487200000000001</v>
          </cell>
          <cell r="M199">
            <v>36.445050000000002</v>
          </cell>
          <cell r="N199">
            <v>36.69753</v>
          </cell>
          <cell r="O199">
            <v>33.23433</v>
          </cell>
          <cell r="P199">
            <v>33.923229999999997</v>
          </cell>
          <cell r="R199">
            <v>36.19753</v>
          </cell>
          <cell r="S199">
            <v>35.19753</v>
          </cell>
          <cell r="T199">
            <v>38.44753</v>
          </cell>
          <cell r="U199">
            <v>41.048317683772538</v>
          </cell>
          <cell r="V199">
            <v>39.909552191400834</v>
          </cell>
          <cell r="W199">
            <v>37.63093471567268</v>
          </cell>
          <cell r="Z199">
            <v>39.409552191400827</v>
          </cell>
          <cell r="AC199">
            <v>4.0620000000000003</v>
          </cell>
          <cell r="AD199">
            <v>3.9015</v>
          </cell>
          <cell r="AE199">
            <v>4.0248999999999997</v>
          </cell>
          <cell r="AF199">
            <v>3.9632000000000001</v>
          </cell>
          <cell r="AG199">
            <v>4.1360000000000001</v>
          </cell>
          <cell r="AH199">
            <v>3.5558000000000001</v>
          </cell>
          <cell r="AI199">
            <v>4.3212000000000002</v>
          </cell>
          <cell r="AJ199">
            <v>4.2093999999999996</v>
          </cell>
          <cell r="AK199">
            <v>4.34</v>
          </cell>
          <cell r="AL199">
            <v>4.1563999999999997</v>
          </cell>
          <cell r="AM199">
            <v>4.3899999999999997</v>
          </cell>
          <cell r="AN199">
            <v>4.1734</v>
          </cell>
          <cell r="AO199">
            <v>4.040768895401353</v>
          </cell>
          <cell r="AP199">
            <v>4.1086808334183411</v>
          </cell>
          <cell r="AQ199">
            <v>4.1217030846075939</v>
          </cell>
          <cell r="AR199">
            <v>4.1476995011731104</v>
          </cell>
          <cell r="AS199">
            <v>4.3267857804300851</v>
          </cell>
          <cell r="AT199">
            <v>4.0637100317655497</v>
          </cell>
          <cell r="AU199">
            <v>4.1132536734693872</v>
          </cell>
          <cell r="AV199">
            <v>4.0399000000000003</v>
          </cell>
          <cell r="AW199">
            <v>3.9822860759493666</v>
          </cell>
          <cell r="AX199">
            <v>4.1685999999999996</v>
          </cell>
          <cell r="AZ199">
            <v>103</v>
          </cell>
          <cell r="BA199">
            <v>103</v>
          </cell>
          <cell r="BC199">
            <v>2023</v>
          </cell>
        </row>
        <row r="200">
          <cell r="D200">
            <v>45261</v>
          </cell>
          <cell r="E200">
            <v>46.413539999999998</v>
          </cell>
          <cell r="F200">
            <v>43.430309999999999</v>
          </cell>
          <cell r="G200">
            <v>43.265779999999999</v>
          </cell>
          <cell r="H200">
            <v>45.993580000000001</v>
          </cell>
          <cell r="J200">
            <v>42.930309999999999</v>
          </cell>
          <cell r="K200">
            <v>42.680309999999999</v>
          </cell>
          <cell r="L200">
            <v>45.430309999999999</v>
          </cell>
          <cell r="M200">
            <v>38.978189999999998</v>
          </cell>
          <cell r="N200">
            <v>38.271320000000003</v>
          </cell>
          <cell r="O200">
            <v>35.76699</v>
          </cell>
          <cell r="P200">
            <v>38.581490000000002</v>
          </cell>
          <cell r="R200">
            <v>37.771320000000003</v>
          </cell>
          <cell r="S200">
            <v>37.271320000000003</v>
          </cell>
          <cell r="T200">
            <v>40.021320000000003</v>
          </cell>
          <cell r="U200">
            <v>42.975689999999993</v>
          </cell>
          <cell r="V200">
            <v>41.044970537634413</v>
          </cell>
          <cell r="W200">
            <v>39.798597526881721</v>
          </cell>
          <cell r="Z200">
            <v>40.544970537634406</v>
          </cell>
          <cell r="AC200">
            <v>4.2842000000000002</v>
          </cell>
          <cell r="AD200">
            <v>4.1730999999999998</v>
          </cell>
          <cell r="AE200">
            <v>4.2347999999999999</v>
          </cell>
          <cell r="AF200">
            <v>4.2965</v>
          </cell>
          <cell r="AG200">
            <v>4.383</v>
          </cell>
          <cell r="AH200">
            <v>3.7656999999999998</v>
          </cell>
          <cell r="AI200">
            <v>4.5311000000000003</v>
          </cell>
          <cell r="AJ200">
            <v>4.4370000000000003</v>
          </cell>
          <cell r="AK200">
            <v>4.5678999999999998</v>
          </cell>
          <cell r="AL200">
            <v>4.3808999999999996</v>
          </cell>
          <cell r="AM200">
            <v>4.6178999999999997</v>
          </cell>
          <cell r="AN200">
            <v>4.3994</v>
          </cell>
          <cell r="AO200">
            <v>4.2637761817780362</v>
          </cell>
          <cell r="AP200">
            <v>4.3353461399571556</v>
          </cell>
          <cell r="AQ200">
            <v>4.3701373979620239</v>
          </cell>
          <cell r="AR200">
            <v>4.3743648077119257</v>
          </cell>
          <cell r="AS200">
            <v>4.6697222965325649</v>
          </cell>
          <cell r="AT200">
            <v>4.2734651296239372</v>
          </cell>
          <cell r="AU200">
            <v>4.3399883673469386</v>
          </cell>
          <cell r="AV200">
            <v>4.2497999999999996</v>
          </cell>
          <cell r="AW200">
            <v>4.25732405063291</v>
          </cell>
          <cell r="AX200">
            <v>4.4501999999999997</v>
          </cell>
          <cell r="AZ200">
            <v>104</v>
          </cell>
          <cell r="BA200">
            <v>104</v>
          </cell>
          <cell r="BC200">
            <v>2023</v>
          </cell>
        </row>
        <row r="201">
          <cell r="D201">
            <v>45292</v>
          </cell>
          <cell r="E201">
            <v>47.653399999999998</v>
          </cell>
          <cell r="F201">
            <v>46.523809999999997</v>
          </cell>
          <cell r="G201">
            <v>43.9161</v>
          </cell>
          <cell r="H201">
            <v>47.724600000000002</v>
          </cell>
          <cell r="J201">
            <v>46.023809999999997</v>
          </cell>
          <cell r="K201">
            <v>46.023809999999997</v>
          </cell>
          <cell r="L201">
            <v>48.773809999999997</v>
          </cell>
          <cell r="M201">
            <v>39.031759999999998</v>
          </cell>
          <cell r="N201">
            <v>41.038580000000003</v>
          </cell>
          <cell r="O201">
            <v>35.668309999999998</v>
          </cell>
          <cell r="P201">
            <v>38.91281</v>
          </cell>
          <cell r="R201">
            <v>40.538580000000003</v>
          </cell>
          <cell r="S201">
            <v>40.538580000000003</v>
          </cell>
          <cell r="T201">
            <v>43.288580000000003</v>
          </cell>
          <cell r="U201">
            <v>43.852461935483866</v>
          </cell>
          <cell r="V201">
            <v>44.105590322580646</v>
          </cell>
          <cell r="W201">
            <v>40.279977526881716</v>
          </cell>
          <cell r="Z201">
            <v>43.605590322580639</v>
          </cell>
          <cell r="AC201">
            <v>4.5468999999999999</v>
          </cell>
          <cell r="AD201">
            <v>4.4080000000000004</v>
          </cell>
          <cell r="AE201">
            <v>4.5595999999999997</v>
          </cell>
          <cell r="AF201">
            <v>4.6101000000000001</v>
          </cell>
          <cell r="AG201">
            <v>4.6479999999999997</v>
          </cell>
          <cell r="AH201">
            <v>4.0038</v>
          </cell>
          <cell r="AI201">
            <v>4.8247999999999998</v>
          </cell>
          <cell r="AJ201">
            <v>4.7041000000000004</v>
          </cell>
          <cell r="AK201">
            <v>4.8353000000000002</v>
          </cell>
          <cell r="AL201">
            <v>4.6455000000000002</v>
          </cell>
          <cell r="AM201">
            <v>4.8853</v>
          </cell>
          <cell r="AN201">
            <v>4.6650999999999998</v>
          </cell>
          <cell r="AO201">
            <v>4.5274306108111357</v>
          </cell>
          <cell r="AP201">
            <v>4.6033253300010193</v>
          </cell>
          <cell r="AQ201">
            <v>4.6589197140253162</v>
          </cell>
          <cell r="AR201">
            <v>4.6423439977557894</v>
          </cell>
          <cell r="AS201">
            <v>4.9923892375758818</v>
          </cell>
          <cell r="AT201">
            <v>4.6169429449738706</v>
          </cell>
          <cell r="AU201">
            <v>4.6080495918367346</v>
          </cell>
          <cell r="AV201">
            <v>4.5746000000000002</v>
          </cell>
          <cell r="AW201">
            <v>4.49519746835443</v>
          </cell>
          <cell r="AX201">
            <v>4.6932999999999998</v>
          </cell>
          <cell r="AZ201">
            <v>105</v>
          </cell>
          <cell r="BA201">
            <v>105</v>
          </cell>
          <cell r="BC201">
            <v>2024</v>
          </cell>
        </row>
        <row r="202">
          <cell r="D202">
            <v>45323</v>
          </cell>
          <cell r="E202">
            <v>49.342660000000002</v>
          </cell>
          <cell r="F202">
            <v>47.112740000000002</v>
          </cell>
          <cell r="G202">
            <v>45.717419999999997</v>
          </cell>
          <cell r="H202">
            <v>49.675420000000003</v>
          </cell>
          <cell r="J202">
            <v>47.112740000000002</v>
          </cell>
          <cell r="K202">
            <v>46.112740000000002</v>
          </cell>
          <cell r="L202">
            <v>49.362740000000002</v>
          </cell>
          <cell r="M202">
            <v>41.054009999999998</v>
          </cell>
          <cell r="N202">
            <v>41.535409999999999</v>
          </cell>
          <cell r="O202">
            <v>37.684989999999999</v>
          </cell>
          <cell r="P202">
            <v>40.571289999999998</v>
          </cell>
          <cell r="R202">
            <v>41.035409999999999</v>
          </cell>
          <cell r="S202">
            <v>40.285409999999999</v>
          </cell>
          <cell r="T202">
            <v>43.535409999999999</v>
          </cell>
          <cell r="U202">
            <v>45.81760195402299</v>
          </cell>
          <cell r="V202">
            <v>44.740772068965512</v>
          </cell>
          <cell r="W202">
            <v>42.301329080459773</v>
          </cell>
          <cell r="Z202">
            <v>44.528128390804603</v>
          </cell>
          <cell r="AC202">
            <v>4.5217000000000001</v>
          </cell>
          <cell r="AD202">
            <v>4.3826999999999998</v>
          </cell>
          <cell r="AE202">
            <v>4.4710999999999999</v>
          </cell>
          <cell r="AF202">
            <v>4.5468999999999999</v>
          </cell>
          <cell r="AG202">
            <v>4.6605999999999996</v>
          </cell>
          <cell r="AH202">
            <v>4.0164999999999997</v>
          </cell>
          <cell r="AI202">
            <v>4.8121999999999998</v>
          </cell>
          <cell r="AJ202">
            <v>4.6783000000000001</v>
          </cell>
          <cell r="AK202">
            <v>4.8094999999999999</v>
          </cell>
          <cell r="AL202">
            <v>4.62</v>
          </cell>
          <cell r="AM202">
            <v>4.8594999999999997</v>
          </cell>
          <cell r="AN202">
            <v>4.6395</v>
          </cell>
          <cell r="AO202">
            <v>4.5021390553804768</v>
          </cell>
          <cell r="AP202">
            <v>4.5776189135978775</v>
          </cell>
          <cell r="AQ202">
            <v>4.6002035668607579</v>
          </cell>
          <cell r="AR202">
            <v>4.6166375813526477</v>
          </cell>
          <cell r="AS202">
            <v>4.927361971396234</v>
          </cell>
          <cell r="AT202">
            <v>4.6064910544113129</v>
          </cell>
          <cell r="AU202">
            <v>4.5823353061224488</v>
          </cell>
          <cell r="AV202">
            <v>4.4861000000000004</v>
          </cell>
          <cell r="AW202">
            <v>4.4695772151898723</v>
          </cell>
          <cell r="AX202">
            <v>4.6669999999999998</v>
          </cell>
          <cell r="AZ202">
            <v>106</v>
          </cell>
          <cell r="BA202">
            <v>106</v>
          </cell>
          <cell r="BC202">
            <v>2024</v>
          </cell>
        </row>
        <row r="203">
          <cell r="D203">
            <v>45352</v>
          </cell>
          <cell r="E203">
            <v>42.143540000000002</v>
          </cell>
          <cell r="F203">
            <v>42.983669999999996</v>
          </cell>
          <cell r="G203">
            <v>38.640740000000001</v>
          </cell>
          <cell r="H203">
            <v>42.439239999999998</v>
          </cell>
          <cell r="J203">
            <v>42.983669999999996</v>
          </cell>
          <cell r="K203">
            <v>41.983669999999996</v>
          </cell>
          <cell r="L203">
            <v>45.233669999999996</v>
          </cell>
          <cell r="M203">
            <v>36.605800000000002</v>
          </cell>
          <cell r="N203">
            <v>38.941760000000002</v>
          </cell>
          <cell r="O203">
            <v>33.336060000000003</v>
          </cell>
          <cell r="P203">
            <v>36.531559999999999</v>
          </cell>
          <cell r="R203">
            <v>38.441760000000002</v>
          </cell>
          <cell r="S203">
            <v>37.441760000000002</v>
          </cell>
          <cell r="T203">
            <v>40.941760000000002</v>
          </cell>
          <cell r="U203">
            <v>39.706338142664876</v>
          </cell>
          <cell r="V203">
            <v>41.204794401076711</v>
          </cell>
          <cell r="W203">
            <v>36.306109636608348</v>
          </cell>
          <cell r="Z203">
            <v>40.984740565275906</v>
          </cell>
          <cell r="AC203">
            <v>4.1806999999999999</v>
          </cell>
          <cell r="AD203">
            <v>4.1048999999999998</v>
          </cell>
          <cell r="AE203">
            <v>4.1806999999999999</v>
          </cell>
          <cell r="AF203">
            <v>4.2184999999999997</v>
          </cell>
          <cell r="AG203">
            <v>4.3574999999999999</v>
          </cell>
          <cell r="AH203">
            <v>3.7006999999999999</v>
          </cell>
          <cell r="AI203">
            <v>4.4584999999999999</v>
          </cell>
          <cell r="AJ203">
            <v>4.3350999999999997</v>
          </cell>
          <cell r="AK203">
            <v>4.4661999999999997</v>
          </cell>
          <cell r="AL203">
            <v>4.2781000000000002</v>
          </cell>
          <cell r="AM203">
            <v>4.5162000000000004</v>
          </cell>
          <cell r="AN203">
            <v>4.2969999999999997</v>
          </cell>
          <cell r="AO203">
            <v>4.1599001505449724</v>
          </cell>
          <cell r="AP203">
            <v>4.2297662154442515</v>
          </cell>
          <cell r="AQ203">
            <v>4.3070355983291133</v>
          </cell>
          <cell r="AR203">
            <v>4.2687848831990207</v>
          </cell>
          <cell r="AS203">
            <v>4.5894671262475555</v>
          </cell>
          <cell r="AT203">
            <v>4.0546927144174614</v>
          </cell>
          <cell r="AU203">
            <v>4.2343761224489791</v>
          </cell>
          <cell r="AV203">
            <v>4.1957000000000004</v>
          </cell>
          <cell r="AW203">
            <v>4.1882607594936694</v>
          </cell>
          <cell r="AX203">
            <v>4.3852000000000002</v>
          </cell>
          <cell r="AZ203">
            <v>107</v>
          </cell>
          <cell r="BA203">
            <v>107</v>
          </cell>
          <cell r="BC203">
            <v>2024</v>
          </cell>
        </row>
        <row r="204">
          <cell r="D204">
            <v>45383</v>
          </cell>
          <cell r="E204">
            <v>39.288359999999997</v>
          </cell>
          <cell r="F204">
            <v>40.685450000000003</v>
          </cell>
          <cell r="G204">
            <v>35.894590000000001</v>
          </cell>
          <cell r="H204">
            <v>37.393189999999997</v>
          </cell>
          <cell r="J204">
            <v>39.185450000000003</v>
          </cell>
          <cell r="K204">
            <v>39.185450000000003</v>
          </cell>
          <cell r="L204">
            <v>42.685450000000003</v>
          </cell>
          <cell r="M204">
            <v>34.561540000000001</v>
          </cell>
          <cell r="N204">
            <v>37.574570000000001</v>
          </cell>
          <cell r="O204">
            <v>31.380230000000001</v>
          </cell>
          <cell r="P204">
            <v>38.05583</v>
          </cell>
          <cell r="R204">
            <v>36.824570000000001</v>
          </cell>
          <cell r="S204">
            <v>36.574570000000001</v>
          </cell>
          <cell r="T204">
            <v>39.574570000000001</v>
          </cell>
          <cell r="U204">
            <v>37.292591555555553</v>
          </cell>
          <cell r="V204">
            <v>39.37196733333333</v>
          </cell>
          <cell r="W204">
            <v>33.988526888888892</v>
          </cell>
          <cell r="Z204">
            <v>38.188634</v>
          </cell>
          <cell r="AC204">
            <v>3.8902000000000001</v>
          </cell>
          <cell r="AD204">
            <v>3.7637999999999998</v>
          </cell>
          <cell r="AE204">
            <v>3.9028</v>
          </cell>
          <cell r="AF204">
            <v>3.8902000000000001</v>
          </cell>
          <cell r="AG204">
            <v>4.0796000000000001</v>
          </cell>
          <cell r="AH204">
            <v>3.1829000000000001</v>
          </cell>
          <cell r="AI204">
            <v>4.1680000000000001</v>
          </cell>
          <cell r="AJ204">
            <v>4.0324999999999998</v>
          </cell>
          <cell r="AK204">
            <v>4.1627999999999998</v>
          </cell>
          <cell r="AL204">
            <v>3.9824999999999999</v>
          </cell>
          <cell r="AM204">
            <v>4.2127999999999997</v>
          </cell>
          <cell r="AN204">
            <v>3.9981</v>
          </cell>
          <cell r="AO204">
            <v>3.8683447198859877</v>
          </cell>
          <cell r="AP204">
            <v>3.9334283596858111</v>
          </cell>
          <cell r="AQ204">
            <v>3.9876569068101264</v>
          </cell>
          <cell r="AR204">
            <v>3.9724470274405799</v>
          </cell>
          <cell r="AS204">
            <v>4.2516751723428339</v>
          </cell>
          <cell r="AT204">
            <v>3.6545492570960141</v>
          </cell>
          <cell r="AU204">
            <v>3.9379475510204083</v>
          </cell>
          <cell r="AV204">
            <v>3.9178000000000002</v>
          </cell>
          <cell r="AW204">
            <v>3.8428430379746827</v>
          </cell>
          <cell r="AX204">
            <v>3.9895999999999998</v>
          </cell>
          <cell r="AZ204">
            <v>108</v>
          </cell>
          <cell r="BA204">
            <v>108</v>
          </cell>
          <cell r="BC204">
            <v>2024</v>
          </cell>
        </row>
        <row r="205">
          <cell r="D205">
            <v>45413</v>
          </cell>
          <cell r="E205">
            <v>33.134540000000001</v>
          </cell>
          <cell r="F205">
            <v>38.084099999999999</v>
          </cell>
          <cell r="G205">
            <v>30.009409999999999</v>
          </cell>
          <cell r="H205">
            <v>35.243110000000001</v>
          </cell>
          <cell r="J205">
            <v>38.084099999999999</v>
          </cell>
          <cell r="K205">
            <v>38.084099999999999</v>
          </cell>
          <cell r="L205">
            <v>40.084099999999999</v>
          </cell>
          <cell r="M205">
            <v>26.759429999999998</v>
          </cell>
          <cell r="N205">
            <v>34.565649999999998</v>
          </cell>
          <cell r="O205">
            <v>23.9148</v>
          </cell>
          <cell r="P205">
            <v>28.560700000000001</v>
          </cell>
          <cell r="R205">
            <v>34.565649999999998</v>
          </cell>
          <cell r="S205">
            <v>34.065649999999998</v>
          </cell>
          <cell r="T205">
            <v>36.315649999999998</v>
          </cell>
          <cell r="U205">
            <v>30.324007634408602</v>
          </cell>
          <cell r="V205">
            <v>36.532955376344084</v>
          </cell>
          <cell r="W205">
            <v>27.32253892473118</v>
          </cell>
          <cell r="Z205">
            <v>36.532955376344084</v>
          </cell>
          <cell r="AC205">
            <v>3.8649</v>
          </cell>
          <cell r="AD205">
            <v>3.6248999999999998</v>
          </cell>
          <cell r="AE205">
            <v>3.8902000000000001</v>
          </cell>
          <cell r="AF205">
            <v>3.9154</v>
          </cell>
          <cell r="AG205">
            <v>4.0922000000000001</v>
          </cell>
          <cell r="AH205">
            <v>3.1955</v>
          </cell>
          <cell r="AI205">
            <v>4.1680000000000001</v>
          </cell>
          <cell r="AJ205">
            <v>4.0008999999999997</v>
          </cell>
          <cell r="AK205">
            <v>4.1307999999999998</v>
          </cell>
          <cell r="AL205">
            <v>3.9544999999999999</v>
          </cell>
          <cell r="AM205">
            <v>4.1807999999999996</v>
          </cell>
          <cell r="AN205">
            <v>3.9683999999999999</v>
          </cell>
          <cell r="AO205">
            <v>3.8429528011401275</v>
          </cell>
          <cell r="AP205">
            <v>3.9076199336937676</v>
          </cell>
          <cell r="AQ205">
            <v>3.9094891010506325</v>
          </cell>
          <cell r="AR205">
            <v>3.9466386014485368</v>
          </cell>
          <cell r="AS205">
            <v>4.2776037658195287</v>
          </cell>
          <cell r="AT205">
            <v>3.7797670048160676</v>
          </cell>
          <cell r="AU205">
            <v>3.9121312244897957</v>
          </cell>
          <cell r="AV205">
            <v>3.9051999999999998</v>
          </cell>
          <cell r="AW205">
            <v>3.7021848101265817</v>
          </cell>
          <cell r="AX205">
            <v>3.8437000000000001</v>
          </cell>
          <cell r="AZ205">
            <v>109</v>
          </cell>
          <cell r="BA205">
            <v>109</v>
          </cell>
          <cell r="BC205">
            <v>2024</v>
          </cell>
        </row>
        <row r="206">
          <cell r="D206">
            <v>45444</v>
          </cell>
          <cell r="E206">
            <v>38.275829999999999</v>
          </cell>
          <cell r="F206">
            <v>41.589970000000001</v>
          </cell>
          <cell r="G206">
            <v>34.924480000000003</v>
          </cell>
          <cell r="H206">
            <v>41.575980000000001</v>
          </cell>
          <cell r="J206">
            <v>40.839970000000001</v>
          </cell>
          <cell r="K206">
            <v>41.589970000000001</v>
          </cell>
          <cell r="L206">
            <v>44.089970000000001</v>
          </cell>
          <cell r="M206">
            <v>29.808890000000002</v>
          </cell>
          <cell r="N206">
            <v>36.093440000000001</v>
          </cell>
          <cell r="O206">
            <v>26.830089999999998</v>
          </cell>
          <cell r="P206">
            <v>33.669789999999999</v>
          </cell>
          <cell r="R206">
            <v>35.593440000000001</v>
          </cell>
          <cell r="S206">
            <v>35.593440000000001</v>
          </cell>
          <cell r="T206">
            <v>38.343440000000001</v>
          </cell>
          <cell r="U206">
            <v>34.512745555555554</v>
          </cell>
          <cell r="V206">
            <v>39.147067777777778</v>
          </cell>
          <cell r="W206">
            <v>31.326973333333335</v>
          </cell>
          <cell r="Z206">
            <v>38.508178888888892</v>
          </cell>
          <cell r="AC206">
            <v>3.8649</v>
          </cell>
          <cell r="AD206">
            <v>3.6501999999999999</v>
          </cell>
          <cell r="AE206">
            <v>3.8774999999999999</v>
          </cell>
          <cell r="AF206">
            <v>3.9786000000000001</v>
          </cell>
          <cell r="AG206">
            <v>4.1300999999999997</v>
          </cell>
          <cell r="AH206">
            <v>3.2081</v>
          </cell>
          <cell r="AI206">
            <v>4.1932999999999998</v>
          </cell>
          <cell r="AJ206">
            <v>4.0019</v>
          </cell>
          <cell r="AK206">
            <v>4.1318999999999999</v>
          </cell>
          <cell r="AL206">
            <v>3.9550000000000001</v>
          </cell>
          <cell r="AM206">
            <v>4.1818999999999997</v>
          </cell>
          <cell r="AN206">
            <v>3.9691000000000001</v>
          </cell>
          <cell r="AO206">
            <v>3.8429528011401275</v>
          </cell>
          <cell r="AP206">
            <v>3.9076199336937676</v>
          </cell>
          <cell r="AQ206">
            <v>3.9159901858860753</v>
          </cell>
          <cell r="AR206">
            <v>3.9466386014485368</v>
          </cell>
          <cell r="AS206">
            <v>4.3426310319991765</v>
          </cell>
          <cell r="AT206">
            <v>3.7669583154011685</v>
          </cell>
          <cell r="AU206">
            <v>3.9121312244897957</v>
          </cell>
          <cell r="AV206">
            <v>3.8925000000000001</v>
          </cell>
          <cell r="AW206">
            <v>3.7278050632911386</v>
          </cell>
          <cell r="AX206">
            <v>3.8708999999999998</v>
          </cell>
          <cell r="AZ206">
            <v>110</v>
          </cell>
          <cell r="BA206">
            <v>110</v>
          </cell>
          <cell r="BC206">
            <v>2024</v>
          </cell>
        </row>
        <row r="207">
          <cell r="D207">
            <v>45474</v>
          </cell>
          <cell r="E207">
            <v>44.548290000000001</v>
          </cell>
          <cell r="F207">
            <v>46.487830000000002</v>
          </cell>
          <cell r="G207">
            <v>40.920960000000001</v>
          </cell>
          <cell r="H207">
            <v>46.531260000000003</v>
          </cell>
          <cell r="J207">
            <v>51.487830000000002</v>
          </cell>
          <cell r="K207">
            <v>51.987830000000002</v>
          </cell>
          <cell r="L207">
            <v>50.737830000000002</v>
          </cell>
          <cell r="M207">
            <v>34.238799999999998</v>
          </cell>
          <cell r="N207">
            <v>38.194009999999999</v>
          </cell>
          <cell r="O207">
            <v>31.065079999999998</v>
          </cell>
          <cell r="P207">
            <v>36.20438</v>
          </cell>
          <cell r="R207">
            <v>39.194009999999999</v>
          </cell>
          <cell r="S207">
            <v>39.194009999999999</v>
          </cell>
          <cell r="T207">
            <v>40.694009999999999</v>
          </cell>
          <cell r="U207">
            <v>40.003246021505376</v>
          </cell>
          <cell r="V207">
            <v>42.831414731182797</v>
          </cell>
          <cell r="W207">
            <v>36.575894623655913</v>
          </cell>
          <cell r="Z207">
            <v>46.067973870967741</v>
          </cell>
          <cell r="AC207">
            <v>3.8902000000000001</v>
          </cell>
          <cell r="AD207">
            <v>3.6627999999999998</v>
          </cell>
          <cell r="AE207">
            <v>3.8902000000000001</v>
          </cell>
          <cell r="AF207">
            <v>3.9912000000000001</v>
          </cell>
          <cell r="AG207">
            <v>4.1680000000000001</v>
          </cell>
          <cell r="AH207">
            <v>3.3218000000000001</v>
          </cell>
          <cell r="AI207">
            <v>4.2184999999999997</v>
          </cell>
          <cell r="AJ207">
            <v>4.0284000000000004</v>
          </cell>
          <cell r="AK207">
            <v>4.1585000000000001</v>
          </cell>
          <cell r="AL207">
            <v>3.9807999999999999</v>
          </cell>
          <cell r="AM207">
            <v>4.2084999999999999</v>
          </cell>
          <cell r="AN207">
            <v>3.9952999999999999</v>
          </cell>
          <cell r="AO207">
            <v>3.8683447198859877</v>
          </cell>
          <cell r="AP207">
            <v>3.9334283596858111</v>
          </cell>
          <cell r="AQ207">
            <v>3.9290439514683539</v>
          </cell>
          <cell r="AR207">
            <v>3.9724470274405799</v>
          </cell>
          <cell r="AS207">
            <v>4.3555953287375244</v>
          </cell>
          <cell r="AT207">
            <v>3.8133770058407626</v>
          </cell>
          <cell r="AU207">
            <v>3.9379475510204083</v>
          </cell>
          <cell r="AV207">
            <v>3.9051999999999998</v>
          </cell>
          <cell r="AW207">
            <v>3.7405645569620245</v>
          </cell>
          <cell r="AX207">
            <v>3.8858999999999999</v>
          </cell>
          <cell r="AZ207">
            <v>111</v>
          </cell>
          <cell r="BA207">
            <v>111</v>
          </cell>
          <cell r="BC207">
            <v>2024</v>
          </cell>
        </row>
        <row r="208">
          <cell r="D208">
            <v>45505</v>
          </cell>
          <cell r="E208">
            <v>49.523879999999998</v>
          </cell>
          <cell r="F208">
            <v>48.344549999999998</v>
          </cell>
          <cell r="G208">
            <v>45.710639999999998</v>
          </cell>
          <cell r="H208">
            <v>47.773539999999997</v>
          </cell>
          <cell r="J208">
            <v>52.844549999999998</v>
          </cell>
          <cell r="K208">
            <v>53.844549999999998</v>
          </cell>
          <cell r="L208">
            <v>52.094549999999998</v>
          </cell>
          <cell r="M208">
            <v>37.445610000000002</v>
          </cell>
          <cell r="N208">
            <v>39.197670000000002</v>
          </cell>
          <cell r="O208">
            <v>34.130800000000001</v>
          </cell>
          <cell r="P208">
            <v>38.927799999999998</v>
          </cell>
          <cell r="R208">
            <v>40.197670000000002</v>
          </cell>
          <cell r="S208">
            <v>40.197670000000002</v>
          </cell>
          <cell r="T208">
            <v>41.697670000000002</v>
          </cell>
          <cell r="U208">
            <v>44.458799032258064</v>
          </cell>
          <cell r="V208">
            <v>44.508761612903221</v>
          </cell>
          <cell r="W208">
            <v>40.854578064516126</v>
          </cell>
          <cell r="Z208">
            <v>47.541019677419349</v>
          </cell>
          <cell r="AC208">
            <v>4.0164999999999997</v>
          </cell>
          <cell r="AD208">
            <v>3.8395999999999999</v>
          </cell>
          <cell r="AE208">
            <v>3.9912000000000001</v>
          </cell>
          <cell r="AF208">
            <v>4.0164999999999997</v>
          </cell>
          <cell r="AG208">
            <v>4.1932999999999998</v>
          </cell>
          <cell r="AH208">
            <v>3.3597000000000001</v>
          </cell>
          <cell r="AI208">
            <v>4.3070000000000004</v>
          </cell>
          <cell r="AJ208">
            <v>4.1558999999999999</v>
          </cell>
          <cell r="AK208">
            <v>4.2861000000000002</v>
          </cell>
          <cell r="AL208">
            <v>4.1075999999999997</v>
          </cell>
          <cell r="AM208">
            <v>4.3361000000000001</v>
          </cell>
          <cell r="AN208">
            <v>4.1223999999999998</v>
          </cell>
          <cell r="AO208">
            <v>3.9951035869848859</v>
          </cell>
          <cell r="AP208">
            <v>4.0622664704682245</v>
          </cell>
          <cell r="AQ208">
            <v>4.0723773933164553</v>
          </cell>
          <cell r="AR208">
            <v>4.1012851382229929</v>
          </cell>
          <cell r="AS208">
            <v>4.3816268134581744</v>
          </cell>
          <cell r="AT208">
            <v>3.9427960036889025</v>
          </cell>
          <cell r="AU208">
            <v>4.0668251020408164</v>
          </cell>
          <cell r="AV208">
            <v>4.0061999999999998</v>
          </cell>
          <cell r="AW208">
            <v>3.9196025316455692</v>
          </cell>
          <cell r="AX208">
            <v>4.0648999999999997</v>
          </cell>
          <cell r="AZ208">
            <v>112</v>
          </cell>
          <cell r="BA208">
            <v>112</v>
          </cell>
          <cell r="BC208">
            <v>2024</v>
          </cell>
        </row>
        <row r="209">
          <cell r="D209">
            <v>45536</v>
          </cell>
          <cell r="E209">
            <v>50.006450000000001</v>
          </cell>
          <cell r="F209">
            <v>46.000019999999999</v>
          </cell>
          <cell r="G209">
            <v>47.446849999999998</v>
          </cell>
          <cell r="H209">
            <v>49.032449999999997</v>
          </cell>
          <cell r="J209">
            <v>49.000019999999999</v>
          </cell>
          <cell r="K209">
            <v>50.000019999999999</v>
          </cell>
          <cell r="L209">
            <v>49.000019999999999</v>
          </cell>
          <cell r="M209">
            <v>40.745660000000001</v>
          </cell>
          <cell r="N209">
            <v>38.880229999999997</v>
          </cell>
          <cell r="O209">
            <v>37.769500000000001</v>
          </cell>
          <cell r="P209">
            <v>37.497</v>
          </cell>
          <cell r="R209">
            <v>37.380229999999997</v>
          </cell>
          <cell r="S209">
            <v>37.380229999999997</v>
          </cell>
          <cell r="T209">
            <v>41.130229999999997</v>
          </cell>
          <cell r="U209">
            <v>45.684747999999999</v>
          </cell>
          <cell r="V209">
            <v>42.67745133333333</v>
          </cell>
          <cell r="W209">
            <v>42.930753333333328</v>
          </cell>
          <cell r="Z209">
            <v>43.577451333333329</v>
          </cell>
          <cell r="AC209">
            <v>4.0796000000000001</v>
          </cell>
          <cell r="AD209">
            <v>3.9533</v>
          </cell>
          <cell r="AE209">
            <v>4.0416999999999996</v>
          </cell>
          <cell r="AF209">
            <v>4.0796000000000001</v>
          </cell>
          <cell r="AG209">
            <v>4.2184999999999997</v>
          </cell>
          <cell r="AH209">
            <v>3.5617999999999999</v>
          </cell>
          <cell r="AI209">
            <v>4.3700999999999999</v>
          </cell>
          <cell r="AJ209">
            <v>4.2191999999999998</v>
          </cell>
          <cell r="AK209">
            <v>4.3494000000000002</v>
          </cell>
          <cell r="AL209">
            <v>4.1707999999999998</v>
          </cell>
          <cell r="AM209">
            <v>4.3994</v>
          </cell>
          <cell r="AN209">
            <v>4.1856</v>
          </cell>
          <cell r="AO209">
            <v>4.0584328388767332</v>
          </cell>
          <cell r="AP209">
            <v>4.1266345210649797</v>
          </cell>
          <cell r="AQ209">
            <v>4.1570978798227838</v>
          </cell>
          <cell r="AR209">
            <v>4.165653188819749</v>
          </cell>
          <cell r="AS209">
            <v>4.446551188393868</v>
          </cell>
          <cell r="AT209">
            <v>4.0023307920893538</v>
          </cell>
          <cell r="AU209">
            <v>4.1312128571428568</v>
          </cell>
          <cell r="AV209">
            <v>4.0567000000000002</v>
          </cell>
          <cell r="AW209">
            <v>4.0347417721518974</v>
          </cell>
          <cell r="AX209">
            <v>4.1788999999999996</v>
          </cell>
          <cell r="AZ209">
            <v>113</v>
          </cell>
          <cell r="BA209">
            <v>113</v>
          </cell>
          <cell r="BC209">
            <v>2024</v>
          </cell>
        </row>
        <row r="210">
          <cell r="D210">
            <v>45566</v>
          </cell>
          <cell r="E210">
            <v>46.013930000000002</v>
          </cell>
          <cell r="F210">
            <v>45.45926</v>
          </cell>
          <cell r="G210">
            <v>42.482039999999998</v>
          </cell>
          <cell r="H210">
            <v>44.269240000000003</v>
          </cell>
          <cell r="J210">
            <v>44.95926</v>
          </cell>
          <cell r="K210">
            <v>45.45926</v>
          </cell>
          <cell r="L210">
            <v>47.45926</v>
          </cell>
          <cell r="M210">
            <v>37.881900000000002</v>
          </cell>
          <cell r="N210">
            <v>39.582180000000001</v>
          </cell>
          <cell r="O210">
            <v>34.591090000000001</v>
          </cell>
          <cell r="P210">
            <v>37.995190000000001</v>
          </cell>
          <cell r="R210">
            <v>38.582180000000001</v>
          </cell>
          <cell r="S210">
            <v>38.082180000000001</v>
          </cell>
          <cell r="T210">
            <v>41.332180000000001</v>
          </cell>
          <cell r="U210">
            <v>42.603723870967741</v>
          </cell>
          <cell r="V210">
            <v>42.99467806451613</v>
          </cell>
          <cell r="W210">
            <v>39.172931935483867</v>
          </cell>
          <cell r="Z210">
            <v>42.28500064516129</v>
          </cell>
          <cell r="AC210">
            <v>4.2942999999999998</v>
          </cell>
          <cell r="AD210">
            <v>4.1554000000000002</v>
          </cell>
          <cell r="AE210">
            <v>4.2816999999999998</v>
          </cell>
          <cell r="AF210">
            <v>4.2690999999999999</v>
          </cell>
          <cell r="AG210">
            <v>4.4206000000000003</v>
          </cell>
          <cell r="AH210">
            <v>3.7385999999999999</v>
          </cell>
          <cell r="AI210">
            <v>4.5721999999999996</v>
          </cell>
          <cell r="AJ210">
            <v>4.4352999999999998</v>
          </cell>
          <cell r="AK210">
            <v>4.5655000000000001</v>
          </cell>
          <cell r="AL210">
            <v>4.3860999999999999</v>
          </cell>
          <cell r="AM210">
            <v>4.6154999999999999</v>
          </cell>
          <cell r="AN210">
            <v>4.4013</v>
          </cell>
          <cell r="AO210">
            <v>4.2739128766133394</v>
          </cell>
          <cell r="AP210">
            <v>4.3456491084361923</v>
          </cell>
          <cell r="AQ210">
            <v>4.3852034040886068</v>
          </cell>
          <cell r="AR210">
            <v>4.3846677761909616</v>
          </cell>
          <cell r="AS210">
            <v>4.6415300956888563</v>
          </cell>
          <cell r="AT210">
            <v>4.2248945793626396</v>
          </cell>
          <cell r="AU210">
            <v>4.3502944897959175</v>
          </cell>
          <cell r="AV210">
            <v>4.2967000000000004</v>
          </cell>
          <cell r="AW210">
            <v>4.2393999999999989</v>
          </cell>
          <cell r="AX210">
            <v>4.3834999999999997</v>
          </cell>
          <cell r="AZ210">
            <v>114</v>
          </cell>
          <cell r="BA210">
            <v>114</v>
          </cell>
          <cell r="BC210">
            <v>2024</v>
          </cell>
        </row>
        <row r="211">
          <cell r="D211">
            <v>45597</v>
          </cell>
          <cell r="E211">
            <v>49.68235</v>
          </cell>
          <cell r="F211">
            <v>47.919280000000001</v>
          </cell>
          <cell r="G211">
            <v>45.906120000000001</v>
          </cell>
          <cell r="H211">
            <v>48.343620000000001</v>
          </cell>
          <cell r="J211">
            <v>47.419280000000001</v>
          </cell>
          <cell r="K211">
            <v>46.419280000000001</v>
          </cell>
          <cell r="L211">
            <v>49.919280000000001</v>
          </cell>
          <cell r="M211">
            <v>40.25423</v>
          </cell>
          <cell r="N211">
            <v>41.272509999999997</v>
          </cell>
          <cell r="O211">
            <v>36.848509999999997</v>
          </cell>
          <cell r="P211">
            <v>37.537410000000001</v>
          </cell>
          <cell r="R211">
            <v>40.772509999999997</v>
          </cell>
          <cell r="S211">
            <v>39.772509999999997</v>
          </cell>
          <cell r="T211">
            <v>43.022509999999997</v>
          </cell>
          <cell r="U211">
            <v>45.484809750346741</v>
          </cell>
          <cell r="V211">
            <v>44.960038432732311</v>
          </cell>
          <cell r="W211">
            <v>41.873536352288482</v>
          </cell>
          <cell r="Z211">
            <v>44.460038432732311</v>
          </cell>
          <cell r="AC211">
            <v>4.6479999999999997</v>
          </cell>
          <cell r="AD211">
            <v>4.4710999999999999</v>
          </cell>
          <cell r="AE211">
            <v>4.6227</v>
          </cell>
          <cell r="AF211">
            <v>4.5595999999999997</v>
          </cell>
          <cell r="AG211">
            <v>4.7363999999999997</v>
          </cell>
          <cell r="AH211">
            <v>4.2312000000000003</v>
          </cell>
          <cell r="AI211">
            <v>4.9005999999999998</v>
          </cell>
          <cell r="AJ211">
            <v>4.7953999999999999</v>
          </cell>
          <cell r="AK211">
            <v>4.9260000000000002</v>
          </cell>
          <cell r="AL211">
            <v>4.7423999999999999</v>
          </cell>
          <cell r="AM211">
            <v>4.976</v>
          </cell>
          <cell r="AN211">
            <v>4.7594000000000003</v>
          </cell>
          <cell r="AO211">
            <v>4.6288979224793749</v>
          </cell>
          <cell r="AP211">
            <v>4.7064570243802919</v>
          </cell>
          <cell r="AQ211">
            <v>4.724033754202531</v>
          </cell>
          <cell r="AR211">
            <v>4.7454756921350603</v>
          </cell>
          <cell r="AS211">
            <v>4.9404291593785361</v>
          </cell>
          <cell r="AT211">
            <v>4.664181391536018</v>
          </cell>
          <cell r="AU211">
            <v>4.7112128571428569</v>
          </cell>
          <cell r="AV211">
            <v>4.6376999999999997</v>
          </cell>
          <cell r="AW211">
            <v>4.5590962025316442</v>
          </cell>
          <cell r="AX211">
            <v>4.7382</v>
          </cell>
          <cell r="AZ211">
            <v>115</v>
          </cell>
          <cell r="BA211">
            <v>115</v>
          </cell>
          <cell r="BC211">
            <v>2024</v>
          </cell>
        </row>
        <row r="212">
          <cell r="D212">
            <v>45627</v>
          </cell>
          <cell r="E212">
            <v>49.45664</v>
          </cell>
          <cell r="F212">
            <v>46.630409999999998</v>
          </cell>
          <cell r="G212">
            <v>46.093679999999999</v>
          </cell>
          <cell r="H212">
            <v>48.821480000000001</v>
          </cell>
          <cell r="J212">
            <v>46.130409999999998</v>
          </cell>
          <cell r="K212">
            <v>45.880409999999998</v>
          </cell>
          <cell r="L212">
            <v>48.630409999999998</v>
          </cell>
          <cell r="M212">
            <v>41.888509999999997</v>
          </cell>
          <cell r="N212">
            <v>41.286589999999997</v>
          </cell>
          <cell r="O212">
            <v>38.512279999999997</v>
          </cell>
          <cell r="P212">
            <v>41.326779999999999</v>
          </cell>
          <cell r="R212">
            <v>40.786589999999997</v>
          </cell>
          <cell r="S212">
            <v>40.286589999999997</v>
          </cell>
          <cell r="T212">
            <v>43.036589999999997</v>
          </cell>
          <cell r="U212">
            <v>45.957397096774194</v>
          </cell>
          <cell r="V212">
            <v>44.15961150537634</v>
          </cell>
          <cell r="W212">
            <v>42.588301505376343</v>
          </cell>
          <cell r="Z212">
            <v>43.659611505376347</v>
          </cell>
          <cell r="AC212">
            <v>4.4964000000000004</v>
          </cell>
          <cell r="AD212">
            <v>4.2564000000000002</v>
          </cell>
          <cell r="AE212">
            <v>4.4837999999999996</v>
          </cell>
          <cell r="AF212">
            <v>4.5468999999999999</v>
          </cell>
          <cell r="AG212">
            <v>4.6479999999999997</v>
          </cell>
          <cell r="AH212">
            <v>4.0542999999999996</v>
          </cell>
          <cell r="AI212">
            <v>4.7615999999999996</v>
          </cell>
          <cell r="AJ212">
            <v>4.6492000000000004</v>
          </cell>
          <cell r="AK212">
            <v>4.7801999999999998</v>
          </cell>
          <cell r="AL212">
            <v>4.5930999999999997</v>
          </cell>
          <cell r="AM212">
            <v>4.8301999999999996</v>
          </cell>
          <cell r="AN212">
            <v>4.6116000000000001</v>
          </cell>
          <cell r="AO212">
            <v>4.476747136634617</v>
          </cell>
          <cell r="AP212">
            <v>4.5518104876058345</v>
          </cell>
          <cell r="AQ212">
            <v>4.5415906115189859</v>
          </cell>
          <cell r="AR212">
            <v>4.5908291553606047</v>
          </cell>
          <cell r="AS212">
            <v>4.927361971396234</v>
          </cell>
          <cell r="AT212">
            <v>4.4909054411312637</v>
          </cell>
          <cell r="AU212">
            <v>4.5565189795918366</v>
          </cell>
          <cell r="AV212">
            <v>4.4988000000000001</v>
          </cell>
          <cell r="AW212">
            <v>4.3416784810126572</v>
          </cell>
          <cell r="AX212">
            <v>4.5335000000000001</v>
          </cell>
          <cell r="AZ212">
            <v>116</v>
          </cell>
          <cell r="BA212">
            <v>116</v>
          </cell>
          <cell r="BC212">
            <v>2024</v>
          </cell>
        </row>
        <row r="213">
          <cell r="D213">
            <v>45658</v>
          </cell>
          <cell r="E213">
            <v>50.10322</v>
          </cell>
          <cell r="F213">
            <v>48.7029</v>
          </cell>
          <cell r="G213">
            <v>46.221299999999999</v>
          </cell>
          <cell r="H213">
            <v>50.029800000000002</v>
          </cell>
          <cell r="J213">
            <v>48.2029</v>
          </cell>
          <cell r="K213">
            <v>48.2029</v>
          </cell>
          <cell r="L213">
            <v>50.9529</v>
          </cell>
          <cell r="M213">
            <v>41.315689999999996</v>
          </cell>
          <cell r="N213">
            <v>43.489260000000002</v>
          </cell>
          <cell r="O213">
            <v>37.81476</v>
          </cell>
          <cell r="P213">
            <v>41.059260000000002</v>
          </cell>
          <cell r="R213">
            <v>42.989260000000002</v>
          </cell>
          <cell r="S213">
            <v>42.989260000000002</v>
          </cell>
          <cell r="T213">
            <v>45.739260000000002</v>
          </cell>
          <cell r="U213">
            <v>46.229147634408598</v>
          </cell>
          <cell r="V213">
            <v>46.404413548387097</v>
          </cell>
          <cell r="W213">
            <v>42.515190967741937</v>
          </cell>
          <cell r="Z213">
            <v>45.90441354838709</v>
          </cell>
          <cell r="AC213">
            <v>4.7502000000000004</v>
          </cell>
          <cell r="AD213">
            <v>4.5823999999999998</v>
          </cell>
          <cell r="AE213">
            <v>4.7115</v>
          </cell>
          <cell r="AF213">
            <v>4.8018999999999998</v>
          </cell>
          <cell r="AG213">
            <v>4.8535000000000004</v>
          </cell>
          <cell r="AH213">
            <v>4.2468000000000004</v>
          </cell>
          <cell r="AI213">
            <v>4.9954999999999998</v>
          </cell>
          <cell r="AJ213">
            <v>4.9074</v>
          </cell>
          <cell r="AK213">
            <v>5.0385999999999997</v>
          </cell>
          <cell r="AL213">
            <v>4.8487999999999998</v>
          </cell>
          <cell r="AM213">
            <v>5.0885999999999996</v>
          </cell>
          <cell r="AN213">
            <v>4.8684000000000003</v>
          </cell>
          <cell r="AO213">
            <v>4.7314692306148256</v>
          </cell>
          <cell r="AP213">
            <v>4.8107108242374785</v>
          </cell>
          <cell r="AQ213">
            <v>4.8272771728987331</v>
          </cell>
          <cell r="AR213">
            <v>4.8497294919922478</v>
          </cell>
          <cell r="AS213">
            <v>5.189734643481839</v>
          </cell>
          <cell r="AT213">
            <v>4.8252634696177896</v>
          </cell>
          <cell r="AU213">
            <v>4.815498571428571</v>
          </cell>
          <cell r="AV213">
            <v>4.7264999999999997</v>
          </cell>
          <cell r="AW213">
            <v>4.6718050632911376</v>
          </cell>
          <cell r="AX213">
            <v>4.8677000000000001</v>
          </cell>
          <cell r="AZ213">
            <v>117</v>
          </cell>
          <cell r="BA213">
            <v>117</v>
          </cell>
          <cell r="BC213">
            <v>2025</v>
          </cell>
        </row>
        <row r="214">
          <cell r="D214">
            <v>45689</v>
          </cell>
          <cell r="E214">
            <v>52.306890000000003</v>
          </cell>
          <cell r="F214">
            <v>49.325969999999998</v>
          </cell>
          <cell r="G214">
            <v>48.559480000000001</v>
          </cell>
          <cell r="H214">
            <v>52.517479999999999</v>
          </cell>
          <cell r="J214">
            <v>49.325969999999998</v>
          </cell>
          <cell r="K214">
            <v>48.325969999999998</v>
          </cell>
          <cell r="L214">
            <v>51.575969999999998</v>
          </cell>
          <cell r="M214">
            <v>44.004350000000002</v>
          </cell>
          <cell r="N214">
            <v>44.368499999999997</v>
          </cell>
          <cell r="O214">
            <v>40.486660000000001</v>
          </cell>
          <cell r="P214">
            <v>43.372860000000003</v>
          </cell>
          <cell r="R214">
            <v>43.868499999999997</v>
          </cell>
          <cell r="S214">
            <v>43.118499999999997</v>
          </cell>
          <cell r="T214">
            <v>46.368499999999997</v>
          </cell>
          <cell r="U214">
            <v>48.748658571428571</v>
          </cell>
          <cell r="V214">
            <v>47.201339999999995</v>
          </cell>
          <cell r="W214">
            <v>45.099699999999999</v>
          </cell>
          <cell r="Z214">
            <v>46.987054285714279</v>
          </cell>
          <cell r="AC214">
            <v>4.7630999999999997</v>
          </cell>
          <cell r="AD214">
            <v>4.6470000000000002</v>
          </cell>
          <cell r="AE214">
            <v>4.7373000000000003</v>
          </cell>
          <cell r="AF214">
            <v>4.7759999999999998</v>
          </cell>
          <cell r="AG214">
            <v>4.8792999999999997</v>
          </cell>
          <cell r="AH214">
            <v>4.2725999999999997</v>
          </cell>
          <cell r="AI214">
            <v>5.0213000000000001</v>
          </cell>
          <cell r="AJ214">
            <v>4.9196999999999997</v>
          </cell>
          <cell r="AK214">
            <v>5.0509000000000004</v>
          </cell>
          <cell r="AL214">
            <v>4.8615000000000004</v>
          </cell>
          <cell r="AM214">
            <v>5.1009000000000002</v>
          </cell>
          <cell r="AN214">
            <v>4.8810000000000002</v>
          </cell>
          <cell r="AO214">
            <v>4.7444160982757584</v>
          </cell>
          <cell r="AP214">
            <v>4.8238700612057537</v>
          </cell>
          <cell r="AQ214">
            <v>4.8739198767974683</v>
          </cell>
          <cell r="AR214">
            <v>4.862888728960522</v>
          </cell>
          <cell r="AS214">
            <v>5.1630858112974582</v>
          </cell>
          <cell r="AT214">
            <v>4.8538524643918439</v>
          </cell>
          <cell r="AU214">
            <v>4.8286618367346943</v>
          </cell>
          <cell r="AV214">
            <v>4.7523</v>
          </cell>
          <cell r="AW214">
            <v>4.7372227848101254</v>
          </cell>
          <cell r="AX214">
            <v>4.9311999999999996</v>
          </cell>
          <cell r="AZ214">
            <v>118</v>
          </cell>
          <cell r="BA214">
            <v>118</v>
          </cell>
          <cell r="BC214">
            <v>2025</v>
          </cell>
        </row>
        <row r="215">
          <cell r="D215">
            <v>45717</v>
          </cell>
          <cell r="E215">
            <v>45.386920000000003</v>
          </cell>
          <cell r="F215">
            <v>45.716630000000002</v>
          </cell>
          <cell r="G215">
            <v>41.727829999999997</v>
          </cell>
          <cell r="H215">
            <v>45.526330000000002</v>
          </cell>
          <cell r="J215">
            <v>45.716630000000002</v>
          </cell>
          <cell r="K215">
            <v>44.716630000000002</v>
          </cell>
          <cell r="L215">
            <v>47.966630000000002</v>
          </cell>
          <cell r="M215">
            <v>39.554920000000003</v>
          </cell>
          <cell r="N215">
            <v>41.963149999999999</v>
          </cell>
          <cell r="O215">
            <v>36.123130000000003</v>
          </cell>
          <cell r="P215">
            <v>39.318629999999999</v>
          </cell>
          <cell r="R215">
            <v>41.463149999999999</v>
          </cell>
          <cell r="S215">
            <v>40.463149999999999</v>
          </cell>
          <cell r="T215">
            <v>43.963149999999999</v>
          </cell>
          <cell r="U215">
            <v>42.820212059219386</v>
          </cell>
          <cell r="V215">
            <v>44.064694656796767</v>
          </cell>
          <cell r="W215">
            <v>39.261158532974427</v>
          </cell>
          <cell r="Z215">
            <v>43.844640820995963</v>
          </cell>
          <cell r="AC215">
            <v>4.5437000000000003</v>
          </cell>
          <cell r="AD215">
            <v>4.4661999999999997</v>
          </cell>
          <cell r="AE215">
            <v>4.5437000000000003</v>
          </cell>
          <cell r="AF215">
            <v>4.6082000000000001</v>
          </cell>
          <cell r="AG215">
            <v>4.7244000000000002</v>
          </cell>
          <cell r="AH215">
            <v>4.0532000000000004</v>
          </cell>
          <cell r="AI215">
            <v>4.8148</v>
          </cell>
          <cell r="AJ215">
            <v>4.6981999999999999</v>
          </cell>
          <cell r="AK215">
            <v>4.8292999999999999</v>
          </cell>
          <cell r="AL215">
            <v>4.6410999999999998</v>
          </cell>
          <cell r="AM215">
            <v>4.8792999999999997</v>
          </cell>
          <cell r="AN215">
            <v>4.6600999999999999</v>
          </cell>
          <cell r="AO215">
            <v>4.524218984724703</v>
          </cell>
          <cell r="AP215">
            <v>4.6000610231561767</v>
          </cell>
          <cell r="AQ215">
            <v>4.6807447845443031</v>
          </cell>
          <cell r="AR215">
            <v>4.639079690910946</v>
          </cell>
          <cell r="AS215">
            <v>4.9904343039407344</v>
          </cell>
          <cell r="AT215">
            <v>4.4266570550261299</v>
          </cell>
          <cell r="AU215">
            <v>4.6047842857142856</v>
          </cell>
          <cell r="AV215">
            <v>4.5587</v>
          </cell>
          <cell r="AW215">
            <v>4.5541341772151887</v>
          </cell>
          <cell r="AX215">
            <v>4.7465999999999999</v>
          </cell>
          <cell r="AZ215">
            <v>119</v>
          </cell>
          <cell r="BA215">
            <v>119</v>
          </cell>
          <cell r="BC215">
            <v>2025</v>
          </cell>
        </row>
        <row r="216">
          <cell r="D216">
            <v>45748</v>
          </cell>
          <cell r="E216">
            <v>43.094589999999997</v>
          </cell>
          <cell r="F216">
            <v>44.103470000000002</v>
          </cell>
          <cell r="G216">
            <v>39.511319999999998</v>
          </cell>
          <cell r="H216">
            <v>41.009920000000001</v>
          </cell>
          <cell r="J216">
            <v>42.603470000000002</v>
          </cell>
          <cell r="K216">
            <v>42.603470000000002</v>
          </cell>
          <cell r="L216">
            <v>46.103470000000002</v>
          </cell>
          <cell r="M216">
            <v>37.641739999999999</v>
          </cell>
          <cell r="N216">
            <v>40.504890000000003</v>
          </cell>
          <cell r="O216">
            <v>34.337090000000003</v>
          </cell>
          <cell r="P216">
            <v>41.012689999999999</v>
          </cell>
          <cell r="R216">
            <v>39.754890000000003</v>
          </cell>
          <cell r="S216">
            <v>39.504890000000003</v>
          </cell>
          <cell r="T216">
            <v>42.504890000000003</v>
          </cell>
          <cell r="U216">
            <v>40.792275555555548</v>
          </cell>
          <cell r="V216">
            <v>42.584069555555551</v>
          </cell>
          <cell r="W216">
            <v>37.326645111111112</v>
          </cell>
          <cell r="Z216">
            <v>41.400736222222228</v>
          </cell>
          <cell r="AC216">
            <v>4.3887999999999998</v>
          </cell>
          <cell r="AD216">
            <v>4.2468000000000004</v>
          </cell>
          <cell r="AE216">
            <v>4.4016999999999999</v>
          </cell>
          <cell r="AF216">
            <v>4.3887999999999998</v>
          </cell>
          <cell r="AG216">
            <v>4.5694999999999997</v>
          </cell>
          <cell r="AH216">
            <v>3.6013999999999999</v>
          </cell>
          <cell r="AI216">
            <v>4.6727999999999996</v>
          </cell>
          <cell r="AJ216">
            <v>4.5312000000000001</v>
          </cell>
          <cell r="AK216">
            <v>4.6615000000000002</v>
          </cell>
          <cell r="AL216">
            <v>4.4810999999999996</v>
          </cell>
          <cell r="AM216">
            <v>4.7115</v>
          </cell>
          <cell r="AN216">
            <v>4.4966999999999997</v>
          </cell>
          <cell r="AO216">
            <v>4.3687562094783106</v>
          </cell>
          <cell r="AP216">
            <v>4.4420481699479746</v>
          </cell>
          <cell r="AQ216">
            <v>4.4942771607721514</v>
          </cell>
          <cell r="AR216">
            <v>4.4810668377027438</v>
          </cell>
          <cell r="AS216">
            <v>4.7646909147031584</v>
          </cell>
          <cell r="AT216">
            <v>4.1654622604775078</v>
          </cell>
          <cell r="AU216">
            <v>4.446723061224489</v>
          </cell>
          <cell r="AV216">
            <v>4.4166999999999996</v>
          </cell>
          <cell r="AW216">
            <v>4.3319569620253162</v>
          </cell>
          <cell r="AX216">
            <v>4.4725999999999999</v>
          </cell>
          <cell r="AZ216">
            <v>120</v>
          </cell>
          <cell r="BA216">
            <v>120</v>
          </cell>
          <cell r="BC216">
            <v>2025</v>
          </cell>
        </row>
        <row r="217">
          <cell r="D217">
            <v>45778</v>
          </cell>
          <cell r="E217">
            <v>34.801229999999997</v>
          </cell>
          <cell r="F217">
            <v>39.873570000000001</v>
          </cell>
          <cell r="G217">
            <v>31.566089999999999</v>
          </cell>
          <cell r="H217">
            <v>36.799790000000002</v>
          </cell>
          <cell r="J217">
            <v>39.873570000000001</v>
          </cell>
          <cell r="K217">
            <v>39.873570000000001</v>
          </cell>
          <cell r="L217">
            <v>41.873570000000001</v>
          </cell>
          <cell r="M217">
            <v>28.509730000000001</v>
          </cell>
          <cell r="N217">
            <v>36.451250000000002</v>
          </cell>
          <cell r="O217">
            <v>25.551410000000001</v>
          </cell>
          <cell r="P217">
            <v>30.197310000000002</v>
          </cell>
          <cell r="R217">
            <v>36.451250000000002</v>
          </cell>
          <cell r="S217">
            <v>35.951250000000002</v>
          </cell>
          <cell r="T217">
            <v>38.201250000000002</v>
          </cell>
          <cell r="U217">
            <v>32.027557956989249</v>
          </cell>
          <cell r="V217">
            <v>38.364805268817207</v>
          </cell>
          <cell r="W217">
            <v>28.914456881720429</v>
          </cell>
          <cell r="Z217">
            <v>38.364805268817207</v>
          </cell>
          <cell r="AC217">
            <v>4.1435000000000004</v>
          </cell>
          <cell r="AD217">
            <v>3.8982999999999999</v>
          </cell>
          <cell r="AE217">
            <v>4.1565000000000003</v>
          </cell>
          <cell r="AF217">
            <v>4.2081</v>
          </cell>
          <cell r="AG217">
            <v>4.3758999999999997</v>
          </cell>
          <cell r="AH217">
            <v>3.5238999999999998</v>
          </cell>
          <cell r="AI217">
            <v>4.4404000000000003</v>
          </cell>
          <cell r="AJ217">
            <v>4.2794999999999996</v>
          </cell>
          <cell r="AK217">
            <v>4.4093999999999998</v>
          </cell>
          <cell r="AL217">
            <v>4.2332000000000001</v>
          </cell>
          <cell r="AM217">
            <v>4.4593999999999996</v>
          </cell>
          <cell r="AN217">
            <v>4.2470999999999997</v>
          </cell>
          <cell r="AO217">
            <v>4.1225649972901905</v>
          </cell>
          <cell r="AP217">
            <v>4.1918186483729469</v>
          </cell>
          <cell r="AQ217">
            <v>4.1879522348354428</v>
          </cell>
          <cell r="AR217">
            <v>4.2308373161277162</v>
          </cell>
          <cell r="AS217">
            <v>4.5787664368762213</v>
          </cell>
          <cell r="AT217">
            <v>4.0652470744953382</v>
          </cell>
          <cell r="AU217">
            <v>4.1964169387755099</v>
          </cell>
          <cell r="AV217">
            <v>4.1715</v>
          </cell>
          <cell r="AW217">
            <v>3.9790455696202525</v>
          </cell>
          <cell r="AX217">
            <v>4.1170999999999998</v>
          </cell>
          <cell r="AZ217">
            <v>121</v>
          </cell>
          <cell r="BA217">
            <v>121</v>
          </cell>
          <cell r="BC217">
            <v>2025</v>
          </cell>
        </row>
        <row r="218">
          <cell r="D218">
            <v>45809</v>
          </cell>
          <cell r="E218">
            <v>41.104700000000001</v>
          </cell>
          <cell r="F218">
            <v>44.204009999999997</v>
          </cell>
          <cell r="G218">
            <v>37.592210000000001</v>
          </cell>
          <cell r="H218">
            <v>44.24371</v>
          </cell>
          <cell r="J218">
            <v>43.454009999999997</v>
          </cell>
          <cell r="K218">
            <v>44.204009999999997</v>
          </cell>
          <cell r="L218">
            <v>46.704009999999997</v>
          </cell>
          <cell r="M218">
            <v>31.617709999999999</v>
          </cell>
          <cell r="N218">
            <v>38.038130000000002</v>
          </cell>
          <cell r="O218">
            <v>28.522639999999999</v>
          </cell>
          <cell r="P218">
            <v>35.362340000000003</v>
          </cell>
          <cell r="R218">
            <v>37.538130000000002</v>
          </cell>
          <cell r="S218">
            <v>37.538130000000002</v>
          </cell>
          <cell r="T218">
            <v>40.288130000000002</v>
          </cell>
          <cell r="U218">
            <v>36.888260000000002</v>
          </cell>
          <cell r="V218">
            <v>41.463618888888888</v>
          </cell>
          <cell r="W218">
            <v>33.56129</v>
          </cell>
          <cell r="Z218">
            <v>40.824729999999995</v>
          </cell>
          <cell r="AC218">
            <v>4.1306000000000003</v>
          </cell>
          <cell r="AD218">
            <v>3.8466999999999998</v>
          </cell>
          <cell r="AE218">
            <v>4.1435000000000004</v>
          </cell>
          <cell r="AF218">
            <v>4.2596999999999996</v>
          </cell>
          <cell r="AG218">
            <v>4.4016999999999999</v>
          </cell>
          <cell r="AH218">
            <v>3.4981</v>
          </cell>
          <cell r="AI218">
            <v>4.4532999999999996</v>
          </cell>
          <cell r="AJ218">
            <v>4.2675999999999998</v>
          </cell>
          <cell r="AK218">
            <v>4.3975999999999997</v>
          </cell>
          <cell r="AL218">
            <v>4.2206999999999999</v>
          </cell>
          <cell r="AM218">
            <v>4.4476000000000004</v>
          </cell>
          <cell r="AN218">
            <v>4.2348999999999997</v>
          </cell>
          <cell r="AO218">
            <v>4.1096181296292578</v>
          </cell>
          <cell r="AP218">
            <v>4.1786594114046718</v>
          </cell>
          <cell r="AQ218">
            <v>4.1546212760759493</v>
          </cell>
          <cell r="AR218">
            <v>4.217678079159441</v>
          </cell>
          <cell r="AS218">
            <v>4.6318583187570734</v>
          </cell>
          <cell r="AT218">
            <v>4.0392198176042626</v>
          </cell>
          <cell r="AU218">
            <v>4.1832536734693875</v>
          </cell>
          <cell r="AV218">
            <v>4.1585000000000001</v>
          </cell>
          <cell r="AW218">
            <v>3.9267924050632903</v>
          </cell>
          <cell r="AX218">
            <v>4.0673000000000004</v>
          </cell>
          <cell r="AZ218">
            <v>122</v>
          </cell>
          <cell r="BA218">
            <v>122</v>
          </cell>
          <cell r="BC218">
            <v>2025</v>
          </cell>
        </row>
        <row r="219">
          <cell r="D219">
            <v>45839</v>
          </cell>
          <cell r="E219">
            <v>47.134070000000001</v>
          </cell>
          <cell r="F219">
            <v>48.940289999999997</v>
          </cell>
          <cell r="G219">
            <v>43.356279999999998</v>
          </cell>
          <cell r="H219">
            <v>48.96658</v>
          </cell>
          <cell r="J219">
            <v>53.940289999999997</v>
          </cell>
          <cell r="K219">
            <v>54.440289999999997</v>
          </cell>
          <cell r="L219">
            <v>53.190289999999997</v>
          </cell>
          <cell r="M219">
            <v>36.385939999999998</v>
          </cell>
          <cell r="N219">
            <v>40.1755</v>
          </cell>
          <cell r="O219">
            <v>33.081069999999997</v>
          </cell>
          <cell r="P219">
            <v>38.220370000000003</v>
          </cell>
          <cell r="R219">
            <v>41.1755</v>
          </cell>
          <cell r="S219">
            <v>41.1755</v>
          </cell>
          <cell r="T219">
            <v>42.6755</v>
          </cell>
          <cell r="U219">
            <v>42.395647096774198</v>
          </cell>
          <cell r="V219">
            <v>45.076242795698924</v>
          </cell>
          <cell r="W219">
            <v>38.826348709677418</v>
          </cell>
          <cell r="Z219">
            <v>48.312801935483868</v>
          </cell>
          <cell r="AC219">
            <v>4.1694000000000004</v>
          </cell>
          <cell r="AD219">
            <v>3.9112</v>
          </cell>
          <cell r="AE219">
            <v>4.1694000000000004</v>
          </cell>
          <cell r="AF219">
            <v>4.2984</v>
          </cell>
          <cell r="AG219">
            <v>4.4404000000000003</v>
          </cell>
          <cell r="AH219">
            <v>3.5884999999999998</v>
          </cell>
          <cell r="AI219">
            <v>4.5049999999999999</v>
          </cell>
          <cell r="AJ219">
            <v>4.3075999999999999</v>
          </cell>
          <cell r="AK219">
            <v>4.4377000000000004</v>
          </cell>
          <cell r="AL219">
            <v>4.26</v>
          </cell>
          <cell r="AM219">
            <v>4.4877000000000002</v>
          </cell>
          <cell r="AN219">
            <v>4.2744999999999997</v>
          </cell>
          <cell r="AO219">
            <v>4.1485590959272569</v>
          </cell>
          <cell r="AP219">
            <v>4.2182391318983985</v>
          </cell>
          <cell r="AQ219">
            <v>4.2012639799746836</v>
          </cell>
          <cell r="AR219">
            <v>4.2572577996531678</v>
          </cell>
          <cell r="AS219">
            <v>4.6716772301677123</v>
          </cell>
          <cell r="AT219">
            <v>4.0994718926119482</v>
          </cell>
          <cell r="AU219">
            <v>4.2228455102040812</v>
          </cell>
          <cell r="AV219">
            <v>4.1844000000000001</v>
          </cell>
          <cell r="AW219">
            <v>3.992108860759493</v>
          </cell>
          <cell r="AX219">
            <v>4.1342999999999996</v>
          </cell>
          <cell r="AZ219">
            <v>123</v>
          </cell>
          <cell r="BA219">
            <v>123</v>
          </cell>
          <cell r="BC219">
            <v>2025</v>
          </cell>
        </row>
        <row r="220">
          <cell r="D220">
            <v>45870</v>
          </cell>
          <cell r="E220">
            <v>53.34178</v>
          </cell>
          <cell r="F220">
            <v>52.262650000000001</v>
          </cell>
          <cell r="G220">
            <v>49.31109</v>
          </cell>
          <cell r="H220">
            <v>51.373989999999999</v>
          </cell>
          <cell r="J220">
            <v>56.762650000000001</v>
          </cell>
          <cell r="K220">
            <v>57.762650000000001</v>
          </cell>
          <cell r="L220">
            <v>56.012650000000001</v>
          </cell>
          <cell r="M220">
            <v>40.838360000000002</v>
          </cell>
          <cell r="N220">
            <v>42.71161</v>
          </cell>
          <cell r="O220">
            <v>37.343260000000001</v>
          </cell>
          <cell r="P220">
            <v>42.140259999999998</v>
          </cell>
          <cell r="R220">
            <v>43.71161</v>
          </cell>
          <cell r="S220">
            <v>43.71161</v>
          </cell>
          <cell r="T220">
            <v>45.21161</v>
          </cell>
          <cell r="U220">
            <v>47.829519569892476</v>
          </cell>
          <cell r="V220">
            <v>48.051976451612902</v>
          </cell>
          <cell r="W220">
            <v>44.034949892473122</v>
          </cell>
          <cell r="Z220">
            <v>51.008965698924733</v>
          </cell>
          <cell r="AC220">
            <v>4.2468000000000004</v>
          </cell>
          <cell r="AD220">
            <v>4.0789999999999997</v>
          </cell>
          <cell r="AE220">
            <v>4.2596999999999996</v>
          </cell>
          <cell r="AF220">
            <v>4.2984</v>
          </cell>
          <cell r="AG220">
            <v>4.4791999999999996</v>
          </cell>
          <cell r="AH220">
            <v>3.6272000000000002</v>
          </cell>
          <cell r="AI220">
            <v>4.5952999999999999</v>
          </cell>
          <cell r="AJ220">
            <v>4.3863000000000003</v>
          </cell>
          <cell r="AK220">
            <v>4.5164</v>
          </cell>
          <cell r="AL220">
            <v>4.3379000000000003</v>
          </cell>
          <cell r="AM220">
            <v>4.5663999999999998</v>
          </cell>
          <cell r="AN220">
            <v>4.3526999999999996</v>
          </cell>
          <cell r="AO220">
            <v>4.2262403018928518</v>
          </cell>
          <cell r="AP220">
            <v>4.2971945537080485</v>
          </cell>
          <cell r="AQ220">
            <v>4.3344330272784806</v>
          </cell>
          <cell r="AR220">
            <v>4.3362132214628177</v>
          </cell>
          <cell r="AS220">
            <v>4.6716772301677123</v>
          </cell>
          <cell r="AT220">
            <v>4.1787832974690033</v>
          </cell>
          <cell r="AU220">
            <v>4.3018251020408158</v>
          </cell>
          <cell r="AV220">
            <v>4.2747000000000002</v>
          </cell>
          <cell r="AW220">
            <v>4.1620329113924042</v>
          </cell>
          <cell r="AX220">
            <v>4.3042999999999996</v>
          </cell>
          <cell r="AZ220">
            <v>124</v>
          </cell>
          <cell r="BA220">
            <v>124</v>
          </cell>
          <cell r="BC220">
            <v>2025</v>
          </cell>
        </row>
        <row r="221">
          <cell r="D221">
            <v>45901</v>
          </cell>
          <cell r="E221">
            <v>52.875920000000001</v>
          </cell>
          <cell r="F221">
            <v>48.899619999999999</v>
          </cell>
          <cell r="G221">
            <v>50.337620000000001</v>
          </cell>
          <cell r="H221">
            <v>51.923220000000001</v>
          </cell>
          <cell r="J221">
            <v>51.899619999999999</v>
          </cell>
          <cell r="K221">
            <v>52.899619999999999</v>
          </cell>
          <cell r="L221">
            <v>51.899619999999999</v>
          </cell>
          <cell r="M221">
            <v>43.008369999999999</v>
          </cell>
          <cell r="N221">
            <v>40.892879999999998</v>
          </cell>
          <cell r="O221">
            <v>39.967770000000002</v>
          </cell>
          <cell r="P221">
            <v>39.695270000000001</v>
          </cell>
          <cell r="R221">
            <v>39.392879999999998</v>
          </cell>
          <cell r="S221">
            <v>39.392879999999998</v>
          </cell>
          <cell r="T221">
            <v>43.142879999999998</v>
          </cell>
          <cell r="U221">
            <v>48.490342222222225</v>
          </cell>
          <cell r="V221">
            <v>45.341068888888884</v>
          </cell>
          <cell r="W221">
            <v>45.728797777777785</v>
          </cell>
          <cell r="Z221">
            <v>46.341068888888891</v>
          </cell>
          <cell r="AC221">
            <v>4.1565000000000003</v>
          </cell>
          <cell r="AD221">
            <v>4.0403000000000002</v>
          </cell>
          <cell r="AE221">
            <v>4.1565000000000003</v>
          </cell>
          <cell r="AF221">
            <v>4.2210000000000001</v>
          </cell>
          <cell r="AG221">
            <v>4.3758999999999997</v>
          </cell>
          <cell r="AH221">
            <v>3.7046999999999999</v>
          </cell>
          <cell r="AI221">
            <v>4.5437000000000003</v>
          </cell>
          <cell r="AJ221">
            <v>4.2961</v>
          </cell>
          <cell r="AK221">
            <v>4.4261999999999997</v>
          </cell>
          <cell r="AL221">
            <v>4.2476000000000003</v>
          </cell>
          <cell r="AM221">
            <v>4.4762000000000004</v>
          </cell>
          <cell r="AN221">
            <v>4.2625000000000002</v>
          </cell>
          <cell r="AO221">
            <v>4.1356122282663241</v>
          </cell>
          <cell r="AP221">
            <v>4.2050798949301234</v>
          </cell>
          <cell r="AQ221">
            <v>4.2612184290126578</v>
          </cell>
          <cell r="AR221">
            <v>4.2440985626848926</v>
          </cell>
          <cell r="AS221">
            <v>4.5920394073464346</v>
          </cell>
          <cell r="AT221">
            <v>4.0811298493698125</v>
          </cell>
          <cell r="AU221">
            <v>4.2096822448979587</v>
          </cell>
          <cell r="AV221">
            <v>4.1715</v>
          </cell>
          <cell r="AW221">
            <v>4.1228430379746825</v>
          </cell>
          <cell r="AX221">
            <v>4.2657999999999996</v>
          </cell>
          <cell r="AZ221">
            <v>125</v>
          </cell>
          <cell r="BA221">
            <v>125</v>
          </cell>
          <cell r="BC221">
            <v>2025</v>
          </cell>
        </row>
        <row r="222">
          <cell r="D222">
            <v>45931</v>
          </cell>
          <cell r="E222">
            <v>46.459919999999997</v>
          </cell>
          <cell r="F222">
            <v>46.535800000000002</v>
          </cell>
          <cell r="G222">
            <v>42.76484</v>
          </cell>
          <cell r="H222">
            <v>44.552039999999998</v>
          </cell>
          <cell r="J222">
            <v>46.035800000000002</v>
          </cell>
          <cell r="K222">
            <v>46.535800000000002</v>
          </cell>
          <cell r="L222">
            <v>48.535800000000002</v>
          </cell>
          <cell r="M222">
            <v>38.367010000000001</v>
          </cell>
          <cell r="N222">
            <v>40.433810000000001</v>
          </cell>
          <cell r="O222">
            <v>35.037579999999998</v>
          </cell>
          <cell r="P222">
            <v>38.441679999999998</v>
          </cell>
          <cell r="R222">
            <v>39.433810000000001</v>
          </cell>
          <cell r="S222">
            <v>38.933810000000001</v>
          </cell>
          <cell r="T222">
            <v>42.183810000000001</v>
          </cell>
          <cell r="U222">
            <v>43.066119032258058</v>
          </cell>
          <cell r="V222">
            <v>43.97690096774194</v>
          </cell>
          <cell r="W222">
            <v>39.524376129032255</v>
          </cell>
          <cell r="Z222">
            <v>43.267223548387101</v>
          </cell>
          <cell r="AC222">
            <v>4.2081</v>
          </cell>
          <cell r="AD222">
            <v>4.0532000000000004</v>
          </cell>
          <cell r="AE222">
            <v>4.1951999999999998</v>
          </cell>
          <cell r="AF222">
            <v>4.2210000000000001</v>
          </cell>
          <cell r="AG222">
            <v>4.3887999999999998</v>
          </cell>
          <cell r="AH222">
            <v>3.6918000000000002</v>
          </cell>
          <cell r="AI222">
            <v>4.6082000000000001</v>
          </cell>
          <cell r="AJ222">
            <v>4.3490000000000002</v>
          </cell>
          <cell r="AK222">
            <v>4.4793000000000003</v>
          </cell>
          <cell r="AL222">
            <v>4.2998000000000003</v>
          </cell>
          <cell r="AM222">
            <v>4.5293000000000001</v>
          </cell>
          <cell r="AN222">
            <v>4.3150000000000004</v>
          </cell>
          <cell r="AO222">
            <v>4.1873996989100535</v>
          </cell>
          <cell r="AP222">
            <v>4.257716842803223</v>
          </cell>
          <cell r="AQ222">
            <v>4.2878419192911386</v>
          </cell>
          <cell r="AR222">
            <v>4.2967355105579923</v>
          </cell>
          <cell r="AS222">
            <v>4.5920394073464346</v>
          </cell>
          <cell r="AT222">
            <v>4.1365658571574961</v>
          </cell>
          <cell r="AU222">
            <v>4.2623353061224485</v>
          </cell>
          <cell r="AV222">
            <v>4.2102000000000004</v>
          </cell>
          <cell r="AW222">
            <v>4.1359063291139231</v>
          </cell>
          <cell r="AX222">
            <v>4.2812999999999999</v>
          </cell>
          <cell r="AZ222">
            <v>126</v>
          </cell>
          <cell r="BA222">
            <v>126</v>
          </cell>
          <cell r="BC222">
            <v>2025</v>
          </cell>
        </row>
        <row r="223">
          <cell r="D223">
            <v>45962</v>
          </cell>
          <cell r="E223">
            <v>47.999290000000002</v>
          </cell>
          <cell r="F223">
            <v>46.95673</v>
          </cell>
          <cell r="G223">
            <v>44.20308</v>
          </cell>
          <cell r="H223">
            <v>46.64058</v>
          </cell>
          <cell r="J223">
            <v>46.45673</v>
          </cell>
          <cell r="K223">
            <v>45.45673</v>
          </cell>
          <cell r="L223">
            <v>48.95673</v>
          </cell>
          <cell r="M223">
            <v>40.002139999999997</v>
          </cell>
          <cell r="N223">
            <v>41.180230000000002</v>
          </cell>
          <cell r="O223">
            <v>36.543370000000003</v>
          </cell>
          <cell r="P223">
            <v>37.23227</v>
          </cell>
          <cell r="R223">
            <v>40.680230000000002</v>
          </cell>
          <cell r="S223">
            <v>39.680230000000002</v>
          </cell>
          <cell r="T223">
            <v>42.930230000000002</v>
          </cell>
          <cell r="U223">
            <v>44.261371067961164</v>
          </cell>
          <cell r="V223">
            <v>44.256757045769767</v>
          </cell>
          <cell r="W223">
            <v>40.622882676837726</v>
          </cell>
          <cell r="Z223">
            <v>43.756757045769767</v>
          </cell>
          <cell r="AC223">
            <v>4.3243</v>
          </cell>
          <cell r="AD223">
            <v>4.1048</v>
          </cell>
          <cell r="AE223">
            <v>4.3243</v>
          </cell>
          <cell r="AF223">
            <v>4.2854999999999999</v>
          </cell>
          <cell r="AG223">
            <v>4.4404000000000003</v>
          </cell>
          <cell r="AH223">
            <v>3.9369999999999998</v>
          </cell>
          <cell r="AI223">
            <v>4.6341000000000001</v>
          </cell>
          <cell r="AJ223">
            <v>4.4717000000000002</v>
          </cell>
          <cell r="AK223">
            <v>4.6022999999999996</v>
          </cell>
          <cell r="AL223">
            <v>4.4187000000000003</v>
          </cell>
          <cell r="AM223">
            <v>4.6523000000000003</v>
          </cell>
          <cell r="AN223">
            <v>4.4356999999999998</v>
          </cell>
          <cell r="AO223">
            <v>4.3040218711736484</v>
          </cell>
          <cell r="AP223">
            <v>4.3762519851065997</v>
          </cell>
          <cell r="AQ223">
            <v>4.3810757311772139</v>
          </cell>
          <cell r="AR223">
            <v>4.415270652861369</v>
          </cell>
          <cell r="AS223">
            <v>4.6584042596974991</v>
          </cell>
          <cell r="AT223">
            <v>4.3324875704477925</v>
          </cell>
          <cell r="AU223">
            <v>4.3809067346938768</v>
          </cell>
          <cell r="AV223">
            <v>4.3392999999999997</v>
          </cell>
          <cell r="AW223">
            <v>4.1881594936708852</v>
          </cell>
          <cell r="AX223">
            <v>4.3719000000000001</v>
          </cell>
          <cell r="AZ223">
            <v>127</v>
          </cell>
          <cell r="BA223">
            <v>127</v>
          </cell>
          <cell r="BC223">
            <v>2025</v>
          </cell>
        </row>
        <row r="224">
          <cell r="D224">
            <v>45992</v>
          </cell>
          <cell r="E224">
            <v>51.588099999999997</v>
          </cell>
          <cell r="F224">
            <v>49.026119999999999</v>
          </cell>
          <cell r="G224">
            <v>48.022419999999997</v>
          </cell>
          <cell r="H224">
            <v>50.750219999999999</v>
          </cell>
          <cell r="J224">
            <v>48.526119999999999</v>
          </cell>
          <cell r="K224">
            <v>48.276119999999999</v>
          </cell>
          <cell r="L224">
            <v>51.026119999999999</v>
          </cell>
          <cell r="M224">
            <v>43.454949999999997</v>
          </cell>
          <cell r="N224">
            <v>43.029710000000001</v>
          </cell>
          <cell r="O224">
            <v>39.957189999999997</v>
          </cell>
          <cell r="P224">
            <v>42.77169</v>
          </cell>
          <cell r="R224">
            <v>42.529710000000001</v>
          </cell>
          <cell r="S224">
            <v>42.029710000000001</v>
          </cell>
          <cell r="T224">
            <v>44.779710000000001</v>
          </cell>
          <cell r="U224">
            <v>48.002517741935485</v>
          </cell>
          <cell r="V224">
            <v>46.382541397849465</v>
          </cell>
          <cell r="W224">
            <v>44.466780967741933</v>
          </cell>
          <cell r="Z224">
            <v>45.882541397849458</v>
          </cell>
          <cell r="AC224">
            <v>4.5566000000000004</v>
          </cell>
          <cell r="AD224">
            <v>4.3243</v>
          </cell>
          <cell r="AE224">
            <v>4.5566000000000004</v>
          </cell>
          <cell r="AF224">
            <v>4.6211000000000002</v>
          </cell>
          <cell r="AG224">
            <v>4.7115</v>
          </cell>
          <cell r="AH224">
            <v>4.0532000000000004</v>
          </cell>
          <cell r="AI224">
            <v>4.8535000000000004</v>
          </cell>
          <cell r="AJ224">
            <v>4.7093999999999996</v>
          </cell>
          <cell r="AK224">
            <v>4.8403</v>
          </cell>
          <cell r="AL224">
            <v>4.6532999999999998</v>
          </cell>
          <cell r="AM224">
            <v>4.8902999999999999</v>
          </cell>
          <cell r="AN224">
            <v>4.6718000000000002</v>
          </cell>
          <cell r="AO224">
            <v>4.5371658523856357</v>
          </cell>
          <cell r="AP224">
            <v>4.6132202601244519</v>
          </cell>
          <cell r="AQ224">
            <v>4.6141860588481007</v>
          </cell>
          <cell r="AR224">
            <v>4.6522389278792211</v>
          </cell>
          <cell r="AS224">
            <v>5.0037072744109476</v>
          </cell>
          <cell r="AT224">
            <v>4.5525920893534177</v>
          </cell>
          <cell r="AU224">
            <v>4.617947551020408</v>
          </cell>
          <cell r="AV224">
            <v>4.5716000000000001</v>
          </cell>
          <cell r="AW224">
            <v>4.4104379746835436</v>
          </cell>
          <cell r="AX224">
            <v>4.6013999999999999</v>
          </cell>
          <cell r="AZ224">
            <v>128</v>
          </cell>
          <cell r="BA224">
            <v>128</v>
          </cell>
          <cell r="BC224">
            <v>2025</v>
          </cell>
        </row>
        <row r="225">
          <cell r="D225">
            <v>46023</v>
          </cell>
          <cell r="E225">
            <v>51.859319999999997</v>
          </cell>
          <cell r="F225">
            <v>50.960320000000003</v>
          </cell>
          <cell r="G225">
            <v>47.874169999999999</v>
          </cell>
          <cell r="H225">
            <v>51.682670000000002</v>
          </cell>
          <cell r="J225">
            <v>50.460320000000003</v>
          </cell>
          <cell r="K225">
            <v>50.460320000000003</v>
          </cell>
          <cell r="L225">
            <v>53.210320000000003</v>
          </cell>
          <cell r="M225">
            <v>42.83455</v>
          </cell>
          <cell r="N225">
            <v>45.374229999999997</v>
          </cell>
          <cell r="O225">
            <v>39.232509999999998</v>
          </cell>
          <cell r="P225">
            <v>42.47701</v>
          </cell>
          <cell r="R225">
            <v>44.874229999999997</v>
          </cell>
          <cell r="S225">
            <v>44.874229999999997</v>
          </cell>
          <cell r="T225">
            <v>47.624229999999997</v>
          </cell>
          <cell r="U225">
            <v>47.880657956989246</v>
          </cell>
          <cell r="V225">
            <v>48.497635161290326</v>
          </cell>
          <cell r="W225">
            <v>44.064405913978497</v>
          </cell>
          <cell r="Z225">
            <v>47.997635161290326</v>
          </cell>
          <cell r="AC225">
            <v>4.7888000000000002</v>
          </cell>
          <cell r="AD225">
            <v>4.5513000000000003</v>
          </cell>
          <cell r="AE225">
            <v>4.7755999999999998</v>
          </cell>
          <cell r="AF225">
            <v>4.9074999999999998</v>
          </cell>
          <cell r="AG225">
            <v>4.9470999999999998</v>
          </cell>
          <cell r="AH225">
            <v>4.2347000000000001</v>
          </cell>
          <cell r="AI225">
            <v>5.0789999999999997</v>
          </cell>
          <cell r="AJ225">
            <v>4.9459</v>
          </cell>
          <cell r="AK225">
            <v>5.0770999999999997</v>
          </cell>
          <cell r="AL225">
            <v>4.8872999999999998</v>
          </cell>
          <cell r="AM225">
            <v>5.1271000000000004</v>
          </cell>
          <cell r="AN225">
            <v>4.907</v>
          </cell>
          <cell r="AO225">
            <v>4.7702094702824223</v>
          </cell>
          <cell r="AP225">
            <v>4.8500865255534018</v>
          </cell>
          <cell r="AQ225">
            <v>4.8443038236582279</v>
          </cell>
          <cell r="AR225">
            <v>4.8891051933081711</v>
          </cell>
          <cell r="AS225">
            <v>5.2983877970984663</v>
          </cell>
          <cell r="AT225">
            <v>4.8648167025309972</v>
          </cell>
          <cell r="AU225">
            <v>4.8548863265306119</v>
          </cell>
          <cell r="AV225">
            <v>4.7906000000000004</v>
          </cell>
          <cell r="AW225">
            <v>4.6403113924050627</v>
          </cell>
          <cell r="AX225">
            <v>4.8365999999999998</v>
          </cell>
          <cell r="AZ225">
            <v>129</v>
          </cell>
          <cell r="BA225">
            <v>129</v>
          </cell>
          <cell r="BC225">
            <v>2026</v>
          </cell>
        </row>
        <row r="226">
          <cell r="D226">
            <v>46054</v>
          </cell>
          <cell r="E226">
            <v>54.099049999999998</v>
          </cell>
          <cell r="F226">
            <v>51.910780000000003</v>
          </cell>
          <cell r="G226">
            <v>50.230629999999998</v>
          </cell>
          <cell r="H226">
            <v>54.188630000000003</v>
          </cell>
          <cell r="J226">
            <v>51.910780000000003</v>
          </cell>
          <cell r="K226">
            <v>50.910780000000003</v>
          </cell>
          <cell r="L226">
            <v>54.160780000000003</v>
          </cell>
          <cell r="M226">
            <v>44.902970000000003</v>
          </cell>
          <cell r="N226">
            <v>46.571939999999998</v>
          </cell>
          <cell r="O226">
            <v>41.297080000000001</v>
          </cell>
          <cell r="P226">
            <v>44.183280000000003</v>
          </cell>
          <cell r="R226">
            <v>46.071939999999998</v>
          </cell>
          <cell r="S226">
            <v>45.321939999999998</v>
          </cell>
          <cell r="T226">
            <v>48.571939999999998</v>
          </cell>
          <cell r="U226">
            <v>50.157872857142856</v>
          </cell>
          <cell r="V226">
            <v>49.622705714285715</v>
          </cell>
          <cell r="W226">
            <v>46.401965714285716</v>
          </cell>
          <cell r="Z226">
            <v>49.40842</v>
          </cell>
          <cell r="AC226">
            <v>4.8414999999999999</v>
          </cell>
          <cell r="AD226">
            <v>4.6040999999999999</v>
          </cell>
          <cell r="AE226">
            <v>4.8414999999999999</v>
          </cell>
          <cell r="AF226">
            <v>4.9074999999999998</v>
          </cell>
          <cell r="AG226">
            <v>4.9866999999999999</v>
          </cell>
          <cell r="AH226">
            <v>4.2478999999999996</v>
          </cell>
          <cell r="AI226">
            <v>5.1318000000000001</v>
          </cell>
          <cell r="AJ226">
            <v>4.9981</v>
          </cell>
          <cell r="AK226">
            <v>5.1292999999999997</v>
          </cell>
          <cell r="AL226">
            <v>4.9398999999999997</v>
          </cell>
          <cell r="AM226">
            <v>5.1792999999999996</v>
          </cell>
          <cell r="AN226">
            <v>4.9593999999999996</v>
          </cell>
          <cell r="AO226">
            <v>4.8231009373933631</v>
          </cell>
          <cell r="AP226">
            <v>4.9038455789044164</v>
          </cell>
          <cell r="AQ226">
            <v>4.905548170481012</v>
          </cell>
          <cell r="AR226">
            <v>4.9428642466591857</v>
          </cell>
          <cell r="AS226">
            <v>5.2983877970984663</v>
          </cell>
          <cell r="AT226">
            <v>4.9341885644020902</v>
          </cell>
          <cell r="AU226">
            <v>4.9086618367346935</v>
          </cell>
          <cell r="AV226">
            <v>4.8564999999999996</v>
          </cell>
          <cell r="AW226">
            <v>4.6937797468354416</v>
          </cell>
          <cell r="AX226">
            <v>4.8883000000000001</v>
          </cell>
          <cell r="AZ226">
            <v>130</v>
          </cell>
          <cell r="BA226">
            <v>130</v>
          </cell>
          <cell r="BC226">
            <v>2026</v>
          </cell>
        </row>
        <row r="227">
          <cell r="D227">
            <v>46082</v>
          </cell>
          <cell r="E227">
            <v>46.897640000000003</v>
          </cell>
          <cell r="F227">
            <v>48.230829999999997</v>
          </cell>
          <cell r="G227">
            <v>43.101329999999997</v>
          </cell>
          <cell r="H227">
            <v>46.899830000000001</v>
          </cell>
          <cell r="J227">
            <v>48.230829999999997</v>
          </cell>
          <cell r="K227">
            <v>47.230829999999997</v>
          </cell>
          <cell r="L227">
            <v>50.480829999999997</v>
          </cell>
          <cell r="M227">
            <v>41.102409999999999</v>
          </cell>
          <cell r="N227">
            <v>43.78942</v>
          </cell>
          <cell r="O227">
            <v>37.56447</v>
          </cell>
          <cell r="P227">
            <v>40.759970000000003</v>
          </cell>
          <cell r="R227">
            <v>43.28942</v>
          </cell>
          <cell r="S227">
            <v>42.28942</v>
          </cell>
          <cell r="T227">
            <v>45.78942</v>
          </cell>
          <cell r="U227">
            <v>44.347114818304178</v>
          </cell>
          <cell r="V227">
            <v>46.276131386271871</v>
          </cell>
          <cell r="W227">
            <v>40.664515437415879</v>
          </cell>
          <cell r="Z227">
            <v>46.056077550471059</v>
          </cell>
          <cell r="AC227">
            <v>4.6173000000000002</v>
          </cell>
          <cell r="AD227">
            <v>4.4984999999999999</v>
          </cell>
          <cell r="AE227">
            <v>4.6304999999999996</v>
          </cell>
          <cell r="AF227">
            <v>4.6832000000000003</v>
          </cell>
          <cell r="AG227">
            <v>4.8019999999999996</v>
          </cell>
          <cell r="AH227">
            <v>3.9445000000000001</v>
          </cell>
          <cell r="AI227">
            <v>4.8943000000000003</v>
          </cell>
          <cell r="AJ227">
            <v>4.7717999999999998</v>
          </cell>
          <cell r="AK227">
            <v>4.9028</v>
          </cell>
          <cell r="AL227">
            <v>4.7146999999999997</v>
          </cell>
          <cell r="AM227">
            <v>4.9527999999999999</v>
          </cell>
          <cell r="AN227">
            <v>4.7336</v>
          </cell>
          <cell r="AO227">
            <v>4.5980863847126594</v>
          </cell>
          <cell r="AP227">
            <v>4.6751400805875747</v>
          </cell>
          <cell r="AQ227">
            <v>4.7421955150126571</v>
          </cell>
          <cell r="AR227">
            <v>4.7141587483423448</v>
          </cell>
          <cell r="AS227">
            <v>5.0676027369070891</v>
          </cell>
          <cell r="AT227">
            <v>4.502074618301056</v>
          </cell>
          <cell r="AU227">
            <v>4.6798863265306121</v>
          </cell>
          <cell r="AV227">
            <v>4.6455000000000002</v>
          </cell>
          <cell r="AW227">
            <v>4.5868430379746821</v>
          </cell>
          <cell r="AX227">
            <v>4.7789000000000001</v>
          </cell>
          <cell r="AZ227">
            <v>131</v>
          </cell>
          <cell r="BA227">
            <v>131</v>
          </cell>
          <cell r="BC227">
            <v>2026</v>
          </cell>
        </row>
        <row r="228">
          <cell r="D228">
            <v>46113</v>
          </cell>
          <cell r="E228">
            <v>44.829329999999999</v>
          </cell>
          <cell r="F228">
            <v>46.136180000000003</v>
          </cell>
          <cell r="G228">
            <v>41.175550000000001</v>
          </cell>
          <cell r="H228">
            <v>42.674149999999997</v>
          </cell>
          <cell r="J228">
            <v>44.636180000000003</v>
          </cell>
          <cell r="K228">
            <v>44.636180000000003</v>
          </cell>
          <cell r="L228">
            <v>48.136180000000003</v>
          </cell>
          <cell r="M228">
            <v>39.307180000000002</v>
          </cell>
          <cell r="N228">
            <v>42.34789</v>
          </cell>
          <cell r="O228">
            <v>35.955100000000002</v>
          </cell>
          <cell r="P228">
            <v>42.630699999999997</v>
          </cell>
          <cell r="R228">
            <v>41.59789</v>
          </cell>
          <cell r="S228">
            <v>41.34789</v>
          </cell>
          <cell r="T228">
            <v>44.34789</v>
          </cell>
          <cell r="U228">
            <v>42.49775555555555</v>
          </cell>
          <cell r="V228">
            <v>44.536679777777778</v>
          </cell>
          <cell r="W228">
            <v>38.971360000000004</v>
          </cell>
          <cell r="Z228">
            <v>43.353346444444441</v>
          </cell>
          <cell r="AC228">
            <v>4.4194000000000004</v>
          </cell>
          <cell r="AD228">
            <v>4.2743000000000002</v>
          </cell>
          <cell r="AE228">
            <v>4.4325999999999999</v>
          </cell>
          <cell r="AF228">
            <v>4.4458000000000002</v>
          </cell>
          <cell r="AG228">
            <v>4.6304999999999996</v>
          </cell>
          <cell r="AH228">
            <v>3.6674000000000002</v>
          </cell>
          <cell r="AI228">
            <v>4.7228000000000003</v>
          </cell>
          <cell r="AJ228">
            <v>4.5617999999999999</v>
          </cell>
          <cell r="AK228">
            <v>4.6920999999999999</v>
          </cell>
          <cell r="AL228">
            <v>4.5117000000000003</v>
          </cell>
          <cell r="AM228">
            <v>4.7420999999999998</v>
          </cell>
          <cell r="AN228">
            <v>4.5273000000000003</v>
          </cell>
          <cell r="AO228">
            <v>4.3994673839298262</v>
          </cell>
          <cell r="AP228">
            <v>4.4732631041517905</v>
          </cell>
          <cell r="AQ228">
            <v>4.5244091730253153</v>
          </cell>
          <cell r="AR228">
            <v>4.5122817719065598</v>
          </cell>
          <cell r="AS228">
            <v>4.8233389237575883</v>
          </cell>
          <cell r="AT228">
            <v>4.1968179321651808</v>
          </cell>
          <cell r="AU228">
            <v>4.4779475510204083</v>
          </cell>
          <cell r="AV228">
            <v>4.4476000000000004</v>
          </cell>
          <cell r="AW228">
            <v>4.3598050632911383</v>
          </cell>
          <cell r="AX228">
            <v>4.5000999999999998</v>
          </cell>
          <cell r="AZ228">
            <v>132</v>
          </cell>
          <cell r="BA228">
            <v>132</v>
          </cell>
          <cell r="BC228">
            <v>2026</v>
          </cell>
        </row>
        <row r="229">
          <cell r="D229">
            <v>46143</v>
          </cell>
          <cell r="E229">
            <v>37.772959999999998</v>
          </cell>
          <cell r="F229">
            <v>42.643000000000001</v>
          </cell>
          <cell r="G229">
            <v>34.369579999999999</v>
          </cell>
          <cell r="H229">
            <v>39.603279999999998</v>
          </cell>
          <cell r="J229">
            <v>42.643000000000001</v>
          </cell>
          <cell r="K229">
            <v>42.643000000000001</v>
          </cell>
          <cell r="L229">
            <v>44.643000000000001</v>
          </cell>
          <cell r="M229">
            <v>31.209540000000001</v>
          </cell>
          <cell r="N229">
            <v>38.651719999999997</v>
          </cell>
          <cell r="O229">
            <v>28.094950000000001</v>
          </cell>
          <cell r="P229">
            <v>32.740850000000002</v>
          </cell>
          <cell r="R229">
            <v>38.651719999999997</v>
          </cell>
          <cell r="S229">
            <v>38.151719999999997</v>
          </cell>
          <cell r="T229">
            <v>40.401719999999997</v>
          </cell>
          <cell r="U229">
            <v>34.73826043010753</v>
          </cell>
          <cell r="V229">
            <v>40.797569462365587</v>
          </cell>
          <cell r="W229">
            <v>31.468406989247306</v>
          </cell>
          <cell r="Z229">
            <v>40.797569462365587</v>
          </cell>
          <cell r="AC229">
            <v>4.2214999999999998</v>
          </cell>
          <cell r="AD229">
            <v>3.9708999999999999</v>
          </cell>
          <cell r="AE229">
            <v>4.2347000000000001</v>
          </cell>
          <cell r="AF229">
            <v>4.327</v>
          </cell>
          <cell r="AG229">
            <v>4.4984999999999999</v>
          </cell>
          <cell r="AH229">
            <v>3.6147</v>
          </cell>
          <cell r="AI229">
            <v>4.5513000000000003</v>
          </cell>
          <cell r="AJ229">
            <v>4.3574999999999999</v>
          </cell>
          <cell r="AK229">
            <v>4.4874000000000001</v>
          </cell>
          <cell r="AL229">
            <v>4.3110999999999997</v>
          </cell>
          <cell r="AM229">
            <v>4.5373999999999999</v>
          </cell>
          <cell r="AN229">
            <v>4.3250000000000002</v>
          </cell>
          <cell r="AO229">
            <v>4.2008483831469912</v>
          </cell>
          <cell r="AP229">
            <v>4.2713861277160046</v>
          </cell>
          <cell r="AQ229">
            <v>4.2657588692151887</v>
          </cell>
          <cell r="AR229">
            <v>4.3104047954707738</v>
          </cell>
          <cell r="AS229">
            <v>4.7011041259388824</v>
          </cell>
          <cell r="AT229">
            <v>4.145173296444308</v>
          </cell>
          <cell r="AU229">
            <v>4.2760087755102036</v>
          </cell>
          <cell r="AV229">
            <v>4.2496999999999998</v>
          </cell>
          <cell r="AW229">
            <v>4.0525645569620243</v>
          </cell>
          <cell r="AX229">
            <v>4.1897000000000002</v>
          </cell>
          <cell r="AZ229">
            <v>133</v>
          </cell>
          <cell r="BA229">
            <v>133</v>
          </cell>
          <cell r="BC229">
            <v>2026</v>
          </cell>
        </row>
        <row r="230">
          <cell r="D230">
            <v>46174</v>
          </cell>
          <cell r="E230">
            <v>43.260800000000003</v>
          </cell>
          <cell r="F230">
            <v>46.22739</v>
          </cell>
          <cell r="G230">
            <v>39.615949999999998</v>
          </cell>
          <cell r="H230">
            <v>46.267449999999997</v>
          </cell>
          <cell r="J230">
            <v>45.47739</v>
          </cell>
          <cell r="K230">
            <v>46.22739</v>
          </cell>
          <cell r="L230">
            <v>48.72739</v>
          </cell>
          <cell r="M230">
            <v>33.018920000000001</v>
          </cell>
          <cell r="N230">
            <v>39.94999</v>
          </cell>
          <cell r="O230">
            <v>29.82471</v>
          </cell>
          <cell r="P230">
            <v>36.664409999999997</v>
          </cell>
          <cell r="R230">
            <v>39.44999</v>
          </cell>
          <cell r="S230">
            <v>39.44999</v>
          </cell>
          <cell r="T230">
            <v>42.19999</v>
          </cell>
          <cell r="U230">
            <v>38.936450666666666</v>
          </cell>
          <cell r="V230">
            <v>43.576932222222226</v>
          </cell>
          <cell r="W230">
            <v>35.481870888888885</v>
          </cell>
          <cell r="Z230">
            <v>42.932487777777773</v>
          </cell>
          <cell r="AC230">
            <v>4.2347000000000001</v>
          </cell>
          <cell r="AD230">
            <v>3.9180999999999999</v>
          </cell>
          <cell r="AE230">
            <v>4.2478999999999996</v>
          </cell>
          <cell r="AF230">
            <v>4.3929999999999998</v>
          </cell>
          <cell r="AG230">
            <v>4.5381</v>
          </cell>
          <cell r="AH230">
            <v>3.6015000000000001</v>
          </cell>
          <cell r="AI230">
            <v>4.5777000000000001</v>
          </cell>
          <cell r="AJ230">
            <v>4.3716999999999997</v>
          </cell>
          <cell r="AK230">
            <v>4.5016999999999996</v>
          </cell>
          <cell r="AL230">
            <v>4.3247999999999998</v>
          </cell>
          <cell r="AM230">
            <v>4.5517000000000003</v>
          </cell>
          <cell r="AN230">
            <v>4.3388999999999998</v>
          </cell>
          <cell r="AO230">
            <v>4.2140963407535272</v>
          </cell>
          <cell r="AP230">
            <v>4.2848513934509844</v>
          </cell>
          <cell r="AQ230">
            <v>4.2453268883037971</v>
          </cell>
          <cell r="AR230">
            <v>4.3238700612057537</v>
          </cell>
          <cell r="AS230">
            <v>4.7690123469492747</v>
          </cell>
          <cell r="AT230">
            <v>4.1458905830515427</v>
          </cell>
          <cell r="AU230">
            <v>4.2894781632653061</v>
          </cell>
          <cell r="AV230">
            <v>4.2629000000000001</v>
          </cell>
          <cell r="AW230">
            <v>3.999096202531645</v>
          </cell>
          <cell r="AX230">
            <v>4.1387999999999998</v>
          </cell>
          <cell r="AZ230">
            <v>134</v>
          </cell>
          <cell r="BA230">
            <v>134</v>
          </cell>
          <cell r="BC230">
            <v>2026</v>
          </cell>
        </row>
        <row r="231">
          <cell r="D231">
            <v>46204</v>
          </cell>
          <cell r="E231">
            <v>49.308309999999999</v>
          </cell>
          <cell r="F231">
            <v>51.47504</v>
          </cell>
          <cell r="G231">
            <v>45.397370000000002</v>
          </cell>
          <cell r="H231">
            <v>51.007669999999997</v>
          </cell>
          <cell r="J231">
            <v>56.47504</v>
          </cell>
          <cell r="K231">
            <v>56.97504</v>
          </cell>
          <cell r="L231">
            <v>55.72504</v>
          </cell>
          <cell r="M231">
            <v>38.985950000000003</v>
          </cell>
          <cell r="N231">
            <v>42.808819999999997</v>
          </cell>
          <cell r="O231">
            <v>35.529200000000003</v>
          </cell>
          <cell r="P231">
            <v>40.668399999999998</v>
          </cell>
          <cell r="R231">
            <v>43.808819999999997</v>
          </cell>
          <cell r="S231">
            <v>43.808819999999997</v>
          </cell>
          <cell r="T231">
            <v>45.308819999999997</v>
          </cell>
          <cell r="U231">
            <v>44.757592150537633</v>
          </cell>
          <cell r="V231">
            <v>47.654448387096771</v>
          </cell>
          <cell r="W231">
            <v>41.046886451612913</v>
          </cell>
          <cell r="Z231">
            <v>50.891007526881715</v>
          </cell>
          <cell r="AC231">
            <v>4.2478999999999996</v>
          </cell>
          <cell r="AD231">
            <v>4.0103999999999997</v>
          </cell>
          <cell r="AE231">
            <v>4.2743000000000002</v>
          </cell>
          <cell r="AF231">
            <v>4.4194000000000004</v>
          </cell>
          <cell r="AG231">
            <v>4.5644999999999998</v>
          </cell>
          <cell r="AH231">
            <v>3.6938</v>
          </cell>
          <cell r="AI231">
            <v>4.6304999999999996</v>
          </cell>
          <cell r="AJ231">
            <v>4.3861999999999997</v>
          </cell>
          <cell r="AK231">
            <v>4.5162000000000004</v>
          </cell>
          <cell r="AL231">
            <v>4.3384999999999998</v>
          </cell>
          <cell r="AM231">
            <v>4.5662000000000003</v>
          </cell>
          <cell r="AN231">
            <v>4.3529999999999998</v>
          </cell>
          <cell r="AO231">
            <v>4.2273442983600633</v>
          </cell>
          <cell r="AP231">
            <v>4.2983166591859634</v>
          </cell>
          <cell r="AQ231">
            <v>4.3065712351265812</v>
          </cell>
          <cell r="AR231">
            <v>4.3373353269407318</v>
          </cell>
          <cell r="AS231">
            <v>4.7961756353534319</v>
          </cell>
          <cell r="AT231">
            <v>4.1799104621375145</v>
          </cell>
          <cell r="AU231">
            <v>4.3029475510204085</v>
          </cell>
          <cell r="AV231">
            <v>4.2892999999999999</v>
          </cell>
          <cell r="AW231">
            <v>4.0925645569620244</v>
          </cell>
          <cell r="AX231">
            <v>4.2335000000000003</v>
          </cell>
          <cell r="AZ231">
            <v>135</v>
          </cell>
          <cell r="BA231">
            <v>135</v>
          </cell>
          <cell r="BC231">
            <v>2026</v>
          </cell>
        </row>
        <row r="232">
          <cell r="D232">
            <v>46235</v>
          </cell>
          <cell r="E232">
            <v>55.068629999999999</v>
          </cell>
          <cell r="F232">
            <v>54.211910000000003</v>
          </cell>
          <cell r="G232">
            <v>50.927129999999998</v>
          </cell>
          <cell r="H232">
            <v>52.990029999999997</v>
          </cell>
          <cell r="J232">
            <v>58.711910000000003</v>
          </cell>
          <cell r="K232">
            <v>59.711910000000003</v>
          </cell>
          <cell r="L232">
            <v>57.961910000000003</v>
          </cell>
          <cell r="M232">
            <v>42.645780000000002</v>
          </cell>
          <cell r="N232">
            <v>44.845860000000002</v>
          </cell>
          <cell r="O232">
            <v>39.035249999999998</v>
          </cell>
          <cell r="P232">
            <v>43.832250000000002</v>
          </cell>
          <cell r="R232">
            <v>45.845860000000002</v>
          </cell>
          <cell r="S232">
            <v>45.845860000000002</v>
          </cell>
          <cell r="T232">
            <v>47.345860000000002</v>
          </cell>
          <cell r="U232">
            <v>49.591889677419353</v>
          </cell>
          <cell r="V232">
            <v>50.082791182795695</v>
          </cell>
          <cell r="W232">
            <v>45.68447322580645</v>
          </cell>
          <cell r="Z232">
            <v>53.039780430107527</v>
          </cell>
          <cell r="AC232">
            <v>4.3666</v>
          </cell>
          <cell r="AD232">
            <v>4.1818999999999997</v>
          </cell>
          <cell r="AE232">
            <v>4.3798000000000004</v>
          </cell>
          <cell r="AF232">
            <v>4.4458000000000002</v>
          </cell>
          <cell r="AG232">
            <v>4.6040999999999999</v>
          </cell>
          <cell r="AH232">
            <v>3.7597999999999998</v>
          </cell>
          <cell r="AI232">
            <v>4.7624000000000004</v>
          </cell>
          <cell r="AJ232">
            <v>4.5061</v>
          </cell>
          <cell r="AK232">
            <v>4.6361999999999997</v>
          </cell>
          <cell r="AL232">
            <v>4.4577</v>
          </cell>
          <cell r="AM232">
            <v>4.6862000000000004</v>
          </cell>
          <cell r="AN232">
            <v>4.4725999999999999</v>
          </cell>
          <cell r="AO232">
            <v>4.3464755535036828</v>
          </cell>
          <cell r="AP232">
            <v>4.4194020412118737</v>
          </cell>
          <cell r="AQ232">
            <v>4.4494919096835437</v>
          </cell>
          <cell r="AR232">
            <v>4.458420708966643</v>
          </cell>
          <cell r="AS232">
            <v>4.8233389237575883</v>
          </cell>
          <cell r="AT232">
            <v>4.3015417768213959</v>
          </cell>
          <cell r="AU232">
            <v>4.4240699999999995</v>
          </cell>
          <cell r="AV232">
            <v>4.3948</v>
          </cell>
          <cell r="AW232">
            <v>4.2662354430379734</v>
          </cell>
          <cell r="AX232">
            <v>4.4071999999999996</v>
          </cell>
          <cell r="AZ232">
            <v>136</v>
          </cell>
          <cell r="BA232">
            <v>136</v>
          </cell>
          <cell r="BC232">
            <v>2026</v>
          </cell>
        </row>
        <row r="233">
          <cell r="D233">
            <v>46266</v>
          </cell>
          <cell r="E233">
            <v>54.401859999999999</v>
          </cell>
          <cell r="F233">
            <v>50.067259999999997</v>
          </cell>
          <cell r="G233">
            <v>52.033940000000001</v>
          </cell>
          <cell r="H233">
            <v>53.619540000000001</v>
          </cell>
          <cell r="J233">
            <v>53.067259999999997</v>
          </cell>
          <cell r="K233">
            <v>54.067259999999997</v>
          </cell>
          <cell r="L233">
            <v>53.067259999999997</v>
          </cell>
          <cell r="M233">
            <v>44.576630000000002</v>
          </cell>
          <cell r="N233">
            <v>42.92548</v>
          </cell>
          <cell r="O233">
            <v>41.421900000000001</v>
          </cell>
          <cell r="P233">
            <v>41.1494</v>
          </cell>
          <cell r="R233">
            <v>41.42548</v>
          </cell>
          <cell r="S233">
            <v>41.42548</v>
          </cell>
          <cell r="T233">
            <v>45.17548</v>
          </cell>
          <cell r="U233">
            <v>50.035091111111115</v>
          </cell>
          <cell r="V233">
            <v>46.893135555555553</v>
          </cell>
          <cell r="W233">
            <v>47.317477777777782</v>
          </cell>
          <cell r="Z233">
            <v>47.89313555555556</v>
          </cell>
          <cell r="AC233">
            <v>4.2743000000000002</v>
          </cell>
          <cell r="AD233">
            <v>4.1028000000000002</v>
          </cell>
          <cell r="AE233">
            <v>4.2874999999999996</v>
          </cell>
          <cell r="AF233">
            <v>4.327</v>
          </cell>
          <cell r="AG233">
            <v>4.4854000000000003</v>
          </cell>
          <cell r="AH233">
            <v>3.7730000000000001</v>
          </cell>
          <cell r="AI233">
            <v>4.6832000000000003</v>
          </cell>
          <cell r="AJ233">
            <v>4.4138999999999999</v>
          </cell>
          <cell r="AK233">
            <v>4.5439999999999996</v>
          </cell>
          <cell r="AL233">
            <v>4.3654000000000002</v>
          </cell>
          <cell r="AM233">
            <v>4.5940000000000003</v>
          </cell>
          <cell r="AN233">
            <v>4.3803000000000001</v>
          </cell>
          <cell r="AO233">
            <v>4.2538402135731346</v>
          </cell>
          <cell r="AP233">
            <v>4.3252471906559213</v>
          </cell>
          <cell r="AQ233">
            <v>4.3610565175569613</v>
          </cell>
          <cell r="AR233">
            <v>4.3642658584106906</v>
          </cell>
          <cell r="AS233">
            <v>4.7011041259388824</v>
          </cell>
          <cell r="AT233">
            <v>4.201838938415821</v>
          </cell>
          <cell r="AU233">
            <v>4.3298863265306116</v>
          </cell>
          <cell r="AV233">
            <v>4.3025000000000002</v>
          </cell>
          <cell r="AW233">
            <v>4.1861341772151892</v>
          </cell>
          <cell r="AX233">
            <v>4.3282999999999996</v>
          </cell>
          <cell r="AZ233">
            <v>137</v>
          </cell>
          <cell r="BA233">
            <v>137</v>
          </cell>
          <cell r="BC233">
            <v>2026</v>
          </cell>
        </row>
        <row r="234">
          <cell r="D234">
            <v>46296</v>
          </cell>
          <cell r="E234">
            <v>48.080240000000003</v>
          </cell>
          <cell r="F234">
            <v>47.679949999999998</v>
          </cell>
          <cell r="G234">
            <v>44.326770000000003</v>
          </cell>
          <cell r="H234">
            <v>46.113970000000002</v>
          </cell>
          <cell r="J234">
            <v>47.179949999999998</v>
          </cell>
          <cell r="K234">
            <v>47.679949999999998</v>
          </cell>
          <cell r="L234">
            <v>49.679949999999998</v>
          </cell>
          <cell r="M234">
            <v>39.905900000000003</v>
          </cell>
          <cell r="N234">
            <v>41.99297</v>
          </cell>
          <cell r="O234">
            <v>36.47242</v>
          </cell>
          <cell r="P234">
            <v>39.876519999999999</v>
          </cell>
          <cell r="R234">
            <v>40.99297</v>
          </cell>
          <cell r="S234">
            <v>40.49297</v>
          </cell>
          <cell r="T234">
            <v>43.74297</v>
          </cell>
          <cell r="U234">
            <v>44.652290967741941</v>
          </cell>
          <cell r="V234">
            <v>45.295087419354836</v>
          </cell>
          <cell r="W234">
            <v>41.033010322580651</v>
          </cell>
          <cell r="Z234">
            <v>44.585410000000003</v>
          </cell>
          <cell r="AC234">
            <v>4.327</v>
          </cell>
          <cell r="AD234">
            <v>4.1292</v>
          </cell>
          <cell r="AE234">
            <v>4.327</v>
          </cell>
          <cell r="AF234">
            <v>4.3402000000000003</v>
          </cell>
          <cell r="AG234">
            <v>4.5117000000000003</v>
          </cell>
          <cell r="AH234">
            <v>3.7993999999999999</v>
          </cell>
          <cell r="AI234">
            <v>4.7359999999999998</v>
          </cell>
          <cell r="AJ234">
            <v>4.468</v>
          </cell>
          <cell r="AK234">
            <v>4.5982000000000003</v>
          </cell>
          <cell r="AL234">
            <v>4.4188000000000001</v>
          </cell>
          <cell r="AM234">
            <v>4.6482000000000001</v>
          </cell>
          <cell r="AN234">
            <v>4.4340000000000002</v>
          </cell>
          <cell r="AO234">
            <v>4.3067316806840754</v>
          </cell>
          <cell r="AP234">
            <v>4.3790062440069359</v>
          </cell>
          <cell r="AQ234">
            <v>4.3950582231645559</v>
          </cell>
          <cell r="AR234">
            <v>4.4180249117617061</v>
          </cell>
          <cell r="AS234">
            <v>4.714685770140961</v>
          </cell>
          <cell r="AT234">
            <v>4.2584021108720158</v>
          </cell>
          <cell r="AU234">
            <v>4.3836618367346931</v>
          </cell>
          <cell r="AV234">
            <v>4.3419999999999996</v>
          </cell>
          <cell r="AW234">
            <v>4.2128683544303787</v>
          </cell>
          <cell r="AX234">
            <v>4.3571999999999997</v>
          </cell>
          <cell r="AZ234">
            <v>138</v>
          </cell>
          <cell r="BA234">
            <v>138</v>
          </cell>
          <cell r="BC234">
            <v>2026</v>
          </cell>
        </row>
        <row r="235">
          <cell r="D235">
            <v>46327</v>
          </cell>
          <cell r="E235">
            <v>50.599469999999997</v>
          </cell>
          <cell r="F235">
            <v>49.185870000000001</v>
          </cell>
          <cell r="G235">
            <v>46.644570000000002</v>
          </cell>
          <cell r="H235">
            <v>49.082070000000002</v>
          </cell>
          <cell r="J235">
            <v>48.685870000000001</v>
          </cell>
          <cell r="K235">
            <v>47.685870000000001</v>
          </cell>
          <cell r="L235">
            <v>51.185870000000001</v>
          </cell>
          <cell r="M235">
            <v>41.814439999999998</v>
          </cell>
          <cell r="N235">
            <v>42.91113</v>
          </cell>
          <cell r="O235">
            <v>38.251739999999998</v>
          </cell>
          <cell r="P235">
            <v>38.940640000000002</v>
          </cell>
          <cell r="R235">
            <v>42.41113</v>
          </cell>
          <cell r="S235">
            <v>41.41113</v>
          </cell>
          <cell r="T235">
            <v>44.66113</v>
          </cell>
          <cell r="U235">
            <v>46.493290929264901</v>
          </cell>
          <cell r="V235">
            <v>46.253016490984749</v>
          </cell>
          <cell r="W235">
            <v>42.721707711511783</v>
          </cell>
          <cell r="Z235">
            <v>45.753016490984741</v>
          </cell>
          <cell r="AC235">
            <v>4.4458000000000002</v>
          </cell>
          <cell r="AD235">
            <v>4.2347000000000001</v>
          </cell>
          <cell r="AE235">
            <v>4.4458000000000002</v>
          </cell>
          <cell r="AF235">
            <v>4.4062000000000001</v>
          </cell>
          <cell r="AG235">
            <v>4.5777000000000001</v>
          </cell>
          <cell r="AH235">
            <v>4.1159999999999997</v>
          </cell>
          <cell r="AI235">
            <v>4.8414999999999999</v>
          </cell>
          <cell r="AJ235">
            <v>4.5932000000000004</v>
          </cell>
          <cell r="AK235">
            <v>4.7237999999999998</v>
          </cell>
          <cell r="AL235">
            <v>4.5401999999999996</v>
          </cell>
          <cell r="AM235">
            <v>4.7737999999999996</v>
          </cell>
          <cell r="AN235">
            <v>4.5571999999999999</v>
          </cell>
          <cell r="AO235">
            <v>4.4259632991428965</v>
          </cell>
          <cell r="AP235">
            <v>4.5001936356217485</v>
          </cell>
          <cell r="AQ235">
            <v>4.510787852417721</v>
          </cell>
          <cell r="AR235">
            <v>4.5392123033765177</v>
          </cell>
          <cell r="AS235">
            <v>4.7825939911513533</v>
          </cell>
          <cell r="AT235">
            <v>4.456988031560611</v>
          </cell>
          <cell r="AU235">
            <v>4.5048863265306123</v>
          </cell>
          <cell r="AV235">
            <v>4.4607999999999999</v>
          </cell>
          <cell r="AW235">
            <v>4.3197037974683532</v>
          </cell>
          <cell r="AX235">
            <v>4.5018000000000002</v>
          </cell>
          <cell r="AZ235">
            <v>139</v>
          </cell>
          <cell r="BA235">
            <v>139</v>
          </cell>
          <cell r="BC235">
            <v>2026</v>
          </cell>
        </row>
        <row r="236">
          <cell r="D236">
            <v>46357</v>
          </cell>
          <cell r="E236">
            <v>53.347490000000001</v>
          </cell>
          <cell r="F236">
            <v>50.865009999999998</v>
          </cell>
          <cell r="G236">
            <v>49.58155</v>
          </cell>
          <cell r="H236">
            <v>52.309350000000002</v>
          </cell>
          <cell r="J236">
            <v>50.365009999999998</v>
          </cell>
          <cell r="K236">
            <v>50.115009999999998</v>
          </cell>
          <cell r="L236">
            <v>52.865009999999998</v>
          </cell>
          <cell r="M236">
            <v>44.622509999999998</v>
          </cell>
          <cell r="N236">
            <v>44.669029999999999</v>
          </cell>
          <cell r="O236">
            <v>41.037909999999997</v>
          </cell>
          <cell r="P236">
            <v>43.852409999999999</v>
          </cell>
          <cell r="R236">
            <v>44.169029999999999</v>
          </cell>
          <cell r="S236">
            <v>43.669029999999999</v>
          </cell>
          <cell r="T236">
            <v>46.419029999999999</v>
          </cell>
          <cell r="U236">
            <v>49.500993440860213</v>
          </cell>
          <cell r="V236">
            <v>48.133448924731184</v>
          </cell>
          <cell r="W236">
            <v>45.814999032258065</v>
          </cell>
          <cell r="Z236">
            <v>47.633448924731177</v>
          </cell>
          <cell r="AC236">
            <v>4.6963999999999997</v>
          </cell>
          <cell r="AD236">
            <v>4.4589999999999996</v>
          </cell>
          <cell r="AE236">
            <v>4.6963999999999997</v>
          </cell>
          <cell r="AF236">
            <v>4.7888000000000002</v>
          </cell>
          <cell r="AG236">
            <v>4.8547000000000002</v>
          </cell>
          <cell r="AH236">
            <v>4.05</v>
          </cell>
          <cell r="AI236">
            <v>4.9866999999999999</v>
          </cell>
          <cell r="AJ236">
            <v>4.8491999999999997</v>
          </cell>
          <cell r="AK236">
            <v>4.9802</v>
          </cell>
          <cell r="AL236">
            <v>4.7931999999999997</v>
          </cell>
          <cell r="AM236">
            <v>5.0301999999999998</v>
          </cell>
          <cell r="AN236">
            <v>4.8116000000000003</v>
          </cell>
          <cell r="AO236">
            <v>4.6774737670366724</v>
          </cell>
          <cell r="AP236">
            <v>4.755829665408549</v>
          </cell>
          <cell r="AQ236">
            <v>4.7558168356202515</v>
          </cell>
          <cell r="AR236">
            <v>4.7948483331633174</v>
          </cell>
          <cell r="AS236">
            <v>5.1762558905237164</v>
          </cell>
          <cell r="AT236">
            <v>4.6958444717696484</v>
          </cell>
          <cell r="AU236">
            <v>4.7606006122448985</v>
          </cell>
          <cell r="AV236">
            <v>4.7114000000000003</v>
          </cell>
          <cell r="AW236">
            <v>4.546843037974682</v>
          </cell>
          <cell r="AX236">
            <v>4.7361000000000004</v>
          </cell>
          <cell r="AZ236">
            <v>140</v>
          </cell>
          <cell r="BA236">
            <v>140</v>
          </cell>
          <cell r="BC236">
            <v>2026</v>
          </cell>
        </row>
        <row r="237">
          <cell r="D237">
            <v>46388</v>
          </cell>
          <cell r="E237">
            <v>53.657580000000003</v>
          </cell>
          <cell r="F237">
            <v>52.812869999999997</v>
          </cell>
          <cell r="G237">
            <v>49.606830000000002</v>
          </cell>
          <cell r="H237">
            <v>53.415329999999997</v>
          </cell>
          <cell r="J237">
            <v>52.312869999999997</v>
          </cell>
          <cell r="K237">
            <v>52.312869999999997</v>
          </cell>
          <cell r="L237">
            <v>55.062869999999997</v>
          </cell>
          <cell r="M237">
            <v>44.953609999999998</v>
          </cell>
          <cell r="N237">
            <v>47.08858</v>
          </cell>
          <cell r="O237">
            <v>41.32705</v>
          </cell>
          <cell r="P237">
            <v>44.571550000000002</v>
          </cell>
          <cell r="R237">
            <v>46.58858</v>
          </cell>
          <cell r="S237">
            <v>46.58858</v>
          </cell>
          <cell r="T237">
            <v>49.33858</v>
          </cell>
          <cell r="U237">
            <v>49.633163763440855</v>
          </cell>
          <cell r="V237">
            <v>50.166155268817207</v>
          </cell>
          <cell r="W237">
            <v>45.778544623655911</v>
          </cell>
          <cell r="Z237">
            <v>49.666155268817199</v>
          </cell>
          <cell r="AC237">
            <v>5.0423999999999998</v>
          </cell>
          <cell r="AD237">
            <v>4.7862999999999998</v>
          </cell>
          <cell r="AE237">
            <v>5.0289999999999999</v>
          </cell>
          <cell r="AF237">
            <v>5.1906999999999996</v>
          </cell>
          <cell r="AG237">
            <v>5.1638000000000002</v>
          </cell>
          <cell r="AH237">
            <v>4.5301</v>
          </cell>
          <cell r="AI237">
            <v>5.3255999999999997</v>
          </cell>
          <cell r="AJ237">
            <v>5.1996000000000002</v>
          </cell>
          <cell r="AK237">
            <v>5.3308</v>
          </cell>
          <cell r="AL237">
            <v>5.141</v>
          </cell>
          <cell r="AM237">
            <v>5.3807999999999998</v>
          </cell>
          <cell r="AN237">
            <v>5.1605999999999996</v>
          </cell>
          <cell r="AO237">
            <v>5.0247308376322275</v>
          </cell>
          <cell r="AP237">
            <v>5.1087828430072424</v>
          </cell>
          <cell r="AQ237">
            <v>5.0962982548987332</v>
          </cell>
          <cell r="AR237">
            <v>5.1478015107620116</v>
          </cell>
          <cell r="AS237">
            <v>5.5897757999794209</v>
          </cell>
          <cell r="AT237">
            <v>5.1246793933804691</v>
          </cell>
          <cell r="AU237">
            <v>5.1136618367346935</v>
          </cell>
          <cell r="AV237">
            <v>5.0439999999999996</v>
          </cell>
          <cell r="AW237">
            <v>4.878286075949366</v>
          </cell>
          <cell r="AX237">
            <v>5.0715000000000003</v>
          </cell>
          <cell r="AZ237">
            <v>141</v>
          </cell>
          <cell r="BA237">
            <v>141</v>
          </cell>
          <cell r="BC237">
            <v>2027</v>
          </cell>
        </row>
        <row r="238">
          <cell r="D238">
            <v>46419</v>
          </cell>
          <cell r="E238">
            <v>56.030639999999998</v>
          </cell>
          <cell r="F238">
            <v>53.77046</v>
          </cell>
          <cell r="G238">
            <v>52.245429999999999</v>
          </cell>
          <cell r="H238">
            <v>56.203429999999997</v>
          </cell>
          <cell r="J238">
            <v>53.77046</v>
          </cell>
          <cell r="K238">
            <v>52.77046</v>
          </cell>
          <cell r="L238">
            <v>56.02046</v>
          </cell>
          <cell r="M238">
            <v>47.117440000000002</v>
          </cell>
          <cell r="N238">
            <v>48.097630000000002</v>
          </cell>
          <cell r="O238">
            <v>43.476709999999997</v>
          </cell>
          <cell r="P238">
            <v>46.363010000000003</v>
          </cell>
          <cell r="R238">
            <v>47.597630000000002</v>
          </cell>
          <cell r="S238">
            <v>46.847630000000002</v>
          </cell>
          <cell r="T238">
            <v>50.097630000000002</v>
          </cell>
          <cell r="U238">
            <v>52.210697142857143</v>
          </cell>
          <cell r="V238">
            <v>51.33924714285714</v>
          </cell>
          <cell r="W238">
            <v>48.487407142857144</v>
          </cell>
          <cell r="Z238">
            <v>51.124961428571432</v>
          </cell>
          <cell r="AC238">
            <v>5.0693999999999999</v>
          </cell>
          <cell r="AD238">
            <v>4.8266999999999998</v>
          </cell>
          <cell r="AE238">
            <v>5.0559000000000003</v>
          </cell>
          <cell r="AF238">
            <v>5.1638000000000002</v>
          </cell>
          <cell r="AG238">
            <v>5.2042000000000002</v>
          </cell>
          <cell r="AH238">
            <v>4.5435999999999996</v>
          </cell>
          <cell r="AI238">
            <v>5.3525</v>
          </cell>
          <cell r="AJ238">
            <v>5.226</v>
          </cell>
          <cell r="AK238">
            <v>5.3571999999999997</v>
          </cell>
          <cell r="AL238">
            <v>5.1677</v>
          </cell>
          <cell r="AM238">
            <v>5.4071999999999996</v>
          </cell>
          <cell r="AN238">
            <v>5.1871999999999998</v>
          </cell>
          <cell r="AO238">
            <v>5.0518289327365054</v>
          </cell>
          <cell r="AP238">
            <v>5.1363254320106089</v>
          </cell>
          <cell r="AQ238">
            <v>5.131022303265822</v>
          </cell>
          <cell r="AR238">
            <v>5.1753440997653781</v>
          </cell>
          <cell r="AS238">
            <v>5.5620980553554897</v>
          </cell>
          <cell r="AT238">
            <v>5.1677165898145301</v>
          </cell>
          <cell r="AU238">
            <v>5.1412128571428566</v>
          </cell>
          <cell r="AV238">
            <v>5.0709</v>
          </cell>
          <cell r="AW238">
            <v>4.9191974683544286</v>
          </cell>
          <cell r="AX238">
            <v>5.1109999999999998</v>
          </cell>
          <cell r="AZ238">
            <v>142</v>
          </cell>
          <cell r="BA238">
            <v>142</v>
          </cell>
          <cell r="BC238">
            <v>2027</v>
          </cell>
        </row>
        <row r="239">
          <cell r="D239">
            <v>46447</v>
          </cell>
          <cell r="E239">
            <v>49.129719999999999</v>
          </cell>
          <cell r="F239">
            <v>49.847360000000002</v>
          </cell>
          <cell r="G239">
            <v>45.324460000000002</v>
          </cell>
          <cell r="H239">
            <v>49.122959999999999</v>
          </cell>
          <cell r="J239">
            <v>49.847360000000002</v>
          </cell>
          <cell r="K239">
            <v>48.847360000000002</v>
          </cell>
          <cell r="L239">
            <v>52.097360000000002</v>
          </cell>
          <cell r="M239">
            <v>42.450629999999997</v>
          </cell>
          <cell r="N239">
            <v>45.593470000000003</v>
          </cell>
          <cell r="O239">
            <v>38.940089999999998</v>
          </cell>
          <cell r="P239">
            <v>42.135590000000001</v>
          </cell>
          <cell r="R239">
            <v>45.093470000000003</v>
          </cell>
          <cell r="S239">
            <v>44.093470000000003</v>
          </cell>
          <cell r="T239">
            <v>47.593470000000003</v>
          </cell>
          <cell r="U239">
            <v>46.334030915208615</v>
          </cell>
          <cell r="V239">
            <v>48.066795006729478</v>
          </cell>
          <cell r="W239">
            <v>42.652132853297445</v>
          </cell>
          <cell r="Z239">
            <v>47.85750833109018</v>
          </cell>
          <cell r="AC239">
            <v>4.8266999999999998</v>
          </cell>
          <cell r="AD239">
            <v>4.7188999999999997</v>
          </cell>
          <cell r="AE239">
            <v>4.8536999999999999</v>
          </cell>
          <cell r="AF239">
            <v>4.8940999999999999</v>
          </cell>
          <cell r="AG239">
            <v>5.0155000000000003</v>
          </cell>
          <cell r="AH239">
            <v>4.2335000000000003</v>
          </cell>
          <cell r="AI239">
            <v>5.1097999999999999</v>
          </cell>
          <cell r="AJ239">
            <v>4.9812000000000003</v>
          </cell>
          <cell r="AK239">
            <v>5.1123000000000003</v>
          </cell>
          <cell r="AL239">
            <v>4.9241999999999999</v>
          </cell>
          <cell r="AM239">
            <v>5.1623000000000001</v>
          </cell>
          <cell r="AN239">
            <v>4.9431000000000003</v>
          </cell>
          <cell r="AO239">
            <v>4.8082471667436106</v>
          </cell>
          <cell r="AP239">
            <v>4.8887481597470153</v>
          </cell>
          <cell r="AQ239">
            <v>4.9710749779493657</v>
          </cell>
          <cell r="AR239">
            <v>4.9277668275017854</v>
          </cell>
          <cell r="AS239">
            <v>5.2846003704084783</v>
          </cell>
          <cell r="AT239">
            <v>4.7166457833794446</v>
          </cell>
          <cell r="AU239">
            <v>4.8935597959183665</v>
          </cell>
          <cell r="AV239">
            <v>4.8686999999999996</v>
          </cell>
          <cell r="AW239">
            <v>4.8100329113924039</v>
          </cell>
          <cell r="AX239">
            <v>4.9992000000000001</v>
          </cell>
          <cell r="AZ239">
            <v>143</v>
          </cell>
          <cell r="BA239">
            <v>143</v>
          </cell>
          <cell r="BC239">
            <v>2027</v>
          </cell>
        </row>
        <row r="240">
          <cell r="D240">
            <v>46478</v>
          </cell>
          <cell r="E240">
            <v>45.973190000000002</v>
          </cell>
          <cell r="F240">
            <v>47.250489999999999</v>
          </cell>
          <cell r="G240">
            <v>42.30236</v>
          </cell>
          <cell r="H240">
            <v>43.800960000000003</v>
          </cell>
          <cell r="J240">
            <v>45.750489999999999</v>
          </cell>
          <cell r="K240">
            <v>45.750489999999999</v>
          </cell>
          <cell r="L240">
            <v>49.250489999999999</v>
          </cell>
          <cell r="M240">
            <v>40.413499999999999</v>
          </cell>
          <cell r="N240">
            <v>43.476059999999997</v>
          </cell>
          <cell r="O240">
            <v>37.05348</v>
          </cell>
          <cell r="P240">
            <v>43.729080000000003</v>
          </cell>
          <cell r="R240">
            <v>42.726059999999997</v>
          </cell>
          <cell r="S240">
            <v>42.476059999999997</v>
          </cell>
          <cell r="T240">
            <v>45.476059999999997</v>
          </cell>
          <cell r="U240">
            <v>43.625765333333334</v>
          </cell>
          <cell r="V240">
            <v>45.656841777777771</v>
          </cell>
          <cell r="W240">
            <v>40.086166222222225</v>
          </cell>
          <cell r="Z240">
            <v>44.473508444444441</v>
          </cell>
          <cell r="AC240">
            <v>4.5975000000000001</v>
          </cell>
          <cell r="AD240">
            <v>4.4492000000000003</v>
          </cell>
          <cell r="AE240">
            <v>4.6379999999999999</v>
          </cell>
          <cell r="AF240">
            <v>4.6379999999999999</v>
          </cell>
          <cell r="AG240">
            <v>4.8266999999999998</v>
          </cell>
          <cell r="AH240">
            <v>3.9638</v>
          </cell>
          <cell r="AI240">
            <v>4.9076000000000004</v>
          </cell>
          <cell r="AJ240">
            <v>4.7398999999999996</v>
          </cell>
          <cell r="AK240">
            <v>4.8701999999999996</v>
          </cell>
          <cell r="AL240">
            <v>4.6898</v>
          </cell>
          <cell r="AM240">
            <v>4.9202000000000004</v>
          </cell>
          <cell r="AN240">
            <v>4.7054999999999998</v>
          </cell>
          <cell r="AO240">
            <v>4.5782144483028562</v>
          </cell>
          <cell r="AP240">
            <v>4.6549421819851062</v>
          </cell>
          <cell r="AQ240">
            <v>4.7206284240506324</v>
          </cell>
          <cell r="AR240">
            <v>4.6939608497398755</v>
          </cell>
          <cell r="AS240">
            <v>5.021095894639366</v>
          </cell>
          <cell r="AT240">
            <v>4.3793161389486635</v>
          </cell>
          <cell r="AU240">
            <v>4.6596822448979589</v>
          </cell>
          <cell r="AV240">
            <v>4.6529999999999996</v>
          </cell>
          <cell r="AW240">
            <v>4.536918987341771</v>
          </cell>
          <cell r="AX240">
            <v>4.6749999999999998</v>
          </cell>
          <cell r="AZ240">
            <v>144</v>
          </cell>
          <cell r="BA240">
            <v>144</v>
          </cell>
          <cell r="BC240">
            <v>2027</v>
          </cell>
        </row>
        <row r="241">
          <cell r="D241">
            <v>46508</v>
          </cell>
          <cell r="E241">
            <v>38.522320000000001</v>
          </cell>
          <cell r="F241">
            <v>43.523389999999999</v>
          </cell>
          <cell r="G241">
            <v>35.04766</v>
          </cell>
          <cell r="H241">
            <v>40.281359999999999</v>
          </cell>
          <cell r="J241">
            <v>43.523389999999999</v>
          </cell>
          <cell r="K241">
            <v>43.523389999999999</v>
          </cell>
          <cell r="L241">
            <v>45.523389999999999</v>
          </cell>
          <cell r="M241">
            <v>31.688210000000002</v>
          </cell>
          <cell r="N241">
            <v>39.664990000000003</v>
          </cell>
          <cell r="O241">
            <v>28.514250000000001</v>
          </cell>
          <cell r="P241">
            <v>33.160150000000002</v>
          </cell>
          <cell r="R241">
            <v>39.664990000000003</v>
          </cell>
          <cell r="S241">
            <v>39.164990000000003</v>
          </cell>
          <cell r="T241">
            <v>41.414990000000003</v>
          </cell>
          <cell r="U241">
            <v>35.362462688172045</v>
          </cell>
          <cell r="V241">
            <v>41.739398602150537</v>
          </cell>
          <cell r="W241">
            <v>32.026836021505375</v>
          </cell>
          <cell r="Z241">
            <v>41.739398602150537</v>
          </cell>
          <cell r="AC241">
            <v>4.4088000000000003</v>
          </cell>
          <cell r="AD241">
            <v>4.22</v>
          </cell>
          <cell r="AE241">
            <v>4.4492000000000003</v>
          </cell>
          <cell r="AF241">
            <v>4.5030999999999999</v>
          </cell>
          <cell r="AG241">
            <v>4.6783999999999999</v>
          </cell>
          <cell r="AH241">
            <v>3.8694999999999999</v>
          </cell>
          <cell r="AI241">
            <v>4.7188999999999997</v>
          </cell>
          <cell r="AJ241">
            <v>4.5448000000000004</v>
          </cell>
          <cell r="AK241">
            <v>4.6746999999999996</v>
          </cell>
          <cell r="AL241">
            <v>4.4984000000000002</v>
          </cell>
          <cell r="AM241">
            <v>4.7247000000000003</v>
          </cell>
          <cell r="AN241">
            <v>4.5122999999999998</v>
          </cell>
          <cell r="AO241">
            <v>4.3888288725185163</v>
          </cell>
          <cell r="AP241">
            <v>4.4624500877282465</v>
          </cell>
          <cell r="AQ241">
            <v>4.5049575144303784</v>
          </cell>
          <cell r="AR241">
            <v>4.5014687554830157</v>
          </cell>
          <cell r="AS241">
            <v>4.8822956065438827</v>
          </cell>
          <cell r="AT241">
            <v>4.3370986986371554</v>
          </cell>
          <cell r="AU241">
            <v>4.4671312244897958</v>
          </cell>
          <cell r="AV241">
            <v>4.4641999999999999</v>
          </cell>
          <cell r="AW241">
            <v>4.3048177215189858</v>
          </cell>
          <cell r="AX241">
            <v>4.4387999999999996</v>
          </cell>
          <cell r="AZ241">
            <v>145</v>
          </cell>
          <cell r="BA241">
            <v>145</v>
          </cell>
          <cell r="BC241">
            <v>2027</v>
          </cell>
        </row>
        <row r="242">
          <cell r="D242">
            <v>46539</v>
          </cell>
          <cell r="E242">
            <v>45.245669999999997</v>
          </cell>
          <cell r="F242">
            <v>47.915559999999999</v>
          </cell>
          <cell r="G242">
            <v>41.475180000000002</v>
          </cell>
          <cell r="H242">
            <v>48.12668</v>
          </cell>
          <cell r="J242">
            <v>47.165559999999999</v>
          </cell>
          <cell r="K242">
            <v>47.915559999999999</v>
          </cell>
          <cell r="L242">
            <v>50.415559999999999</v>
          </cell>
          <cell r="M242">
            <v>34.705179999999999</v>
          </cell>
          <cell r="N242">
            <v>41.501339999999999</v>
          </cell>
          <cell r="O242">
            <v>31.39847</v>
          </cell>
          <cell r="P242">
            <v>38.238169999999997</v>
          </cell>
          <cell r="R242">
            <v>41.001339999999999</v>
          </cell>
          <cell r="S242">
            <v>41.001339999999999</v>
          </cell>
          <cell r="T242">
            <v>43.751339999999999</v>
          </cell>
          <cell r="U242">
            <v>40.795240888888891</v>
          </cell>
          <cell r="V242">
            <v>45.207333777777777</v>
          </cell>
          <cell r="W242">
            <v>37.220569111111111</v>
          </cell>
          <cell r="Z242">
            <v>44.562889333333331</v>
          </cell>
          <cell r="AC242">
            <v>4.3952999999999998</v>
          </cell>
          <cell r="AD242">
            <v>4.1661000000000001</v>
          </cell>
          <cell r="AE242">
            <v>4.4492000000000003</v>
          </cell>
          <cell r="AF242">
            <v>4.5839999999999996</v>
          </cell>
          <cell r="AG242">
            <v>4.7054</v>
          </cell>
          <cell r="AH242">
            <v>3.8694999999999999</v>
          </cell>
          <cell r="AI242">
            <v>4.7323000000000004</v>
          </cell>
          <cell r="AJ242">
            <v>4.5323000000000002</v>
          </cell>
          <cell r="AK242">
            <v>4.6622000000000003</v>
          </cell>
          <cell r="AL242">
            <v>4.4852999999999996</v>
          </cell>
          <cell r="AM242">
            <v>4.7122000000000002</v>
          </cell>
          <cell r="AN242">
            <v>4.4995000000000003</v>
          </cell>
          <cell r="AO242">
            <v>4.3752798249663778</v>
          </cell>
          <cell r="AP242">
            <v>4.4486787932265628</v>
          </cell>
          <cell r="AQ242">
            <v>4.4771473181898722</v>
          </cell>
          <cell r="AR242">
            <v>4.487697460981332</v>
          </cell>
          <cell r="AS242">
            <v>4.9655346229035908</v>
          </cell>
          <cell r="AT242">
            <v>4.3104566246541651</v>
          </cell>
          <cell r="AU242">
            <v>4.4533557142857134</v>
          </cell>
          <cell r="AV242">
            <v>4.4641999999999999</v>
          </cell>
          <cell r="AW242">
            <v>4.2502354430379734</v>
          </cell>
          <cell r="AX242">
            <v>4.3868</v>
          </cell>
          <cell r="AZ242">
            <v>146</v>
          </cell>
          <cell r="BA242">
            <v>146</v>
          </cell>
          <cell r="BC242">
            <v>2027</v>
          </cell>
        </row>
        <row r="243">
          <cell r="D243">
            <v>46569</v>
          </cell>
          <cell r="E243">
            <v>50.936039999999998</v>
          </cell>
          <cell r="F243">
            <v>52.994900000000001</v>
          </cell>
          <cell r="G243">
            <v>46.91516</v>
          </cell>
          <cell r="H243">
            <v>52.525460000000002</v>
          </cell>
          <cell r="J243">
            <v>57.994900000000001</v>
          </cell>
          <cell r="K243">
            <v>58.494900000000001</v>
          </cell>
          <cell r="L243">
            <v>57.244900000000001</v>
          </cell>
          <cell r="M243">
            <v>40.713180000000001</v>
          </cell>
          <cell r="N243">
            <v>44.571089999999998</v>
          </cell>
          <cell r="O243">
            <v>37.142119999999998</v>
          </cell>
          <cell r="P243">
            <v>42.281419999999997</v>
          </cell>
          <cell r="R243">
            <v>45.571089999999998</v>
          </cell>
          <cell r="S243">
            <v>45.571089999999998</v>
          </cell>
          <cell r="T243">
            <v>47.071089999999998</v>
          </cell>
          <cell r="U243">
            <v>46.429187741935486</v>
          </cell>
          <cell r="V243">
            <v>49.28117731182796</v>
          </cell>
          <cell r="W243">
            <v>42.606615483870961</v>
          </cell>
          <cell r="Z243">
            <v>52.517736451612905</v>
          </cell>
          <cell r="AC243">
            <v>4.4222000000000001</v>
          </cell>
          <cell r="AD243">
            <v>4.2469999999999999</v>
          </cell>
          <cell r="AE243">
            <v>4.4897</v>
          </cell>
          <cell r="AF243">
            <v>4.5839999999999996</v>
          </cell>
          <cell r="AG243">
            <v>4.7592999999999996</v>
          </cell>
          <cell r="AH243">
            <v>3.9638</v>
          </cell>
          <cell r="AI243">
            <v>4.8132000000000001</v>
          </cell>
          <cell r="AJ243">
            <v>4.5605000000000002</v>
          </cell>
          <cell r="AK243">
            <v>4.6905999999999999</v>
          </cell>
          <cell r="AL243">
            <v>4.5128000000000004</v>
          </cell>
          <cell r="AM243">
            <v>4.7405999999999997</v>
          </cell>
          <cell r="AN243">
            <v>4.5273000000000003</v>
          </cell>
          <cell r="AO243">
            <v>4.402277556755454</v>
          </cell>
          <cell r="AP243">
            <v>4.476119372641028</v>
          </cell>
          <cell r="AQ243">
            <v>4.5397847546202525</v>
          </cell>
          <cell r="AR243">
            <v>4.5151380403957972</v>
          </cell>
          <cell r="AS243">
            <v>4.9655346229035908</v>
          </cell>
          <cell r="AT243">
            <v>4.3585148273388663</v>
          </cell>
          <cell r="AU243">
            <v>4.480804693877551</v>
          </cell>
          <cell r="AV243">
            <v>4.5046999999999997</v>
          </cell>
          <cell r="AW243">
            <v>4.3321594936708854</v>
          </cell>
          <cell r="AX243">
            <v>4.47</v>
          </cell>
          <cell r="AZ243">
            <v>147</v>
          </cell>
          <cell r="BA243">
            <v>147</v>
          </cell>
          <cell r="BC243">
            <v>2027</v>
          </cell>
        </row>
        <row r="244">
          <cell r="D244">
            <v>46600</v>
          </cell>
          <cell r="E244">
            <v>57.115830000000003</v>
          </cell>
          <cell r="F244">
            <v>55.560789999999997</v>
          </cell>
          <cell r="G244">
            <v>52.932540000000003</v>
          </cell>
          <cell r="H244">
            <v>54.995440000000002</v>
          </cell>
          <cell r="J244">
            <v>60.060789999999997</v>
          </cell>
          <cell r="K244">
            <v>61.060789999999997</v>
          </cell>
          <cell r="L244">
            <v>59.310789999999997</v>
          </cell>
          <cell r="M244">
            <v>44.336329999999997</v>
          </cell>
          <cell r="N244">
            <v>46.149540000000002</v>
          </cell>
          <cell r="O244">
            <v>40.616970000000002</v>
          </cell>
          <cell r="P244">
            <v>45.413969999999999</v>
          </cell>
          <cell r="R244">
            <v>47.149540000000002</v>
          </cell>
          <cell r="S244">
            <v>47.149540000000002</v>
          </cell>
          <cell r="T244">
            <v>48.649540000000002</v>
          </cell>
          <cell r="U244">
            <v>51.481856881720432</v>
          </cell>
          <cell r="V244">
            <v>51.411744301075267</v>
          </cell>
          <cell r="W244">
            <v>47.503095161290325</v>
          </cell>
          <cell r="Z244">
            <v>54.368733548387098</v>
          </cell>
          <cell r="AC244">
            <v>4.5030999999999999</v>
          </cell>
          <cell r="AD244">
            <v>4.3413000000000004</v>
          </cell>
          <cell r="AE244">
            <v>4.5571000000000002</v>
          </cell>
          <cell r="AF244">
            <v>4.6109999999999998</v>
          </cell>
          <cell r="AG244">
            <v>4.7862999999999998</v>
          </cell>
          <cell r="AH244">
            <v>4.0178000000000003</v>
          </cell>
          <cell r="AI244">
            <v>4.9076000000000004</v>
          </cell>
          <cell r="AJ244">
            <v>4.6425999999999998</v>
          </cell>
          <cell r="AK244">
            <v>4.7727000000000004</v>
          </cell>
          <cell r="AL244">
            <v>4.5941999999999998</v>
          </cell>
          <cell r="AM244">
            <v>4.8227000000000002</v>
          </cell>
          <cell r="AN244">
            <v>4.6090999999999998</v>
          </cell>
          <cell r="AO244">
            <v>4.4834714787530858</v>
          </cell>
          <cell r="AP244">
            <v>4.5586451300622253</v>
          </cell>
          <cell r="AQ244">
            <v>4.623215343341772</v>
          </cell>
          <cell r="AR244">
            <v>4.5976637978169945</v>
          </cell>
          <cell r="AS244">
            <v>4.993315258771478</v>
          </cell>
          <cell r="AT244">
            <v>4.441412665232094</v>
          </cell>
          <cell r="AU244">
            <v>4.5633557142857137</v>
          </cell>
          <cell r="AV244">
            <v>4.5720999999999998</v>
          </cell>
          <cell r="AW244">
            <v>4.4276531645569612</v>
          </cell>
          <cell r="AX244">
            <v>4.5667</v>
          </cell>
          <cell r="AZ244">
            <v>148</v>
          </cell>
          <cell r="BA244">
            <v>148</v>
          </cell>
          <cell r="BC244">
            <v>2027</v>
          </cell>
        </row>
        <row r="245">
          <cell r="D245">
            <v>46631</v>
          </cell>
          <cell r="E245">
            <v>56.22974</v>
          </cell>
          <cell r="F245">
            <v>52.305199999999999</v>
          </cell>
          <cell r="G245">
            <v>54.088009999999997</v>
          </cell>
          <cell r="H245">
            <v>55.673609999999996</v>
          </cell>
          <cell r="J245">
            <v>55.305199999999999</v>
          </cell>
          <cell r="K245">
            <v>56.305199999999999</v>
          </cell>
          <cell r="L245">
            <v>55.305199999999999</v>
          </cell>
          <cell r="M245">
            <v>46.651850000000003</v>
          </cell>
          <cell r="N245">
            <v>45.3018</v>
          </cell>
          <cell r="O245">
            <v>43.553339999999999</v>
          </cell>
          <cell r="P245">
            <v>43.280839999999998</v>
          </cell>
          <cell r="R245">
            <v>43.8018</v>
          </cell>
          <cell r="S245">
            <v>43.8018</v>
          </cell>
          <cell r="T245">
            <v>47.5518</v>
          </cell>
          <cell r="U245">
            <v>51.972900000000003</v>
          </cell>
          <cell r="V245">
            <v>49.192577777777778</v>
          </cell>
          <cell r="W245">
            <v>49.405934444444448</v>
          </cell>
          <cell r="Z245">
            <v>50.192577777777778</v>
          </cell>
          <cell r="AC245">
            <v>4.5030999999999999</v>
          </cell>
          <cell r="AD245">
            <v>4.3952999999999998</v>
          </cell>
          <cell r="AE245">
            <v>4.5435999999999996</v>
          </cell>
          <cell r="AF245">
            <v>4.6109999999999998</v>
          </cell>
          <cell r="AG245">
            <v>4.7592999999999996</v>
          </cell>
          <cell r="AH245">
            <v>4.1661000000000001</v>
          </cell>
          <cell r="AI245">
            <v>4.9345999999999997</v>
          </cell>
          <cell r="AJ245">
            <v>4.6428000000000003</v>
          </cell>
          <cell r="AK245">
            <v>4.7728999999999999</v>
          </cell>
          <cell r="AL245">
            <v>4.5942999999999996</v>
          </cell>
          <cell r="AM245">
            <v>4.8228999999999997</v>
          </cell>
          <cell r="AN245">
            <v>4.6092000000000004</v>
          </cell>
          <cell r="AO245">
            <v>4.4834714787530858</v>
          </cell>
          <cell r="AP245">
            <v>4.5586451300622253</v>
          </cell>
          <cell r="AQ245">
            <v>4.6441116874556956</v>
          </cell>
          <cell r="AR245">
            <v>4.5976637978169945</v>
          </cell>
          <cell r="AS245">
            <v>4.993315258771478</v>
          </cell>
          <cell r="AT245">
            <v>4.4362891894661338</v>
          </cell>
          <cell r="AU245">
            <v>4.5633557142857137</v>
          </cell>
          <cell r="AV245">
            <v>4.5586000000000002</v>
          </cell>
          <cell r="AW245">
            <v>4.4823367088607586</v>
          </cell>
          <cell r="AX245">
            <v>4.6208</v>
          </cell>
          <cell r="AZ245">
            <v>149</v>
          </cell>
          <cell r="BA245">
            <v>149</v>
          </cell>
          <cell r="BC245">
            <v>2027</v>
          </cell>
        </row>
        <row r="246">
          <cell r="D246">
            <v>46661</v>
          </cell>
          <cell r="E246">
            <v>51.340440000000001</v>
          </cell>
          <cell r="F246">
            <v>50.618270000000003</v>
          </cell>
          <cell r="G246">
            <v>47.68347</v>
          </cell>
          <cell r="H246">
            <v>49.470669999999998</v>
          </cell>
          <cell r="J246">
            <v>50.118270000000003</v>
          </cell>
          <cell r="K246">
            <v>50.618270000000003</v>
          </cell>
          <cell r="L246">
            <v>52.618270000000003</v>
          </cell>
          <cell r="M246">
            <v>43.018949999999997</v>
          </cell>
          <cell r="N246">
            <v>44.66957</v>
          </cell>
          <cell r="O246">
            <v>39.550710000000002</v>
          </cell>
          <cell r="P246">
            <v>42.954810000000002</v>
          </cell>
          <cell r="R246">
            <v>43.66957</v>
          </cell>
          <cell r="S246">
            <v>43.16957</v>
          </cell>
          <cell r="T246">
            <v>46.41957</v>
          </cell>
          <cell r="U246">
            <v>47.671826129032254</v>
          </cell>
          <cell r="V246">
            <v>47.995724838709677</v>
          </cell>
          <cell r="W246">
            <v>44.098059677419364</v>
          </cell>
          <cell r="Z246">
            <v>47.275294731182797</v>
          </cell>
          <cell r="AC246">
            <v>4.6245000000000003</v>
          </cell>
          <cell r="AD246">
            <v>4.5571000000000002</v>
          </cell>
          <cell r="AE246">
            <v>4.6245000000000003</v>
          </cell>
          <cell r="AF246">
            <v>4.6245000000000003</v>
          </cell>
          <cell r="AG246">
            <v>4.7862999999999998</v>
          </cell>
          <cell r="AH246">
            <v>4.2065000000000001</v>
          </cell>
          <cell r="AI246">
            <v>5.0423999999999998</v>
          </cell>
          <cell r="AJ246">
            <v>4.7653999999999996</v>
          </cell>
          <cell r="AK246">
            <v>4.8956999999999997</v>
          </cell>
          <cell r="AL246">
            <v>4.7161999999999997</v>
          </cell>
          <cell r="AM246">
            <v>4.9457000000000004</v>
          </cell>
          <cell r="AN246">
            <v>4.7313999999999998</v>
          </cell>
          <cell r="AO246">
            <v>4.6053125434071331</v>
          </cell>
          <cell r="AP246">
            <v>4.6824847709884727</v>
          </cell>
          <cell r="AQ246">
            <v>4.7693349644050631</v>
          </cell>
          <cell r="AR246">
            <v>4.721503438743242</v>
          </cell>
          <cell r="AS246">
            <v>5.0072055767054229</v>
          </cell>
          <cell r="AT246">
            <v>4.5632489189466137</v>
          </cell>
          <cell r="AU246">
            <v>4.6872332653061219</v>
          </cell>
          <cell r="AV246">
            <v>4.6395</v>
          </cell>
          <cell r="AW246">
            <v>4.6461848101265817</v>
          </cell>
          <cell r="AX246">
            <v>4.7850999999999999</v>
          </cell>
          <cell r="AZ246">
            <v>150</v>
          </cell>
          <cell r="BA246">
            <v>150</v>
          </cell>
          <cell r="BC246">
            <v>2027</v>
          </cell>
        </row>
        <row r="247">
          <cell r="D247">
            <v>46692</v>
          </cell>
          <cell r="E247">
            <v>55.131770000000003</v>
          </cell>
          <cell r="F247">
            <v>52.814079999999997</v>
          </cell>
          <cell r="G247">
            <v>51.215339999999998</v>
          </cell>
          <cell r="H247">
            <v>53.652839999999998</v>
          </cell>
          <cell r="J247">
            <v>52.314079999999997</v>
          </cell>
          <cell r="K247">
            <v>51.314079999999997</v>
          </cell>
          <cell r="L247">
            <v>54.814079999999997</v>
          </cell>
          <cell r="M247">
            <v>45.769010000000002</v>
          </cell>
          <cell r="N247">
            <v>45.882890000000003</v>
          </cell>
          <cell r="O247">
            <v>42.104759999999999</v>
          </cell>
          <cell r="P247">
            <v>42.793660000000003</v>
          </cell>
          <cell r="R247">
            <v>45.382890000000003</v>
          </cell>
          <cell r="S247">
            <v>44.382890000000003</v>
          </cell>
          <cell r="T247">
            <v>47.632890000000003</v>
          </cell>
          <cell r="U247">
            <v>50.963329001386967</v>
          </cell>
          <cell r="V247">
            <v>49.728210388349517</v>
          </cell>
          <cell r="W247">
            <v>47.159173314840494</v>
          </cell>
          <cell r="Z247">
            <v>49.228210388349517</v>
          </cell>
          <cell r="AC247">
            <v>4.8266999999999998</v>
          </cell>
          <cell r="AD247">
            <v>4.7323000000000004</v>
          </cell>
          <cell r="AE247">
            <v>4.8672000000000004</v>
          </cell>
          <cell r="AF247">
            <v>4.7592999999999996</v>
          </cell>
          <cell r="AG247">
            <v>4.9481000000000002</v>
          </cell>
          <cell r="AH247">
            <v>4.5435999999999996</v>
          </cell>
          <cell r="AI247">
            <v>5.2312000000000003</v>
          </cell>
          <cell r="AJ247">
            <v>4.9741</v>
          </cell>
          <cell r="AK247">
            <v>5.1048</v>
          </cell>
          <cell r="AL247">
            <v>4.9211999999999998</v>
          </cell>
          <cell r="AM247">
            <v>5.1547999999999998</v>
          </cell>
          <cell r="AN247">
            <v>4.9382000000000001</v>
          </cell>
          <cell r="AO247">
            <v>4.8082471667436106</v>
          </cell>
          <cell r="AP247">
            <v>4.8887481597470153</v>
          </cell>
          <cell r="AQ247">
            <v>4.9849542781139231</v>
          </cell>
          <cell r="AR247">
            <v>4.9277668275017854</v>
          </cell>
          <cell r="AS247">
            <v>5.1459029735569501</v>
          </cell>
          <cell r="AT247">
            <v>4.8472944154114153</v>
          </cell>
          <cell r="AU247">
            <v>4.8935597959183665</v>
          </cell>
          <cell r="AV247">
            <v>4.8822000000000001</v>
          </cell>
          <cell r="AW247">
            <v>4.8236025316455686</v>
          </cell>
          <cell r="AX247">
            <v>4.9993999999999996</v>
          </cell>
          <cell r="AZ247">
            <v>151</v>
          </cell>
          <cell r="BA247">
            <v>151</v>
          </cell>
          <cell r="BC247">
            <v>2027</v>
          </cell>
        </row>
        <row r="248">
          <cell r="D248">
            <v>46722</v>
          </cell>
          <cell r="E248">
            <v>56.824330000000003</v>
          </cell>
          <cell r="F248">
            <v>54.486130000000003</v>
          </cell>
          <cell r="G248">
            <v>53.493389999999998</v>
          </cell>
          <cell r="H248">
            <v>56.22119</v>
          </cell>
          <cell r="J248">
            <v>53.986130000000003</v>
          </cell>
          <cell r="K248">
            <v>53.736130000000003</v>
          </cell>
          <cell r="L248">
            <v>56.486130000000003</v>
          </cell>
          <cell r="M248">
            <v>47.923650000000002</v>
          </cell>
          <cell r="N248">
            <v>47.874980000000001</v>
          </cell>
          <cell r="O248">
            <v>44.214790000000001</v>
          </cell>
          <cell r="P248">
            <v>47.029290000000003</v>
          </cell>
          <cell r="R248">
            <v>47.374980000000001</v>
          </cell>
          <cell r="S248">
            <v>46.874980000000001</v>
          </cell>
          <cell r="T248">
            <v>49.624980000000001</v>
          </cell>
          <cell r="U248">
            <v>52.900374301075274</v>
          </cell>
          <cell r="V248">
            <v>51.571536989247313</v>
          </cell>
          <cell r="W248">
            <v>49.40282440860215</v>
          </cell>
          <cell r="Z248">
            <v>51.071536989247313</v>
          </cell>
          <cell r="AC248">
            <v>5.1368</v>
          </cell>
          <cell r="AD248">
            <v>5.0964</v>
          </cell>
          <cell r="AE248">
            <v>5.1368</v>
          </cell>
          <cell r="AF248">
            <v>5.2176999999999998</v>
          </cell>
          <cell r="AG248">
            <v>5.2582000000000004</v>
          </cell>
          <cell r="AH248">
            <v>4.6109999999999998</v>
          </cell>
          <cell r="AI248">
            <v>5.4199000000000002</v>
          </cell>
          <cell r="AJ248">
            <v>5.2896000000000001</v>
          </cell>
          <cell r="AK248">
            <v>5.4206000000000003</v>
          </cell>
          <cell r="AL248">
            <v>5.2335000000000003</v>
          </cell>
          <cell r="AM248">
            <v>5.4706000000000001</v>
          </cell>
          <cell r="AN248">
            <v>5.2519999999999998</v>
          </cell>
          <cell r="AO248">
            <v>5.1194738071819978</v>
          </cell>
          <cell r="AP248">
            <v>5.2050798949301234</v>
          </cell>
          <cell r="AQ248">
            <v>5.3119175686075941</v>
          </cell>
          <cell r="AR248">
            <v>5.2440985626848926</v>
          </cell>
          <cell r="AS248">
            <v>5.6175564358473089</v>
          </cell>
          <cell r="AT248">
            <v>5.1471202172353729</v>
          </cell>
          <cell r="AU248">
            <v>5.2099883673469387</v>
          </cell>
          <cell r="AV248">
            <v>5.1517999999999997</v>
          </cell>
          <cell r="AW248">
            <v>5.1923113924050623</v>
          </cell>
          <cell r="AX248">
            <v>5.3734999999999999</v>
          </cell>
          <cell r="AZ248">
            <v>152</v>
          </cell>
          <cell r="BA248">
            <v>152</v>
          </cell>
          <cell r="BC248">
            <v>2027</v>
          </cell>
        </row>
        <row r="249">
          <cell r="D249">
            <v>46753</v>
          </cell>
          <cell r="E249">
            <v>53.773209999999999</v>
          </cell>
          <cell r="F249">
            <v>53.038879999999999</v>
          </cell>
          <cell r="G249">
            <v>49.851909999999997</v>
          </cell>
          <cell r="H249">
            <v>53.660409999999999</v>
          </cell>
          <cell r="J249">
            <v>52.538879999999999</v>
          </cell>
          <cell r="K249">
            <v>52.538879999999999</v>
          </cell>
          <cell r="L249">
            <v>55.288879999999999</v>
          </cell>
          <cell r="M249">
            <v>44.643549999999998</v>
          </cell>
          <cell r="N249">
            <v>46.917079999999999</v>
          </cell>
          <cell r="O249">
            <v>41.197290000000002</v>
          </cell>
          <cell r="P249">
            <v>44.441789999999997</v>
          </cell>
          <cell r="R249">
            <v>46.417079999999999</v>
          </cell>
          <cell r="S249">
            <v>46.417079999999999</v>
          </cell>
          <cell r="T249">
            <v>49.167079999999999</v>
          </cell>
          <cell r="U249">
            <v>49.551969354838718</v>
          </cell>
          <cell r="V249">
            <v>50.208370322580642</v>
          </cell>
          <cell r="W249">
            <v>45.850311505376347</v>
          </cell>
          <cell r="Z249">
            <v>49.708370322580642</v>
          </cell>
          <cell r="AC249">
            <v>5.0018000000000002</v>
          </cell>
          <cell r="AD249">
            <v>4.9741999999999997</v>
          </cell>
          <cell r="AE249">
            <v>4.9604999999999997</v>
          </cell>
          <cell r="AF249">
            <v>5.1395999999999997</v>
          </cell>
          <cell r="AG249">
            <v>5.0983000000000001</v>
          </cell>
          <cell r="AH249">
            <v>4.5332999999999997</v>
          </cell>
          <cell r="AI249">
            <v>5.2774000000000001</v>
          </cell>
          <cell r="AJ249">
            <v>5.1589</v>
          </cell>
          <cell r="AK249">
            <v>5.2901999999999996</v>
          </cell>
          <cell r="AL249">
            <v>5.1003999999999996</v>
          </cell>
          <cell r="AM249">
            <v>5.3402000000000003</v>
          </cell>
          <cell r="AN249">
            <v>5.12</v>
          </cell>
          <cell r="AO249">
            <v>4.9839833316606112</v>
          </cell>
          <cell r="AP249">
            <v>5.0673669499132918</v>
          </cell>
          <cell r="AQ249">
            <v>5.1579037731012649</v>
          </cell>
          <cell r="AR249">
            <v>5.1063856176680611</v>
          </cell>
          <cell r="AS249">
            <v>5.5371983743183453</v>
          </cell>
          <cell r="AT249">
            <v>5.0830767701608774</v>
          </cell>
          <cell r="AU249">
            <v>5.0722332653061226</v>
          </cell>
          <cell r="AV249">
            <v>4.9755000000000003</v>
          </cell>
          <cell r="AW249">
            <v>5.0685645569620243</v>
          </cell>
          <cell r="AX249">
            <v>5.2595000000000001</v>
          </cell>
          <cell r="AZ249">
            <v>153</v>
          </cell>
          <cell r="BA249">
            <v>153</v>
          </cell>
          <cell r="BC249">
            <v>2028</v>
          </cell>
        </row>
        <row r="250">
          <cell r="D250">
            <v>46784</v>
          </cell>
          <cell r="E250">
            <v>56.038679999999999</v>
          </cell>
          <cell r="F250">
            <v>53.55677</v>
          </cell>
          <cell r="G250">
            <v>52.593760000000003</v>
          </cell>
          <cell r="H250">
            <v>56.551760000000002</v>
          </cell>
          <cell r="J250">
            <v>53.55677</v>
          </cell>
          <cell r="K250">
            <v>52.55677</v>
          </cell>
          <cell r="L250">
            <v>55.80677</v>
          </cell>
          <cell r="M250">
            <v>46.638199999999998</v>
          </cell>
          <cell r="N250">
            <v>48.337159999999997</v>
          </cell>
          <cell r="O250">
            <v>43.831859999999999</v>
          </cell>
          <cell r="P250">
            <v>46.718159999999997</v>
          </cell>
          <cell r="R250">
            <v>47.837159999999997</v>
          </cell>
          <cell r="S250">
            <v>47.087159999999997</v>
          </cell>
          <cell r="T250">
            <v>50.337159999999997</v>
          </cell>
          <cell r="U250">
            <v>52.040774712643682</v>
          </cell>
          <cell r="V250">
            <v>51.336935862068962</v>
          </cell>
          <cell r="W250">
            <v>48.867434712643686</v>
          </cell>
          <cell r="Z250">
            <v>51.124292183908054</v>
          </cell>
          <cell r="AC250">
            <v>5.0156000000000001</v>
          </cell>
          <cell r="AD250">
            <v>5.0018000000000002</v>
          </cell>
          <cell r="AE250">
            <v>5.0018000000000002</v>
          </cell>
          <cell r="AF250">
            <v>5.1120000000000001</v>
          </cell>
          <cell r="AG250">
            <v>5.1395999999999997</v>
          </cell>
          <cell r="AH250">
            <v>4.5471000000000004</v>
          </cell>
          <cell r="AI250">
            <v>5.2911999999999999</v>
          </cell>
          <cell r="AJ250">
            <v>5.1722000000000001</v>
          </cell>
          <cell r="AK250">
            <v>5.3033999999999999</v>
          </cell>
          <cell r="AL250">
            <v>5.1139000000000001</v>
          </cell>
          <cell r="AM250">
            <v>5.3533999999999997</v>
          </cell>
          <cell r="AN250">
            <v>5.1334</v>
          </cell>
          <cell r="AO250">
            <v>4.997833469158353</v>
          </cell>
          <cell r="AP250">
            <v>5.0814442731816785</v>
          </cell>
          <cell r="AQ250">
            <v>5.1934533560506324</v>
          </cell>
          <cell r="AR250">
            <v>5.1204629409364486</v>
          </cell>
          <cell r="AS250">
            <v>5.5088003909867274</v>
          </cell>
          <cell r="AT250">
            <v>5.1125879905728047</v>
          </cell>
          <cell r="AU250">
            <v>5.0863148979591832</v>
          </cell>
          <cell r="AV250">
            <v>5.0167999999999999</v>
          </cell>
          <cell r="AW250">
            <v>5.0965139240506323</v>
          </cell>
          <cell r="AX250">
            <v>5.2859999999999996</v>
          </cell>
          <cell r="AZ250">
            <v>154</v>
          </cell>
          <cell r="BA250">
            <v>154</v>
          </cell>
          <cell r="BC250">
            <v>2028</v>
          </cell>
        </row>
        <row r="251">
          <cell r="D251">
            <v>46813</v>
          </cell>
          <cell r="E251">
            <v>48.713039999999999</v>
          </cell>
          <cell r="F251">
            <v>49.889279999999999</v>
          </cell>
          <cell r="G251">
            <v>45.469589999999997</v>
          </cell>
          <cell r="H251">
            <v>49.268090000000001</v>
          </cell>
          <cell r="J251">
            <v>49.889279999999999</v>
          </cell>
          <cell r="K251">
            <v>48.889279999999999</v>
          </cell>
          <cell r="L251">
            <v>52.139279999999999</v>
          </cell>
          <cell r="M251">
            <v>40.660679999999999</v>
          </cell>
          <cell r="N251">
            <v>45.393940000000001</v>
          </cell>
          <cell r="O251">
            <v>38.855379999999997</v>
          </cell>
          <cell r="P251">
            <v>42.050879999999999</v>
          </cell>
          <cell r="R251">
            <v>44.893940000000001</v>
          </cell>
          <cell r="S251">
            <v>43.893940000000001</v>
          </cell>
          <cell r="T251">
            <v>47.393940000000001</v>
          </cell>
          <cell r="U251">
            <v>45.342536689098246</v>
          </cell>
          <cell r="V251">
            <v>48.007650471063258</v>
          </cell>
          <cell r="W251">
            <v>42.701057954239566</v>
          </cell>
          <cell r="Z251">
            <v>47.79836379542396</v>
          </cell>
          <cell r="AC251">
            <v>4.8227000000000002</v>
          </cell>
          <cell r="AD251">
            <v>4.74</v>
          </cell>
          <cell r="AE251">
            <v>4.8364000000000003</v>
          </cell>
          <cell r="AF251">
            <v>4.8639999999999999</v>
          </cell>
          <cell r="AG251">
            <v>5.0018000000000002</v>
          </cell>
          <cell r="AH251">
            <v>4.2853000000000003</v>
          </cell>
          <cell r="AI251">
            <v>5.0707000000000004</v>
          </cell>
          <cell r="AJ251">
            <v>4.9771999999999998</v>
          </cell>
          <cell r="AK251">
            <v>5.1082000000000001</v>
          </cell>
          <cell r="AL251">
            <v>4.9200999999999997</v>
          </cell>
          <cell r="AM251">
            <v>5.1581999999999999</v>
          </cell>
          <cell r="AN251">
            <v>4.9390000000000001</v>
          </cell>
          <cell r="AO251">
            <v>4.8042326341355706</v>
          </cell>
          <cell r="AP251">
            <v>4.8846677761909616</v>
          </cell>
          <cell r="AQ251">
            <v>4.9730356225822785</v>
          </cell>
          <cell r="AR251">
            <v>4.9236864439457317</v>
          </cell>
          <cell r="AS251">
            <v>5.2536301059779813</v>
          </cell>
          <cell r="AT251">
            <v>4.7125470027666774</v>
          </cell>
          <cell r="AU251">
            <v>4.8894781632653057</v>
          </cell>
          <cell r="AV251">
            <v>4.8513999999999999</v>
          </cell>
          <cell r="AW251">
            <v>4.8313999999999995</v>
          </cell>
          <cell r="AX251">
            <v>5.0202999999999998</v>
          </cell>
          <cell r="AZ251">
            <v>155</v>
          </cell>
          <cell r="BA251">
            <v>155</v>
          </cell>
          <cell r="BC251">
            <v>2028</v>
          </cell>
        </row>
        <row r="252">
          <cell r="D252">
            <v>46844</v>
          </cell>
          <cell r="E252">
            <v>46.020519999999998</v>
          </cell>
          <cell r="F252">
            <v>47.167499999999997</v>
          </cell>
          <cell r="G252">
            <v>42.689869999999999</v>
          </cell>
          <cell r="H252">
            <v>44.188470000000002</v>
          </cell>
          <cell r="J252">
            <v>45.667499999999997</v>
          </cell>
          <cell r="K252">
            <v>45.667499999999997</v>
          </cell>
          <cell r="L252">
            <v>49.167499999999997</v>
          </cell>
          <cell r="M252">
            <v>40.434559999999998</v>
          </cell>
          <cell r="N252">
            <v>43.721200000000003</v>
          </cell>
          <cell r="O252">
            <v>37.297699999999999</v>
          </cell>
          <cell r="P252">
            <v>43.973300000000002</v>
          </cell>
          <cell r="R252">
            <v>42.971200000000003</v>
          </cell>
          <cell r="S252">
            <v>42.721200000000003</v>
          </cell>
          <cell r="T252">
            <v>45.721200000000003</v>
          </cell>
          <cell r="U252">
            <v>43.537871111111102</v>
          </cell>
          <cell r="V252">
            <v>45.63581111111111</v>
          </cell>
          <cell r="W252">
            <v>40.293349999999997</v>
          </cell>
          <cell r="Z252">
            <v>44.469144444444439</v>
          </cell>
          <cell r="AC252">
            <v>4.6435000000000004</v>
          </cell>
          <cell r="AD252">
            <v>4.5746000000000002</v>
          </cell>
          <cell r="AE252">
            <v>4.6848999999999998</v>
          </cell>
          <cell r="AF252">
            <v>4.6573000000000002</v>
          </cell>
          <cell r="AG252">
            <v>4.8502000000000001</v>
          </cell>
          <cell r="AH252">
            <v>4.0923999999999996</v>
          </cell>
          <cell r="AI252">
            <v>4.9191000000000003</v>
          </cell>
          <cell r="AJ252">
            <v>4.7858999999999998</v>
          </cell>
          <cell r="AK252">
            <v>4.9161999999999999</v>
          </cell>
          <cell r="AL252">
            <v>4.7359</v>
          </cell>
          <cell r="AM252">
            <v>4.9661999999999997</v>
          </cell>
          <cell r="AN252">
            <v>4.7515000000000001</v>
          </cell>
          <cell r="AO252">
            <v>4.6243815732953291</v>
          </cell>
          <cell r="AP252">
            <v>4.701866592879731</v>
          </cell>
          <cell r="AQ252">
            <v>4.809528179379746</v>
          </cell>
          <cell r="AR252">
            <v>4.7408852606345002</v>
          </cell>
          <cell r="AS252">
            <v>5.0409539047227083</v>
          </cell>
          <cell r="AT252">
            <v>4.4264521159954917</v>
          </cell>
          <cell r="AU252">
            <v>4.7066210204081633</v>
          </cell>
          <cell r="AV252">
            <v>4.6999000000000004</v>
          </cell>
          <cell r="AW252">
            <v>4.6639063291139236</v>
          </cell>
          <cell r="AX252">
            <v>4.8003999999999998</v>
          </cell>
          <cell r="AZ252">
            <v>156</v>
          </cell>
          <cell r="BA252">
            <v>156</v>
          </cell>
          <cell r="BC252">
            <v>2028</v>
          </cell>
        </row>
        <row r="253">
          <cell r="D253">
            <v>46874</v>
          </cell>
          <cell r="E253">
            <v>41.037999999999997</v>
          </cell>
          <cell r="F253">
            <v>45.540999999999997</v>
          </cell>
          <cell r="G253">
            <v>37.413490000000003</v>
          </cell>
          <cell r="H253">
            <v>42.647190000000002</v>
          </cell>
          <cell r="J253">
            <v>45.540999999999997</v>
          </cell>
          <cell r="K253">
            <v>45.540999999999997</v>
          </cell>
          <cell r="L253">
            <v>47.540999999999997</v>
          </cell>
          <cell r="M253">
            <v>33.109679999999997</v>
          </cell>
          <cell r="N253">
            <v>41.243000000000002</v>
          </cell>
          <cell r="O253">
            <v>29.834019999999999</v>
          </cell>
          <cell r="P253">
            <v>34.47992</v>
          </cell>
          <cell r="R253">
            <v>41.243000000000002</v>
          </cell>
          <cell r="S253">
            <v>40.743000000000002</v>
          </cell>
          <cell r="T253">
            <v>42.993000000000002</v>
          </cell>
          <cell r="U253">
            <v>37.54271913978495</v>
          </cell>
          <cell r="V253">
            <v>43.64618279569892</v>
          </cell>
          <cell r="W253">
            <v>34.072003225806448</v>
          </cell>
          <cell r="Z253">
            <v>43.646182795698927</v>
          </cell>
          <cell r="AC253">
            <v>4.5746000000000002</v>
          </cell>
          <cell r="AD253">
            <v>4.4093</v>
          </cell>
          <cell r="AE253">
            <v>4.6298000000000004</v>
          </cell>
          <cell r="AF253">
            <v>4.6986999999999997</v>
          </cell>
          <cell r="AG253">
            <v>4.8502000000000001</v>
          </cell>
          <cell r="AH253">
            <v>4.1062000000000003</v>
          </cell>
          <cell r="AI253">
            <v>4.8777999999999997</v>
          </cell>
          <cell r="AJ253">
            <v>4.7106000000000003</v>
          </cell>
          <cell r="AK253">
            <v>4.8406000000000002</v>
          </cell>
          <cell r="AL253">
            <v>4.6642999999999999</v>
          </cell>
          <cell r="AM253">
            <v>4.8906000000000001</v>
          </cell>
          <cell r="AN253">
            <v>4.6782000000000004</v>
          </cell>
          <cell r="AO253">
            <v>4.555231249121821</v>
          </cell>
          <cell r="AP253">
            <v>4.6315819861266956</v>
          </cell>
          <cell r="AQ253">
            <v>4.695810790670885</v>
          </cell>
          <cell r="AR253">
            <v>4.6706006538814648</v>
          </cell>
          <cell r="AS253">
            <v>5.0835508797201356</v>
          </cell>
          <cell r="AT253">
            <v>4.5069931550363771</v>
          </cell>
          <cell r="AU253">
            <v>4.6363148979591831</v>
          </cell>
          <cell r="AV253">
            <v>4.6448</v>
          </cell>
          <cell r="AW253">
            <v>4.4965139240506318</v>
          </cell>
          <cell r="AX253">
            <v>4.6280999999999999</v>
          </cell>
          <cell r="AZ253">
            <v>157</v>
          </cell>
          <cell r="BA253">
            <v>157</v>
          </cell>
          <cell r="BC253">
            <v>2028</v>
          </cell>
        </row>
        <row r="254">
          <cell r="D254">
            <v>46905</v>
          </cell>
          <cell r="E254">
            <v>47.446069999999999</v>
          </cell>
          <cell r="F254">
            <v>49.731340000000003</v>
          </cell>
          <cell r="G254">
            <v>43.539610000000003</v>
          </cell>
          <cell r="H254">
            <v>50.191110000000002</v>
          </cell>
          <cell r="J254">
            <v>48.981340000000003</v>
          </cell>
          <cell r="K254">
            <v>49.731340000000003</v>
          </cell>
          <cell r="L254">
            <v>52.231340000000003</v>
          </cell>
          <cell r="M254">
            <v>36.361359999999998</v>
          </cell>
          <cell r="N254">
            <v>43.084060000000001</v>
          </cell>
          <cell r="O254">
            <v>32.959670000000003</v>
          </cell>
          <cell r="P254">
            <v>39.799370000000003</v>
          </cell>
          <cell r="R254">
            <v>42.584060000000001</v>
          </cell>
          <cell r="S254">
            <v>42.584060000000001</v>
          </cell>
          <cell r="T254">
            <v>45.334060000000001</v>
          </cell>
          <cell r="U254">
            <v>42.765859111111112</v>
          </cell>
          <cell r="V254">
            <v>46.92471066666667</v>
          </cell>
          <cell r="W254">
            <v>39.072524222222228</v>
          </cell>
          <cell r="Z254">
            <v>46.280266222222224</v>
          </cell>
          <cell r="AC254">
            <v>4.5609000000000002</v>
          </cell>
          <cell r="AD254">
            <v>4.4368999999999996</v>
          </cell>
          <cell r="AE254">
            <v>4.6021999999999998</v>
          </cell>
          <cell r="AF254">
            <v>4.7675999999999998</v>
          </cell>
          <cell r="AG254">
            <v>4.8916000000000004</v>
          </cell>
          <cell r="AH254">
            <v>4.1337000000000002</v>
          </cell>
          <cell r="AI254">
            <v>4.9191000000000003</v>
          </cell>
          <cell r="AJ254">
            <v>4.6978999999999997</v>
          </cell>
          <cell r="AK254">
            <v>4.8277999999999999</v>
          </cell>
          <cell r="AL254">
            <v>4.6509</v>
          </cell>
          <cell r="AM254">
            <v>4.8777999999999997</v>
          </cell>
          <cell r="AN254">
            <v>4.6650999999999998</v>
          </cell>
          <cell r="AO254">
            <v>4.54148147493928</v>
          </cell>
          <cell r="AP254">
            <v>4.6176066724472102</v>
          </cell>
          <cell r="AQ254">
            <v>4.695810790670885</v>
          </cell>
          <cell r="AR254">
            <v>4.6566253402019795</v>
          </cell>
          <cell r="AS254">
            <v>5.1544429468052266</v>
          </cell>
          <cell r="AT254">
            <v>4.4801461420227486</v>
          </cell>
          <cell r="AU254">
            <v>4.6223353061224488</v>
          </cell>
          <cell r="AV254">
            <v>4.6172000000000004</v>
          </cell>
          <cell r="AW254">
            <v>4.5244632911392388</v>
          </cell>
          <cell r="AX254">
            <v>4.6574999999999998</v>
          </cell>
          <cell r="AZ254">
            <v>158</v>
          </cell>
          <cell r="BA254">
            <v>158</v>
          </cell>
          <cell r="BC254">
            <v>2028</v>
          </cell>
        </row>
        <row r="255">
          <cell r="D255">
            <v>46935</v>
          </cell>
          <cell r="E255">
            <v>52.421340000000001</v>
          </cell>
          <cell r="F255">
            <v>54.426690000000001</v>
          </cell>
          <cell r="G255">
            <v>48.295969999999997</v>
          </cell>
          <cell r="H255">
            <v>53.906269999999999</v>
          </cell>
          <cell r="J255">
            <v>59.426690000000001</v>
          </cell>
          <cell r="K255">
            <v>59.926690000000001</v>
          </cell>
          <cell r="L255">
            <v>58.676690000000001</v>
          </cell>
          <cell r="M255">
            <v>42.581650000000003</v>
          </cell>
          <cell r="N255">
            <v>46.40372</v>
          </cell>
          <cell r="O255">
            <v>38.889220000000002</v>
          </cell>
          <cell r="P255">
            <v>44.028419999999997</v>
          </cell>
          <cell r="R255">
            <v>47.40372</v>
          </cell>
          <cell r="S255">
            <v>47.40372</v>
          </cell>
          <cell r="T255">
            <v>48.90372</v>
          </cell>
          <cell r="U255">
            <v>47.871805913978491</v>
          </cell>
          <cell r="V255">
            <v>50.717144731182799</v>
          </cell>
          <cell r="W255">
            <v>43.946612473118279</v>
          </cell>
          <cell r="Z255">
            <v>53.867682365591406</v>
          </cell>
          <cell r="AC255">
            <v>4.6159999999999997</v>
          </cell>
          <cell r="AD255">
            <v>4.492</v>
          </cell>
          <cell r="AE255">
            <v>4.6573000000000002</v>
          </cell>
          <cell r="AF255">
            <v>4.8227000000000002</v>
          </cell>
          <cell r="AG255">
            <v>4.9604999999999997</v>
          </cell>
          <cell r="AH255">
            <v>4.2576999999999998</v>
          </cell>
          <cell r="AI255">
            <v>4.9880000000000004</v>
          </cell>
          <cell r="AJ255">
            <v>4.7542999999999997</v>
          </cell>
          <cell r="AK255">
            <v>4.8842999999999996</v>
          </cell>
          <cell r="AL255">
            <v>4.7065999999999999</v>
          </cell>
          <cell r="AM255">
            <v>4.9343000000000004</v>
          </cell>
          <cell r="AN255">
            <v>4.7210999999999999</v>
          </cell>
          <cell r="AO255">
            <v>4.5967816616150463</v>
          </cell>
          <cell r="AP255">
            <v>4.6738139559318581</v>
          </cell>
          <cell r="AQ255">
            <v>4.7526694850253159</v>
          </cell>
          <cell r="AR255">
            <v>4.7128326236866265</v>
          </cell>
          <cell r="AS255">
            <v>5.2111360222245091</v>
          </cell>
          <cell r="AT255">
            <v>4.5571007480274623</v>
          </cell>
          <cell r="AU255">
            <v>4.6785597959183676</v>
          </cell>
          <cell r="AV255">
            <v>4.6722999999999999</v>
          </cell>
          <cell r="AW255">
            <v>4.5802607594936697</v>
          </cell>
          <cell r="AX255">
            <v>4.7149999999999999</v>
          </cell>
          <cell r="AZ255">
            <v>159</v>
          </cell>
          <cell r="BA255">
            <v>159</v>
          </cell>
          <cell r="BC255">
            <v>2028</v>
          </cell>
        </row>
        <row r="256">
          <cell r="D256">
            <v>46966</v>
          </cell>
          <cell r="E256">
            <v>58.534309999999998</v>
          </cell>
          <cell r="F256">
            <v>57.257280000000002</v>
          </cell>
          <cell r="G256">
            <v>54.377920000000003</v>
          </cell>
          <cell r="H256">
            <v>56.440820000000002</v>
          </cell>
          <cell r="J256">
            <v>61.757280000000002</v>
          </cell>
          <cell r="K256">
            <v>62.757280000000002</v>
          </cell>
          <cell r="L256">
            <v>61.007280000000002</v>
          </cell>
          <cell r="M256">
            <v>45.426380000000002</v>
          </cell>
          <cell r="N256">
            <v>47.468269999999997</v>
          </cell>
          <cell r="O256">
            <v>41.659669999999998</v>
          </cell>
          <cell r="P256">
            <v>46.456670000000003</v>
          </cell>
          <cell r="R256">
            <v>48.468269999999997</v>
          </cell>
          <cell r="S256">
            <v>48.468269999999997</v>
          </cell>
          <cell r="T256">
            <v>49.968269999999997</v>
          </cell>
          <cell r="U256">
            <v>53.037436129032258</v>
          </cell>
          <cell r="V256">
            <v>53.152211290322583</v>
          </cell>
          <cell r="W256">
            <v>49.044460322580647</v>
          </cell>
          <cell r="Z256">
            <v>56.184469354838704</v>
          </cell>
          <cell r="AC256">
            <v>4.7262000000000004</v>
          </cell>
          <cell r="AD256">
            <v>4.6711</v>
          </cell>
          <cell r="AE256">
            <v>4.74</v>
          </cell>
          <cell r="AF256">
            <v>4.8227000000000002</v>
          </cell>
          <cell r="AG256">
            <v>5.0018000000000002</v>
          </cell>
          <cell r="AH256">
            <v>4.2853000000000003</v>
          </cell>
          <cell r="AI256">
            <v>5.0983000000000001</v>
          </cell>
          <cell r="AJ256">
            <v>4.8657000000000004</v>
          </cell>
          <cell r="AK256">
            <v>4.9958</v>
          </cell>
          <cell r="AL256">
            <v>4.8173000000000004</v>
          </cell>
          <cell r="AM256">
            <v>5.0457999999999998</v>
          </cell>
          <cell r="AN256">
            <v>4.8322000000000003</v>
          </cell>
          <cell r="AO256">
            <v>4.7073820349665789</v>
          </cell>
          <cell r="AP256">
            <v>4.786228522901153</v>
          </cell>
          <cell r="AQ256">
            <v>4.8877475810506326</v>
          </cell>
          <cell r="AR256">
            <v>4.8252471906559222</v>
          </cell>
          <cell r="AS256">
            <v>5.2111360222245091</v>
          </cell>
          <cell r="AT256">
            <v>4.6700221539092119</v>
          </cell>
          <cell r="AU256">
            <v>4.7910087755102042</v>
          </cell>
          <cell r="AV256">
            <v>4.7549999999999999</v>
          </cell>
          <cell r="AW256">
            <v>4.7616278481012646</v>
          </cell>
          <cell r="AX256">
            <v>4.8963999999999999</v>
          </cell>
          <cell r="AZ256">
            <v>160</v>
          </cell>
          <cell r="BA256">
            <v>160</v>
          </cell>
          <cell r="BC256">
            <v>2028</v>
          </cell>
        </row>
        <row r="257">
          <cell r="D257">
            <v>46997</v>
          </cell>
          <cell r="E257">
            <v>57.15605</v>
          </cell>
          <cell r="F257">
            <v>53.127630000000003</v>
          </cell>
          <cell r="G257">
            <v>55.757129999999997</v>
          </cell>
          <cell r="H257">
            <v>57.342730000000003</v>
          </cell>
          <cell r="J257">
            <v>56.127630000000003</v>
          </cell>
          <cell r="K257">
            <v>57.127630000000003</v>
          </cell>
          <cell r="L257">
            <v>56.127630000000003</v>
          </cell>
          <cell r="M257">
            <v>47.757930000000002</v>
          </cell>
          <cell r="N257">
            <v>46.54213</v>
          </cell>
          <cell r="O257">
            <v>45.033360000000002</v>
          </cell>
          <cell r="P257">
            <v>44.760860000000001</v>
          </cell>
          <cell r="R257">
            <v>45.04213</v>
          </cell>
          <cell r="S257">
            <v>45.04213</v>
          </cell>
          <cell r="T257">
            <v>48.79213</v>
          </cell>
          <cell r="U257">
            <v>52.979107777777777</v>
          </cell>
          <cell r="V257">
            <v>50.200741111111114</v>
          </cell>
          <cell r="W257">
            <v>50.991010000000003</v>
          </cell>
          <cell r="Z257">
            <v>51.200741111111107</v>
          </cell>
          <cell r="AC257">
            <v>4.7262000000000004</v>
          </cell>
          <cell r="AD257">
            <v>4.6848999999999998</v>
          </cell>
          <cell r="AE257">
            <v>4.7123999999999997</v>
          </cell>
          <cell r="AF257">
            <v>4.8364000000000003</v>
          </cell>
          <cell r="AG257">
            <v>4.9466999999999999</v>
          </cell>
          <cell r="AH257">
            <v>4.4644000000000004</v>
          </cell>
          <cell r="AI257">
            <v>5.0845000000000002</v>
          </cell>
          <cell r="AJ257">
            <v>4.8658000000000001</v>
          </cell>
          <cell r="AK257">
            <v>4.9960000000000004</v>
          </cell>
          <cell r="AL257">
            <v>4.8174000000000001</v>
          </cell>
          <cell r="AM257">
            <v>5.0460000000000003</v>
          </cell>
          <cell r="AN257">
            <v>4.8322000000000003</v>
          </cell>
          <cell r="AO257">
            <v>4.7073820349665789</v>
          </cell>
          <cell r="AP257">
            <v>4.786228522901153</v>
          </cell>
          <cell r="AQ257">
            <v>4.8806273452784801</v>
          </cell>
          <cell r="AR257">
            <v>4.8252471906559222</v>
          </cell>
          <cell r="AS257">
            <v>5.2252321226463625</v>
          </cell>
          <cell r="AT257">
            <v>4.6648986781432527</v>
          </cell>
          <cell r="AU257">
            <v>4.7910087755102042</v>
          </cell>
          <cell r="AV257">
            <v>4.7274000000000003</v>
          </cell>
          <cell r="AW257">
            <v>4.7756025316455686</v>
          </cell>
          <cell r="AX257">
            <v>4.9104000000000001</v>
          </cell>
          <cell r="AZ257">
            <v>161</v>
          </cell>
          <cell r="BA257">
            <v>161</v>
          </cell>
          <cell r="BC257">
            <v>2028</v>
          </cell>
        </row>
        <row r="258">
          <cell r="D258">
            <v>47027</v>
          </cell>
          <cell r="E258">
            <v>53.07855</v>
          </cell>
          <cell r="F258">
            <v>51.758580000000002</v>
          </cell>
          <cell r="G258">
            <v>49.691519999999997</v>
          </cell>
          <cell r="H258">
            <v>51.478720000000003</v>
          </cell>
          <cell r="J258">
            <v>51.258580000000002</v>
          </cell>
          <cell r="K258">
            <v>51.758580000000002</v>
          </cell>
          <cell r="L258">
            <v>53.758580000000002</v>
          </cell>
          <cell r="M258">
            <v>43.621740000000003</v>
          </cell>
          <cell r="N258">
            <v>45.716299999999997</v>
          </cell>
          <cell r="O258">
            <v>40.911900000000003</v>
          </cell>
          <cell r="P258">
            <v>44.316000000000003</v>
          </cell>
          <cell r="R258">
            <v>44.716299999999997</v>
          </cell>
          <cell r="S258">
            <v>44.216299999999997</v>
          </cell>
          <cell r="T258">
            <v>47.466299999999997</v>
          </cell>
          <cell r="U258">
            <v>48.909418709677418</v>
          </cell>
          <cell r="V258">
            <v>49.094779139784947</v>
          </cell>
          <cell r="W258">
            <v>45.820934838709675</v>
          </cell>
          <cell r="Z258">
            <v>48.374349032258067</v>
          </cell>
          <cell r="AC258">
            <v>4.8227000000000002</v>
          </cell>
          <cell r="AD258">
            <v>4.7675999999999998</v>
          </cell>
          <cell r="AE258">
            <v>4.7950999999999997</v>
          </cell>
          <cell r="AF258">
            <v>4.8777999999999997</v>
          </cell>
          <cell r="AG258">
            <v>4.9880000000000004</v>
          </cell>
          <cell r="AH258">
            <v>4.5194999999999999</v>
          </cell>
          <cell r="AI258">
            <v>5.1670999999999996</v>
          </cell>
          <cell r="AJ258">
            <v>4.9635999999999996</v>
          </cell>
          <cell r="AK258">
            <v>5.0937999999999999</v>
          </cell>
          <cell r="AL258">
            <v>4.9143999999999997</v>
          </cell>
          <cell r="AM258">
            <v>5.1437999999999997</v>
          </cell>
          <cell r="AN258">
            <v>4.9295999999999998</v>
          </cell>
          <cell r="AO258">
            <v>4.8042326341355706</v>
          </cell>
          <cell r="AP258">
            <v>4.8846677761909616</v>
          </cell>
          <cell r="AQ258">
            <v>4.9659669827215174</v>
          </cell>
          <cell r="AR258">
            <v>4.9236864439457317</v>
          </cell>
          <cell r="AS258">
            <v>5.2678290976437898</v>
          </cell>
          <cell r="AT258">
            <v>4.7663434983092534</v>
          </cell>
          <cell r="AU258">
            <v>4.8894781632653057</v>
          </cell>
          <cell r="AV258">
            <v>4.8101000000000003</v>
          </cell>
          <cell r="AW258">
            <v>4.8593493670886065</v>
          </cell>
          <cell r="AX258">
            <v>4.9955999999999996</v>
          </cell>
          <cell r="AZ258">
            <v>162</v>
          </cell>
          <cell r="BA258">
            <v>162</v>
          </cell>
          <cell r="BC258">
            <v>2028</v>
          </cell>
        </row>
        <row r="259">
          <cell r="D259">
            <v>47058</v>
          </cell>
          <cell r="E259">
            <v>56.234549999999999</v>
          </cell>
          <cell r="F259">
            <v>53.893230000000003</v>
          </cell>
          <cell r="G259">
            <v>52.414929999999998</v>
          </cell>
          <cell r="H259">
            <v>54.852429999999998</v>
          </cell>
          <cell r="J259">
            <v>53.393230000000003</v>
          </cell>
          <cell r="K259">
            <v>52.393230000000003</v>
          </cell>
          <cell r="L259">
            <v>55.893230000000003</v>
          </cell>
          <cell r="M259">
            <v>45.991979999999998</v>
          </cell>
          <cell r="N259">
            <v>46.535130000000002</v>
          </cell>
          <cell r="O259">
            <v>42.373640000000002</v>
          </cell>
          <cell r="P259">
            <v>43.062539999999998</v>
          </cell>
          <cell r="R259">
            <v>46.035130000000002</v>
          </cell>
          <cell r="S259">
            <v>45.035130000000002</v>
          </cell>
          <cell r="T259">
            <v>48.285130000000002</v>
          </cell>
          <cell r="U259">
            <v>51.674404410540916</v>
          </cell>
          <cell r="V259">
            <v>50.617293661581144</v>
          </cell>
          <cell r="W259">
            <v>47.944397281553393</v>
          </cell>
          <cell r="Z259">
            <v>50.117293661581137</v>
          </cell>
          <cell r="AC259">
            <v>4.9880000000000004</v>
          </cell>
          <cell r="AD259">
            <v>5.0293999999999999</v>
          </cell>
          <cell r="AE259">
            <v>5.0156000000000001</v>
          </cell>
          <cell r="AF259">
            <v>5.0018000000000002</v>
          </cell>
          <cell r="AG259">
            <v>5.1120000000000001</v>
          </cell>
          <cell r="AH259">
            <v>4.7812999999999999</v>
          </cell>
          <cell r="AI259">
            <v>5.3186999999999998</v>
          </cell>
          <cell r="AJ259">
            <v>5.1353999999999997</v>
          </cell>
          <cell r="AK259">
            <v>5.2660999999999998</v>
          </cell>
          <cell r="AL259">
            <v>5.0824999999999996</v>
          </cell>
          <cell r="AM259">
            <v>5.3160999999999996</v>
          </cell>
          <cell r="AN259">
            <v>5.0994999999999999</v>
          </cell>
          <cell r="AO259">
            <v>4.9701331941628695</v>
          </cell>
          <cell r="AP259">
            <v>5.0532896266449043</v>
          </cell>
          <cell r="AQ259">
            <v>5.2148140633670881</v>
          </cell>
          <cell r="AR259">
            <v>5.0923082943996745</v>
          </cell>
          <cell r="AS259">
            <v>5.3954142401481633</v>
          </cell>
          <cell r="AT259">
            <v>5.0125777436212724</v>
          </cell>
          <cell r="AU259">
            <v>5.0581516326530611</v>
          </cell>
          <cell r="AV259">
            <v>5.0305999999999997</v>
          </cell>
          <cell r="AW259">
            <v>5.1244632911392394</v>
          </cell>
          <cell r="AX259">
            <v>5.2964000000000002</v>
          </cell>
          <cell r="AZ259">
            <v>163</v>
          </cell>
          <cell r="BA259">
            <v>163</v>
          </cell>
          <cell r="BC259">
            <v>2028</v>
          </cell>
        </row>
        <row r="260">
          <cell r="D260">
            <v>47088</v>
          </cell>
          <cell r="E260">
            <v>57.911020000000001</v>
          </cell>
          <cell r="F260">
            <v>55.700209999999998</v>
          </cell>
          <cell r="G260">
            <v>54.888620000000003</v>
          </cell>
          <cell r="H260">
            <v>57.616419999999998</v>
          </cell>
          <cell r="J260">
            <v>55.200209999999998</v>
          </cell>
          <cell r="K260">
            <v>54.950209999999998</v>
          </cell>
          <cell r="L260">
            <v>57.700209999999998</v>
          </cell>
          <cell r="M260">
            <v>49.09449</v>
          </cell>
          <cell r="N260">
            <v>49.313189999999999</v>
          </cell>
          <cell r="O260">
            <v>45.494239999999998</v>
          </cell>
          <cell r="P260">
            <v>48.30874</v>
          </cell>
          <cell r="R260">
            <v>48.813189999999999</v>
          </cell>
          <cell r="S260">
            <v>48.313189999999999</v>
          </cell>
          <cell r="T260">
            <v>51.063189999999999</v>
          </cell>
          <cell r="U260">
            <v>53.834559892473116</v>
          </cell>
          <cell r="V260">
            <v>52.747071720430107</v>
          </cell>
          <cell r="W260">
            <v>50.544981935483875</v>
          </cell>
          <cell r="Z260">
            <v>52.247071720430107</v>
          </cell>
          <cell r="AC260">
            <v>5.2911999999999999</v>
          </cell>
          <cell r="AD260">
            <v>5.2636000000000003</v>
          </cell>
          <cell r="AE260">
            <v>5.2497999999999996</v>
          </cell>
          <cell r="AF260">
            <v>5.3738000000000001</v>
          </cell>
          <cell r="AG260">
            <v>5.4013999999999998</v>
          </cell>
          <cell r="AH260">
            <v>4.9191000000000003</v>
          </cell>
          <cell r="AI260">
            <v>5.5667</v>
          </cell>
          <cell r="AJ260">
            <v>5.4439000000000002</v>
          </cell>
          <cell r="AK260">
            <v>5.5749000000000004</v>
          </cell>
          <cell r="AL260">
            <v>5.3879000000000001</v>
          </cell>
          <cell r="AM260">
            <v>5.6249000000000002</v>
          </cell>
          <cell r="AN260">
            <v>5.4062999999999999</v>
          </cell>
          <cell r="AO260">
            <v>5.2744347658523854</v>
          </cell>
          <cell r="AP260">
            <v>5.3625827001938182</v>
          </cell>
          <cell r="AQ260">
            <v>5.4564893123291132</v>
          </cell>
          <cell r="AR260">
            <v>5.4016013679485875</v>
          </cell>
          <cell r="AS260">
            <v>5.7781696676612819</v>
          </cell>
          <cell r="AT260">
            <v>5.3053331488882058</v>
          </cell>
          <cell r="AU260">
            <v>5.3675393877551016</v>
          </cell>
          <cell r="AV260">
            <v>5.2648000000000001</v>
          </cell>
          <cell r="AW260">
            <v>5.3616278481012651</v>
          </cell>
          <cell r="AX260">
            <v>5.5407000000000002</v>
          </cell>
          <cell r="AZ260">
            <v>164</v>
          </cell>
          <cell r="BA260">
            <v>164</v>
          </cell>
          <cell r="BC260">
            <v>2028</v>
          </cell>
        </row>
        <row r="261">
          <cell r="D261">
            <v>47119</v>
          </cell>
          <cell r="E261">
            <v>56.970260000000003</v>
          </cell>
          <cell r="F261">
            <v>55.746229999999997</v>
          </cell>
          <cell r="G261">
            <v>53.110799999999998</v>
          </cell>
          <cell r="H261">
            <v>56.9193</v>
          </cell>
          <cell r="J261">
            <v>55.246229999999997</v>
          </cell>
          <cell r="K261">
            <v>55.246229999999997</v>
          </cell>
          <cell r="L261">
            <v>57.996229999999997</v>
          </cell>
          <cell r="M261">
            <v>47.00779</v>
          </cell>
          <cell r="N261">
            <v>48.964979999999997</v>
          </cell>
          <cell r="O261">
            <v>43.296120000000002</v>
          </cell>
          <cell r="P261">
            <v>46.540619999999997</v>
          </cell>
          <cell r="R261">
            <v>48.464979999999997</v>
          </cell>
          <cell r="S261">
            <v>48.464979999999997</v>
          </cell>
          <cell r="T261">
            <v>51.214979999999997</v>
          </cell>
          <cell r="U261">
            <v>52.578203333333335</v>
          </cell>
          <cell r="V261">
            <v>52.756646666666661</v>
          </cell>
          <cell r="W261">
            <v>48.78389806451613</v>
          </cell>
          <cell r="Z261">
            <v>52.256646666666654</v>
          </cell>
          <cell r="AC261">
            <v>5.3601000000000001</v>
          </cell>
          <cell r="AD261">
            <v>5.3319000000000001</v>
          </cell>
          <cell r="AE261">
            <v>5.3037999999999998</v>
          </cell>
          <cell r="AF261">
            <v>5.3882000000000003</v>
          </cell>
          <cell r="AG261">
            <v>5.4162999999999997</v>
          </cell>
          <cell r="AH261">
            <v>4.9238999999999997</v>
          </cell>
          <cell r="AI261">
            <v>5.5852000000000004</v>
          </cell>
          <cell r="AJ261">
            <v>5.5171999999999999</v>
          </cell>
          <cell r="AK261">
            <v>5.6483999999999996</v>
          </cell>
          <cell r="AL261">
            <v>5.4585999999999997</v>
          </cell>
          <cell r="AM261">
            <v>5.6984000000000004</v>
          </cell>
          <cell r="AN261">
            <v>5.4782999999999999</v>
          </cell>
          <cell r="AO261">
            <v>5.3435850900258934</v>
          </cell>
          <cell r="AP261">
            <v>5.4328673069468527</v>
          </cell>
          <cell r="AQ261">
            <v>5.5195911119620247</v>
          </cell>
          <cell r="AR261">
            <v>5.471885974701622</v>
          </cell>
          <cell r="AS261">
            <v>5.7929860067908221</v>
          </cell>
          <cell r="AT261">
            <v>5.4502250435495441</v>
          </cell>
          <cell r="AU261">
            <v>5.437845510204081</v>
          </cell>
          <cell r="AV261">
            <v>5.3188000000000004</v>
          </cell>
          <cell r="AW261">
            <v>5.4307924050632899</v>
          </cell>
          <cell r="AX261">
            <v>5.6172000000000004</v>
          </cell>
          <cell r="AZ261">
            <v>165</v>
          </cell>
          <cell r="BA261">
            <v>165</v>
          </cell>
          <cell r="BC261">
            <v>2029</v>
          </cell>
        </row>
        <row r="262">
          <cell r="D262">
            <v>47150</v>
          </cell>
          <cell r="E262">
            <v>59.365830000000003</v>
          </cell>
          <cell r="F262">
            <v>55.973129999999998</v>
          </cell>
          <cell r="G262">
            <v>56.161639999999998</v>
          </cell>
          <cell r="H262">
            <v>60.119639999999997</v>
          </cell>
          <cell r="J262">
            <v>55.973129999999998</v>
          </cell>
          <cell r="K262">
            <v>54.973129999999998</v>
          </cell>
          <cell r="L262">
            <v>58.223129999999998</v>
          </cell>
          <cell r="M262">
            <v>49.54204</v>
          </cell>
          <cell r="N262">
            <v>50.546759999999999</v>
          </cell>
          <cell r="O262">
            <v>46.431959999999997</v>
          </cell>
          <cell r="P262">
            <v>49.318260000000002</v>
          </cell>
          <cell r="R262">
            <v>50.046759999999999</v>
          </cell>
          <cell r="S262">
            <v>49.296759999999999</v>
          </cell>
          <cell r="T262">
            <v>52.546759999999999</v>
          </cell>
          <cell r="U262">
            <v>55.155634285714292</v>
          </cell>
          <cell r="V262">
            <v>53.647542857142845</v>
          </cell>
          <cell r="W262">
            <v>51.991777142857138</v>
          </cell>
          <cell r="Z262">
            <v>53.433257142857144</v>
          </cell>
          <cell r="AC262">
            <v>5.3741000000000003</v>
          </cell>
          <cell r="AD262">
            <v>5.3741000000000003</v>
          </cell>
          <cell r="AE262">
            <v>5.3460000000000001</v>
          </cell>
          <cell r="AF262">
            <v>5.3741000000000003</v>
          </cell>
          <cell r="AG262">
            <v>5.4584999999999999</v>
          </cell>
          <cell r="AH262">
            <v>4.9238999999999997</v>
          </cell>
          <cell r="AI262">
            <v>5.6132999999999997</v>
          </cell>
          <cell r="AJ262">
            <v>5.5307000000000004</v>
          </cell>
          <cell r="AK262">
            <v>5.6619000000000002</v>
          </cell>
          <cell r="AL262">
            <v>5.4725000000000001</v>
          </cell>
          <cell r="AM262">
            <v>5.7119</v>
          </cell>
          <cell r="AN262">
            <v>5.492</v>
          </cell>
          <cell r="AO262">
            <v>5.3576359541540377</v>
          </cell>
          <cell r="AP262">
            <v>5.4471486493930428</v>
          </cell>
          <cell r="AQ262">
            <v>5.5631380611772148</v>
          </cell>
          <cell r="AR262">
            <v>5.4861673171478129</v>
          </cell>
          <cell r="AS262">
            <v>5.7784783413931473</v>
          </cell>
          <cell r="AT262">
            <v>5.4799412029921104</v>
          </cell>
          <cell r="AU262">
            <v>5.4521312244897961</v>
          </cell>
          <cell r="AV262">
            <v>5.3609999999999998</v>
          </cell>
          <cell r="AW262">
            <v>5.4735265822784802</v>
          </cell>
          <cell r="AX262">
            <v>5.6584000000000003</v>
          </cell>
          <cell r="AZ262">
            <v>166</v>
          </cell>
          <cell r="BA262">
            <v>166</v>
          </cell>
          <cell r="BC262">
            <v>2029</v>
          </cell>
        </row>
        <row r="263">
          <cell r="D263">
            <v>47178</v>
          </cell>
          <cell r="E263">
            <v>52.15992</v>
          </cell>
          <cell r="F263">
            <v>52.017890000000001</v>
          </cell>
          <cell r="G263">
            <v>48.867319999999999</v>
          </cell>
          <cell r="H263">
            <v>52.665819999999997</v>
          </cell>
          <cell r="J263">
            <v>52.017890000000001</v>
          </cell>
          <cell r="K263">
            <v>51.017890000000001</v>
          </cell>
          <cell r="L263">
            <v>54.267890000000001</v>
          </cell>
          <cell r="M263">
            <v>43.700569999999999</v>
          </cell>
          <cell r="N263">
            <v>47.588970000000003</v>
          </cell>
          <cell r="O263">
            <v>41.345649999999999</v>
          </cell>
          <cell r="P263">
            <v>44.541150000000002</v>
          </cell>
          <cell r="R263">
            <v>47.088970000000003</v>
          </cell>
          <cell r="S263">
            <v>46.088970000000003</v>
          </cell>
          <cell r="T263">
            <v>49.588970000000003</v>
          </cell>
          <cell r="U263">
            <v>48.619061520861379</v>
          </cell>
          <cell r="V263">
            <v>50.164062113055181</v>
          </cell>
          <cell r="W263">
            <v>45.71894938088829</v>
          </cell>
          <cell r="Z263">
            <v>49.954775437415883</v>
          </cell>
          <cell r="AC263">
            <v>5.1631</v>
          </cell>
          <cell r="AD263">
            <v>5.1349999999999998</v>
          </cell>
          <cell r="AE263">
            <v>5.1349999999999998</v>
          </cell>
          <cell r="AF263">
            <v>5.149</v>
          </cell>
          <cell r="AG263">
            <v>5.2756999999999996</v>
          </cell>
          <cell r="AH263">
            <v>4.6425999999999998</v>
          </cell>
          <cell r="AI263">
            <v>5.3741000000000003</v>
          </cell>
          <cell r="AJ263">
            <v>5.3175999999999997</v>
          </cell>
          <cell r="AK263">
            <v>5.4486999999999997</v>
          </cell>
          <cell r="AL263">
            <v>5.2606000000000002</v>
          </cell>
          <cell r="AM263">
            <v>5.4987000000000004</v>
          </cell>
          <cell r="AN263">
            <v>5.2794999999999996</v>
          </cell>
          <cell r="AO263">
            <v>5.1458693590798683</v>
          </cell>
          <cell r="AP263">
            <v>5.23190841681118</v>
          </cell>
          <cell r="AQ263">
            <v>5.3309048639999999</v>
          </cell>
          <cell r="AR263">
            <v>5.2709270845659493</v>
          </cell>
          <cell r="AS263">
            <v>5.5468701512501282</v>
          </cell>
          <cell r="AT263">
            <v>5.0613532329132083</v>
          </cell>
          <cell r="AU263">
            <v>5.2368251020408163</v>
          </cell>
          <cell r="AV263">
            <v>5.15</v>
          </cell>
          <cell r="AW263">
            <v>5.2313999999999989</v>
          </cell>
          <cell r="AX263">
            <v>5.4153000000000002</v>
          </cell>
          <cell r="AZ263">
            <v>167</v>
          </cell>
          <cell r="BA263">
            <v>167</v>
          </cell>
          <cell r="BC263">
            <v>2029</v>
          </cell>
        </row>
        <row r="264">
          <cell r="D264">
            <v>47209</v>
          </cell>
          <cell r="E264">
            <v>49.189329999999998</v>
          </cell>
          <cell r="F264">
            <v>49.208309999999997</v>
          </cell>
          <cell r="G264">
            <v>45.942810000000001</v>
          </cell>
          <cell r="H264">
            <v>47.441409999999998</v>
          </cell>
          <cell r="J264">
            <v>47.708309999999997</v>
          </cell>
          <cell r="K264">
            <v>47.708309999999997</v>
          </cell>
          <cell r="L264">
            <v>51.208309999999997</v>
          </cell>
          <cell r="M264">
            <v>42.916310000000003</v>
          </cell>
          <cell r="N264">
            <v>45.46725</v>
          </cell>
          <cell r="O264">
            <v>39.969180000000001</v>
          </cell>
          <cell r="P264">
            <v>46.644779999999997</v>
          </cell>
          <cell r="R264">
            <v>44.71725</v>
          </cell>
          <cell r="S264">
            <v>44.46725</v>
          </cell>
          <cell r="T264">
            <v>47.46725</v>
          </cell>
          <cell r="U264">
            <v>46.401321111111109</v>
          </cell>
          <cell r="V264">
            <v>47.545616666666668</v>
          </cell>
          <cell r="W264">
            <v>43.287863333333334</v>
          </cell>
          <cell r="Z264">
            <v>46.378949999999996</v>
          </cell>
          <cell r="AC264">
            <v>4.8817000000000004</v>
          </cell>
          <cell r="AD264">
            <v>4.8536000000000001</v>
          </cell>
          <cell r="AE264">
            <v>4.9238999999999997</v>
          </cell>
          <cell r="AF264">
            <v>4.9379999999999997</v>
          </cell>
          <cell r="AG264">
            <v>5.0928000000000004</v>
          </cell>
          <cell r="AH264">
            <v>4.3331</v>
          </cell>
          <cell r="AI264">
            <v>5.1631</v>
          </cell>
          <cell r="AJ264">
            <v>5.0240999999999998</v>
          </cell>
          <cell r="AK264">
            <v>5.1543999999999999</v>
          </cell>
          <cell r="AL264">
            <v>4.9741</v>
          </cell>
          <cell r="AM264">
            <v>5.2043999999999997</v>
          </cell>
          <cell r="AN264">
            <v>4.9897</v>
          </cell>
          <cell r="AO264">
            <v>4.863446990104177</v>
          </cell>
          <cell r="AP264">
            <v>4.9448534336427628</v>
          </cell>
          <cell r="AQ264">
            <v>5.0767950003924041</v>
          </cell>
          <cell r="AR264">
            <v>4.983872101397532</v>
          </cell>
          <cell r="AS264">
            <v>5.3297696265047838</v>
          </cell>
          <cell r="AT264">
            <v>4.6705345014858084</v>
          </cell>
          <cell r="AU264">
            <v>4.9496822448979589</v>
          </cell>
          <cell r="AV264">
            <v>4.9389000000000003</v>
          </cell>
          <cell r="AW264">
            <v>4.9464379746835432</v>
          </cell>
          <cell r="AX264">
            <v>5.0793999999999997</v>
          </cell>
          <cell r="AZ264">
            <v>168</v>
          </cell>
          <cell r="BA264">
            <v>168</v>
          </cell>
          <cell r="BC264">
            <v>2029</v>
          </cell>
        </row>
        <row r="265">
          <cell r="D265">
            <v>47239</v>
          </cell>
          <cell r="E265">
            <v>42.929549999999999</v>
          </cell>
          <cell r="F265">
            <v>46.268630000000002</v>
          </cell>
          <cell r="G265">
            <v>39.187690000000003</v>
          </cell>
          <cell r="H265">
            <v>44.421390000000002</v>
          </cell>
          <cell r="J265">
            <v>46.268630000000002</v>
          </cell>
          <cell r="K265">
            <v>46.268630000000002</v>
          </cell>
          <cell r="L265">
            <v>48.268630000000002</v>
          </cell>
          <cell r="M265">
            <v>35.16198</v>
          </cell>
          <cell r="N265">
            <v>42.352879999999999</v>
          </cell>
          <cell r="O265">
            <v>31.757819999999999</v>
          </cell>
          <cell r="P265">
            <v>36.40372</v>
          </cell>
          <cell r="R265">
            <v>42.352879999999999</v>
          </cell>
          <cell r="S265">
            <v>41.852879999999999</v>
          </cell>
          <cell r="T265">
            <v>44.102879999999999</v>
          </cell>
          <cell r="U265">
            <v>39.505137419354838</v>
          </cell>
          <cell r="V265">
            <v>44.542331612903226</v>
          </cell>
          <cell r="W265">
            <v>35.912155913978495</v>
          </cell>
          <cell r="Z265">
            <v>44.542331612903226</v>
          </cell>
          <cell r="AC265">
            <v>4.6707000000000001</v>
          </cell>
          <cell r="AD265">
            <v>4.516</v>
          </cell>
          <cell r="AE265">
            <v>4.7129000000000003</v>
          </cell>
          <cell r="AF265">
            <v>4.7832999999999997</v>
          </cell>
          <cell r="AG265">
            <v>4.9379999999999997</v>
          </cell>
          <cell r="AH265">
            <v>4.2626999999999997</v>
          </cell>
          <cell r="AI265">
            <v>4.9520999999999997</v>
          </cell>
          <cell r="AJ265">
            <v>4.8067000000000002</v>
          </cell>
          <cell r="AK265">
            <v>4.9366000000000003</v>
          </cell>
          <cell r="AL265">
            <v>4.7603999999999997</v>
          </cell>
          <cell r="AM265">
            <v>4.9866000000000001</v>
          </cell>
          <cell r="AN265">
            <v>4.7742000000000004</v>
          </cell>
          <cell r="AO265">
            <v>4.6516803950300085</v>
          </cell>
          <cell r="AP265">
            <v>4.7296132010608991</v>
          </cell>
          <cell r="AQ265">
            <v>4.7937398304936698</v>
          </cell>
          <cell r="AR265">
            <v>4.7686318688156693</v>
          </cell>
          <cell r="AS265">
            <v>5.1705968721061835</v>
          </cell>
          <cell r="AT265">
            <v>4.6054663592581209</v>
          </cell>
          <cell r="AU265">
            <v>4.7343761224489791</v>
          </cell>
          <cell r="AV265">
            <v>4.7279</v>
          </cell>
          <cell r="AW265">
            <v>4.6045645569620239</v>
          </cell>
          <cell r="AX265">
            <v>4.7347999999999999</v>
          </cell>
          <cell r="AZ265">
            <v>169</v>
          </cell>
          <cell r="BA265">
            <v>169</v>
          </cell>
          <cell r="BC265">
            <v>2029</v>
          </cell>
        </row>
        <row r="266">
          <cell r="D266">
            <v>47270</v>
          </cell>
          <cell r="E266">
            <v>46.978079999999999</v>
          </cell>
          <cell r="F266">
            <v>49.2104</v>
          </cell>
          <cell r="G266">
            <v>43.054020000000001</v>
          </cell>
          <cell r="H266">
            <v>49.70552</v>
          </cell>
          <cell r="J266">
            <v>48.4604</v>
          </cell>
          <cell r="K266">
            <v>49.2104</v>
          </cell>
          <cell r="L266">
            <v>51.7104</v>
          </cell>
          <cell r="M266">
            <v>36.725610000000003</v>
          </cell>
          <cell r="N266">
            <v>43.35127</v>
          </cell>
          <cell r="O266">
            <v>33.292929999999998</v>
          </cell>
          <cell r="P266">
            <v>40.132629999999999</v>
          </cell>
          <cell r="R266">
            <v>42.85127</v>
          </cell>
          <cell r="S266">
            <v>42.85127</v>
          </cell>
          <cell r="T266">
            <v>45.60127</v>
          </cell>
          <cell r="U266">
            <v>42.64925933333334</v>
          </cell>
          <cell r="V266">
            <v>46.736545111111113</v>
          </cell>
          <cell r="W266">
            <v>38.932670888888886</v>
          </cell>
          <cell r="Z266">
            <v>46.092100666666667</v>
          </cell>
          <cell r="AC266">
            <v>4.6566000000000001</v>
          </cell>
          <cell r="AD266">
            <v>4.53</v>
          </cell>
          <cell r="AE266">
            <v>4.7129000000000003</v>
          </cell>
          <cell r="AF266">
            <v>4.8395000000000001</v>
          </cell>
          <cell r="AG266">
            <v>4.9802</v>
          </cell>
          <cell r="AH266">
            <v>4.2767999999999997</v>
          </cell>
          <cell r="AI266">
            <v>4.9943</v>
          </cell>
          <cell r="AJ266">
            <v>4.7935999999999996</v>
          </cell>
          <cell r="AK266">
            <v>4.9236000000000004</v>
          </cell>
          <cell r="AL266">
            <v>4.7466999999999997</v>
          </cell>
          <cell r="AM266">
            <v>4.9736000000000002</v>
          </cell>
          <cell r="AN266">
            <v>4.7609000000000004</v>
          </cell>
          <cell r="AO266">
            <v>4.6375291675866634</v>
          </cell>
          <cell r="AP266">
            <v>4.7152298490258078</v>
          </cell>
          <cell r="AQ266">
            <v>4.8009632580886077</v>
          </cell>
          <cell r="AR266">
            <v>4.7542485167805779</v>
          </cell>
          <cell r="AS266">
            <v>5.2284217512089723</v>
          </cell>
          <cell r="AT266">
            <v>4.5782094681832159</v>
          </cell>
          <cell r="AU266">
            <v>4.7199883673469385</v>
          </cell>
          <cell r="AV266">
            <v>4.7279</v>
          </cell>
          <cell r="AW266">
            <v>4.618741772151898</v>
          </cell>
          <cell r="AX266">
            <v>4.7507000000000001</v>
          </cell>
          <cell r="AZ266">
            <v>170</v>
          </cell>
          <cell r="BA266">
            <v>170</v>
          </cell>
          <cell r="BC266">
            <v>2029</v>
          </cell>
        </row>
        <row r="267">
          <cell r="D267">
            <v>47300</v>
          </cell>
          <cell r="E267">
            <v>53.11674</v>
          </cell>
          <cell r="F267">
            <v>54.797600000000003</v>
          </cell>
          <cell r="G267">
            <v>48.92257</v>
          </cell>
          <cell r="H267">
            <v>54.532870000000003</v>
          </cell>
          <cell r="J267">
            <v>59.797600000000003</v>
          </cell>
          <cell r="K267">
            <v>60.297600000000003</v>
          </cell>
          <cell r="L267">
            <v>59.047600000000003</v>
          </cell>
          <cell r="M267">
            <v>43.051789999999997</v>
          </cell>
          <cell r="N267">
            <v>46.882820000000002</v>
          </cell>
          <cell r="O267">
            <v>39.30048</v>
          </cell>
          <cell r="P267">
            <v>44.439680000000003</v>
          </cell>
          <cell r="R267">
            <v>47.882820000000002</v>
          </cell>
          <cell r="S267">
            <v>47.882820000000002</v>
          </cell>
          <cell r="T267">
            <v>49.382820000000002</v>
          </cell>
          <cell r="U267">
            <v>48.463053440860222</v>
          </cell>
          <cell r="V267">
            <v>51.138078064516129</v>
          </cell>
          <cell r="W267">
            <v>44.473646666666667</v>
          </cell>
          <cell r="Z267">
            <v>54.288615698924737</v>
          </cell>
          <cell r="AC267">
            <v>4.6707000000000001</v>
          </cell>
          <cell r="AD267">
            <v>4.5441000000000003</v>
          </cell>
          <cell r="AE267">
            <v>4.6989000000000001</v>
          </cell>
          <cell r="AF267">
            <v>4.8536000000000001</v>
          </cell>
          <cell r="AG267">
            <v>5.0224000000000002</v>
          </cell>
          <cell r="AH267">
            <v>4.319</v>
          </cell>
          <cell r="AI267">
            <v>5.0506000000000002</v>
          </cell>
          <cell r="AJ267">
            <v>4.8090000000000002</v>
          </cell>
          <cell r="AK267">
            <v>4.9390000000000001</v>
          </cell>
          <cell r="AL267">
            <v>4.7613000000000003</v>
          </cell>
          <cell r="AM267">
            <v>4.9889999999999999</v>
          </cell>
          <cell r="AN267">
            <v>4.7758000000000003</v>
          </cell>
          <cell r="AO267">
            <v>4.6516803950300085</v>
          </cell>
          <cell r="AP267">
            <v>4.7296132010608991</v>
          </cell>
          <cell r="AQ267">
            <v>4.8010148539999991</v>
          </cell>
          <cell r="AR267">
            <v>4.7686318688156693</v>
          </cell>
          <cell r="AS267">
            <v>5.2429294166066471</v>
          </cell>
          <cell r="AT267">
            <v>4.6131515729070598</v>
          </cell>
          <cell r="AU267">
            <v>4.7343761224489791</v>
          </cell>
          <cell r="AV267">
            <v>4.7138999999999998</v>
          </cell>
          <cell r="AW267">
            <v>4.6330202531645561</v>
          </cell>
          <cell r="AX267">
            <v>4.7671999999999999</v>
          </cell>
          <cell r="AZ267">
            <v>171</v>
          </cell>
          <cell r="BA267">
            <v>171</v>
          </cell>
          <cell r="BC267">
            <v>2029</v>
          </cell>
        </row>
        <row r="268">
          <cell r="D268">
            <v>47331</v>
          </cell>
          <cell r="E268">
            <v>60.439079999999997</v>
          </cell>
          <cell r="F268">
            <v>58.088749999999997</v>
          </cell>
          <cell r="G268">
            <v>56.260109999999997</v>
          </cell>
          <cell r="H268">
            <v>58.323009999999996</v>
          </cell>
          <cell r="J268">
            <v>62.588749999999997</v>
          </cell>
          <cell r="K268">
            <v>63.588749999999997</v>
          </cell>
          <cell r="L268">
            <v>61.838749999999997</v>
          </cell>
          <cell r="M268">
            <v>46.615920000000003</v>
          </cell>
          <cell r="N268">
            <v>48.352609999999999</v>
          </cell>
          <cell r="O268">
            <v>42.762419999999999</v>
          </cell>
          <cell r="P268">
            <v>47.559420000000003</v>
          </cell>
          <cell r="R268">
            <v>49.352609999999999</v>
          </cell>
          <cell r="S268">
            <v>49.352609999999999</v>
          </cell>
          <cell r="T268">
            <v>50.852609999999999</v>
          </cell>
          <cell r="U268">
            <v>54.642270967741936</v>
          </cell>
          <cell r="V268">
            <v>54.005852580645161</v>
          </cell>
          <cell r="W268">
            <v>50.599788387096773</v>
          </cell>
          <cell r="Z268">
            <v>57.038110645161289</v>
          </cell>
          <cell r="AC268">
            <v>4.7832999999999997</v>
          </cell>
          <cell r="AD268">
            <v>4.7411000000000003</v>
          </cell>
          <cell r="AE268">
            <v>4.7972999999999999</v>
          </cell>
          <cell r="AF268">
            <v>4.8677000000000001</v>
          </cell>
          <cell r="AG268">
            <v>5.0646000000000004</v>
          </cell>
          <cell r="AH268">
            <v>4.3753000000000002</v>
          </cell>
          <cell r="AI268">
            <v>5.149</v>
          </cell>
          <cell r="AJ268">
            <v>4.9226999999999999</v>
          </cell>
          <cell r="AK268">
            <v>5.0529000000000002</v>
          </cell>
          <cell r="AL268">
            <v>4.8743999999999996</v>
          </cell>
          <cell r="AM268">
            <v>5.1029</v>
          </cell>
          <cell r="AN268">
            <v>4.8891999999999998</v>
          </cell>
          <cell r="AO268">
            <v>4.7646894879463657</v>
          </cell>
          <cell r="AP268">
            <v>4.8444759981638272</v>
          </cell>
          <cell r="AQ268">
            <v>4.953429176253163</v>
          </cell>
          <cell r="AR268">
            <v>4.8834946659185965</v>
          </cell>
          <cell r="AS268">
            <v>5.257437082004321</v>
          </cell>
          <cell r="AT268">
            <v>4.7285322471564717</v>
          </cell>
          <cell r="AU268">
            <v>4.8492740816326529</v>
          </cell>
          <cell r="AV268">
            <v>4.8122999999999996</v>
          </cell>
          <cell r="AW268">
            <v>4.8325139240506321</v>
          </cell>
          <cell r="AX268">
            <v>4.9664000000000001</v>
          </cell>
          <cell r="AZ268">
            <v>172</v>
          </cell>
          <cell r="BA268">
            <v>172</v>
          </cell>
          <cell r="BC268">
            <v>2029</v>
          </cell>
        </row>
        <row r="269">
          <cell r="D269">
            <v>47362</v>
          </cell>
          <cell r="E269">
            <v>58.410200000000003</v>
          </cell>
          <cell r="F269">
            <v>54.352429999999998</v>
          </cell>
          <cell r="G269">
            <v>56.660209999999999</v>
          </cell>
          <cell r="H269">
            <v>58.245809999999999</v>
          </cell>
          <cell r="J269">
            <v>57.352429999999998</v>
          </cell>
          <cell r="K269">
            <v>58.352429999999998</v>
          </cell>
          <cell r="L269">
            <v>57.352429999999998</v>
          </cell>
          <cell r="M269">
            <v>48.861609999999999</v>
          </cell>
          <cell r="N269">
            <v>47.289250000000003</v>
          </cell>
          <cell r="O269">
            <v>45.967750000000002</v>
          </cell>
          <cell r="P269">
            <v>45.695250000000001</v>
          </cell>
          <cell r="R269">
            <v>45.789250000000003</v>
          </cell>
          <cell r="S269">
            <v>45.789250000000003</v>
          </cell>
          <cell r="T269">
            <v>49.539250000000003</v>
          </cell>
          <cell r="U269">
            <v>53.954191333333334</v>
          </cell>
          <cell r="V269">
            <v>51.056279333333336</v>
          </cell>
          <cell r="W269">
            <v>51.670395333333332</v>
          </cell>
          <cell r="Z269">
            <v>51.956279333333335</v>
          </cell>
          <cell r="AC269">
            <v>4.7270000000000003</v>
          </cell>
          <cell r="AD269">
            <v>4.6707000000000001</v>
          </cell>
          <cell r="AE269">
            <v>4.7129000000000003</v>
          </cell>
          <cell r="AF269">
            <v>4.8254999999999999</v>
          </cell>
          <cell r="AG269">
            <v>4.9379999999999997</v>
          </cell>
          <cell r="AH269">
            <v>4.4878</v>
          </cell>
          <cell r="AI269">
            <v>5.1349999999999998</v>
          </cell>
          <cell r="AJ269">
            <v>4.8666</v>
          </cell>
          <cell r="AK269">
            <v>4.9966999999999997</v>
          </cell>
          <cell r="AL269">
            <v>4.8182</v>
          </cell>
          <cell r="AM269">
            <v>5.0467000000000004</v>
          </cell>
          <cell r="AN269">
            <v>4.8330000000000002</v>
          </cell>
          <cell r="AO269">
            <v>4.7081849414881871</v>
          </cell>
          <cell r="AP269">
            <v>4.7870445996123632</v>
          </cell>
          <cell r="AQ269">
            <v>4.8735587054177207</v>
          </cell>
          <cell r="AR269">
            <v>4.8260632673671333</v>
          </cell>
          <cell r="AS269">
            <v>5.2140169770552527</v>
          </cell>
          <cell r="AT269">
            <v>4.6657184342658065</v>
          </cell>
          <cell r="AU269">
            <v>4.791825102040816</v>
          </cell>
          <cell r="AV269">
            <v>4.7279</v>
          </cell>
          <cell r="AW269">
            <v>4.7612227848101254</v>
          </cell>
          <cell r="AX269">
            <v>4.8963000000000001</v>
          </cell>
          <cell r="AZ269">
            <v>173</v>
          </cell>
          <cell r="BA269">
            <v>173</v>
          </cell>
          <cell r="BC269">
            <v>2029</v>
          </cell>
        </row>
        <row r="270">
          <cell r="D270">
            <v>47392</v>
          </cell>
          <cell r="E270">
            <v>52.816400000000002</v>
          </cell>
          <cell r="F270">
            <v>51.854230000000001</v>
          </cell>
          <cell r="G270">
            <v>49.080150000000003</v>
          </cell>
          <cell r="H270">
            <v>50.867350000000002</v>
          </cell>
          <cell r="J270">
            <v>51.354230000000001</v>
          </cell>
          <cell r="K270">
            <v>51.854230000000001</v>
          </cell>
          <cell r="L270">
            <v>53.854230000000001</v>
          </cell>
          <cell r="M270">
            <v>43.361220000000003</v>
          </cell>
          <cell r="N270">
            <v>45.455440000000003</v>
          </cell>
          <cell r="O270">
            <v>40.36486</v>
          </cell>
          <cell r="P270">
            <v>43.76896</v>
          </cell>
          <cell r="R270">
            <v>44.455440000000003</v>
          </cell>
          <cell r="S270">
            <v>43.955440000000003</v>
          </cell>
          <cell r="T270">
            <v>47.205440000000003</v>
          </cell>
          <cell r="U270">
            <v>48.851324516129033</v>
          </cell>
          <cell r="V270">
            <v>49.170866451612902</v>
          </cell>
          <cell r="W270">
            <v>45.425350967741934</v>
          </cell>
          <cell r="Z270">
            <v>48.461189032258062</v>
          </cell>
          <cell r="AC270">
            <v>4.8254999999999999</v>
          </cell>
          <cell r="AD270">
            <v>4.7691999999999997</v>
          </cell>
          <cell r="AE270">
            <v>4.7972999999999999</v>
          </cell>
          <cell r="AF270">
            <v>4.8536000000000001</v>
          </cell>
          <cell r="AG270">
            <v>4.9802</v>
          </cell>
          <cell r="AH270">
            <v>4.53</v>
          </cell>
          <cell r="AI270">
            <v>5.2053000000000003</v>
          </cell>
          <cell r="AJ270">
            <v>4.9664000000000001</v>
          </cell>
          <cell r="AK270">
            <v>5.0965999999999996</v>
          </cell>
          <cell r="AL270">
            <v>4.9172000000000002</v>
          </cell>
          <cell r="AM270">
            <v>5.1466000000000003</v>
          </cell>
          <cell r="AN270">
            <v>4.9324000000000003</v>
          </cell>
          <cell r="AO270">
            <v>4.8070428069611992</v>
          </cell>
          <cell r="AP270">
            <v>4.8875240446801991</v>
          </cell>
          <cell r="AQ270">
            <v>4.9679276273544293</v>
          </cell>
          <cell r="AR270">
            <v>4.9265427124349692</v>
          </cell>
          <cell r="AS270">
            <v>5.2429294166066471</v>
          </cell>
          <cell r="AT270">
            <v>4.7692126447381904</v>
          </cell>
          <cell r="AU270">
            <v>4.8923353061224484</v>
          </cell>
          <cell r="AV270">
            <v>4.8122999999999996</v>
          </cell>
          <cell r="AW270">
            <v>4.8609696202531634</v>
          </cell>
          <cell r="AX270">
            <v>4.9973000000000001</v>
          </cell>
          <cell r="AZ270">
            <v>174</v>
          </cell>
          <cell r="BA270">
            <v>174</v>
          </cell>
          <cell r="BC270">
            <v>2029</v>
          </cell>
        </row>
        <row r="271">
          <cell r="D271">
            <v>47423</v>
          </cell>
          <cell r="E271">
            <v>55.211790000000001</v>
          </cell>
          <cell r="F271">
            <v>54.196840000000002</v>
          </cell>
          <cell r="G271">
            <v>51.081040000000002</v>
          </cell>
          <cell r="H271">
            <v>53.518540000000002</v>
          </cell>
          <cell r="J271">
            <v>53.696840000000002</v>
          </cell>
          <cell r="K271">
            <v>52.696840000000002</v>
          </cell>
          <cell r="L271">
            <v>56.196840000000002</v>
          </cell>
          <cell r="M271">
            <v>45.800840000000001</v>
          </cell>
          <cell r="N271">
            <v>46.99926</v>
          </cell>
          <cell r="O271">
            <v>42.047750000000001</v>
          </cell>
          <cell r="P271">
            <v>42.736649999999997</v>
          </cell>
          <cell r="R271">
            <v>46.49926</v>
          </cell>
          <cell r="S271">
            <v>45.49926</v>
          </cell>
          <cell r="T271">
            <v>48.74926</v>
          </cell>
          <cell r="U271">
            <v>51.021894091539529</v>
          </cell>
          <cell r="V271">
            <v>50.99236957004161</v>
          </cell>
          <cell r="W271">
            <v>47.059283980582528</v>
          </cell>
          <cell r="Z271">
            <v>50.49236957004161</v>
          </cell>
          <cell r="AC271">
            <v>5.0506000000000002</v>
          </cell>
          <cell r="AD271">
            <v>5.0365000000000002</v>
          </cell>
          <cell r="AE271">
            <v>5.0224000000000002</v>
          </cell>
          <cell r="AF271">
            <v>5.0084</v>
          </cell>
          <cell r="AG271">
            <v>5.0928000000000004</v>
          </cell>
          <cell r="AH271">
            <v>4.7550999999999997</v>
          </cell>
          <cell r="AI271">
            <v>5.3741000000000003</v>
          </cell>
          <cell r="AJ271">
            <v>5.1980000000000004</v>
          </cell>
          <cell r="AK271">
            <v>5.3285999999999998</v>
          </cell>
          <cell r="AL271">
            <v>5.1449999999999996</v>
          </cell>
          <cell r="AM271">
            <v>5.3785999999999996</v>
          </cell>
          <cell r="AN271">
            <v>5.1619999999999999</v>
          </cell>
          <cell r="AO271">
            <v>5.0329606294787128</v>
          </cell>
          <cell r="AP271">
            <v>5.1171476292971541</v>
          </cell>
          <cell r="AQ271">
            <v>5.2219858950506319</v>
          </cell>
          <cell r="AR271">
            <v>5.1561662970519233</v>
          </cell>
          <cell r="AS271">
            <v>5.4022050622492026</v>
          </cell>
          <cell r="AT271">
            <v>5.076723660211087</v>
          </cell>
          <cell r="AU271">
            <v>5.1220291836734688</v>
          </cell>
          <cell r="AV271">
            <v>5.0373999999999999</v>
          </cell>
          <cell r="AW271">
            <v>5.131653164556961</v>
          </cell>
          <cell r="AX271">
            <v>5.3036000000000003</v>
          </cell>
          <cell r="AZ271">
            <v>175</v>
          </cell>
          <cell r="BA271">
            <v>175</v>
          </cell>
          <cell r="BC271">
            <v>2029</v>
          </cell>
        </row>
        <row r="272">
          <cell r="D272">
            <v>47453</v>
          </cell>
          <cell r="E272">
            <v>58.039369999999998</v>
          </cell>
          <cell r="F272">
            <v>55.642589999999998</v>
          </cell>
          <cell r="G272">
            <v>54.863109999999999</v>
          </cell>
          <cell r="H272">
            <v>57.590910000000001</v>
          </cell>
          <cell r="J272">
            <v>55.142589999999998</v>
          </cell>
          <cell r="K272">
            <v>54.892589999999998</v>
          </cell>
          <cell r="L272">
            <v>57.642589999999998</v>
          </cell>
          <cell r="M272">
            <v>49.540880000000001</v>
          </cell>
          <cell r="N272">
            <v>49.197119999999998</v>
          </cell>
          <cell r="O272">
            <v>45.871850000000002</v>
          </cell>
          <cell r="P272">
            <v>48.686349999999997</v>
          </cell>
          <cell r="R272">
            <v>48.697119999999998</v>
          </cell>
          <cell r="S272">
            <v>48.197119999999998</v>
          </cell>
          <cell r="T272">
            <v>50.947119999999998</v>
          </cell>
          <cell r="U272">
            <v>54.109960645161287</v>
          </cell>
          <cell r="V272">
            <v>52.662426451612902</v>
          </cell>
          <cell r="W272">
            <v>50.705860752688174</v>
          </cell>
          <cell r="Z272">
            <v>52.162426451612902</v>
          </cell>
          <cell r="AC272">
            <v>5.2896999999999998</v>
          </cell>
          <cell r="AD272">
            <v>5.2896999999999998</v>
          </cell>
          <cell r="AE272">
            <v>5.2615999999999996</v>
          </cell>
          <cell r="AF272">
            <v>5.3460000000000001</v>
          </cell>
          <cell r="AG272">
            <v>5.3741000000000003</v>
          </cell>
          <cell r="AH272">
            <v>4.8817000000000004</v>
          </cell>
          <cell r="AI272">
            <v>5.5289000000000001</v>
          </cell>
          <cell r="AJ272">
            <v>5.4424999999999999</v>
          </cell>
          <cell r="AK272">
            <v>5.5735000000000001</v>
          </cell>
          <cell r="AL272">
            <v>5.3864000000000001</v>
          </cell>
          <cell r="AM272">
            <v>5.6234999999999999</v>
          </cell>
          <cell r="AN272">
            <v>5.4048999999999996</v>
          </cell>
          <cell r="AO272">
            <v>5.2729293161243698</v>
          </cell>
          <cell r="AP272">
            <v>5.3610525563602973</v>
          </cell>
          <cell r="AQ272">
            <v>5.4760441627468337</v>
          </cell>
          <cell r="AR272">
            <v>5.4000712241150666</v>
          </cell>
          <cell r="AS272">
            <v>5.7495659018417529</v>
          </cell>
          <cell r="AT272">
            <v>5.3037961061584182</v>
          </cell>
          <cell r="AU272">
            <v>5.3660087755102035</v>
          </cell>
          <cell r="AV272">
            <v>5.2766000000000002</v>
          </cell>
          <cell r="AW272">
            <v>5.3880582278480995</v>
          </cell>
          <cell r="AX272">
            <v>5.5667999999999997</v>
          </cell>
          <cell r="AZ272">
            <v>176</v>
          </cell>
          <cell r="BA272">
            <v>176</v>
          </cell>
          <cell r="BC272">
            <v>2029</v>
          </cell>
        </row>
        <row r="273">
          <cell r="D273">
            <v>47484</v>
          </cell>
          <cell r="E273">
            <v>56.674939999999999</v>
          </cell>
          <cell r="F273">
            <v>55.788249999999998</v>
          </cell>
          <cell r="G273">
            <v>53.495829999999998</v>
          </cell>
          <cell r="H273">
            <v>57.30433</v>
          </cell>
          <cell r="J273">
            <v>55.288249999999998</v>
          </cell>
          <cell r="K273">
            <v>55.288249999999998</v>
          </cell>
          <cell r="L273">
            <v>58.038249999999998</v>
          </cell>
          <cell r="M273">
            <v>45.425260000000002</v>
          </cell>
          <cell r="N273">
            <v>49.404380000000003</v>
          </cell>
          <cell r="O273">
            <v>43.601039999999998</v>
          </cell>
          <cell r="P273">
            <v>46.84554</v>
          </cell>
          <cell r="R273">
            <v>48.904380000000003</v>
          </cell>
          <cell r="S273">
            <v>48.904380000000003</v>
          </cell>
          <cell r="T273">
            <v>51.654380000000003</v>
          </cell>
          <cell r="U273">
            <v>51.715403655913981</v>
          </cell>
          <cell r="V273">
            <v>52.97385569892473</v>
          </cell>
          <cell r="W273">
            <v>49.133610752688163</v>
          </cell>
          <cell r="Z273">
            <v>52.47385569892473</v>
          </cell>
          <cell r="AC273">
            <v>5.4204999999999997</v>
          </cell>
          <cell r="AD273">
            <v>5.4204999999999997</v>
          </cell>
          <cell r="AE273">
            <v>5.4061000000000003</v>
          </cell>
          <cell r="AF273">
            <v>5.5067000000000004</v>
          </cell>
          <cell r="AG273">
            <v>5.4923999999999999</v>
          </cell>
          <cell r="AH273">
            <v>5.0034999999999998</v>
          </cell>
          <cell r="AI273">
            <v>5.6505000000000001</v>
          </cell>
          <cell r="AJ273">
            <v>5.5776000000000003</v>
          </cell>
          <cell r="AK273">
            <v>5.7088999999999999</v>
          </cell>
          <cell r="AL273">
            <v>5.5190000000000001</v>
          </cell>
          <cell r="AM273">
            <v>5.7588999999999997</v>
          </cell>
          <cell r="AN273">
            <v>5.5387000000000004</v>
          </cell>
          <cell r="AO273">
            <v>5.4042045324073147</v>
          </cell>
          <cell r="AP273">
            <v>5.4944810986432726</v>
          </cell>
          <cell r="AQ273">
            <v>5.6180877068101251</v>
          </cell>
          <cell r="AR273">
            <v>5.533499766398041</v>
          </cell>
          <cell r="AS273">
            <v>5.9149121308776627</v>
          </cell>
          <cell r="AT273">
            <v>5.5121166308023364</v>
          </cell>
          <cell r="AU273">
            <v>5.499478163265306</v>
          </cell>
          <cell r="AV273">
            <v>5.4211</v>
          </cell>
          <cell r="AW273">
            <v>5.5205139240506318</v>
          </cell>
          <cell r="AX273">
            <v>5.7057000000000002</v>
          </cell>
          <cell r="AZ273">
            <v>177</v>
          </cell>
          <cell r="BA273">
            <v>177</v>
          </cell>
          <cell r="BC273">
            <v>2030</v>
          </cell>
        </row>
        <row r="274">
          <cell r="D274">
            <v>47515</v>
          </cell>
          <cell r="E274">
            <v>57.835349999999998</v>
          </cell>
          <cell r="F274">
            <v>55.948529999999998</v>
          </cell>
          <cell r="G274">
            <v>57.690069999999999</v>
          </cell>
          <cell r="H274">
            <v>61.648069999999997</v>
          </cell>
          <cell r="J274">
            <v>55.948529999999998</v>
          </cell>
          <cell r="K274">
            <v>54.948529999999998</v>
          </cell>
          <cell r="L274">
            <v>58.198529999999998</v>
          </cell>
          <cell r="M274">
            <v>45.73</v>
          </cell>
          <cell r="N274">
            <v>50.59883</v>
          </cell>
          <cell r="O274">
            <v>46.932090000000002</v>
          </cell>
          <cell r="P274">
            <v>49.818289999999998</v>
          </cell>
          <cell r="R274">
            <v>50.09883</v>
          </cell>
          <cell r="S274">
            <v>49.34883</v>
          </cell>
          <cell r="T274">
            <v>52.59883</v>
          </cell>
          <cell r="U274">
            <v>52.647342857142853</v>
          </cell>
          <cell r="V274">
            <v>53.655801428571422</v>
          </cell>
          <cell r="W274">
            <v>53.079507142857146</v>
          </cell>
          <cell r="Z274">
            <v>53.441515714285714</v>
          </cell>
          <cell r="AC274">
            <v>5.4635999999999996</v>
          </cell>
          <cell r="AD274">
            <v>5.4492000000000003</v>
          </cell>
          <cell r="AE274">
            <v>5.4348999999999998</v>
          </cell>
          <cell r="AF274">
            <v>5.5210999999999997</v>
          </cell>
          <cell r="AG274">
            <v>5.5354999999999999</v>
          </cell>
          <cell r="AH274">
            <v>5.0754000000000001</v>
          </cell>
          <cell r="AI274">
            <v>5.6792999999999996</v>
          </cell>
          <cell r="AJ274">
            <v>5.6201999999999996</v>
          </cell>
          <cell r="AK274">
            <v>5.7514000000000003</v>
          </cell>
          <cell r="AL274">
            <v>5.5618999999999996</v>
          </cell>
          <cell r="AM274">
            <v>5.8014000000000001</v>
          </cell>
          <cell r="AN274">
            <v>5.5814000000000004</v>
          </cell>
          <cell r="AO274">
            <v>5.4474611212589572</v>
          </cell>
          <cell r="AP274">
            <v>5.5384472314597577</v>
          </cell>
          <cell r="AQ274">
            <v>5.6477553558607587</v>
          </cell>
          <cell r="AR274">
            <v>5.5774658992145261</v>
          </cell>
          <cell r="AS274">
            <v>5.9297284700072019</v>
          </cell>
          <cell r="AT274">
            <v>5.5716514192027873</v>
          </cell>
          <cell r="AU274">
            <v>5.5434577551020405</v>
          </cell>
          <cell r="AV274">
            <v>5.4499000000000004</v>
          </cell>
          <cell r="AW274">
            <v>5.5495772151898723</v>
          </cell>
          <cell r="AX274">
            <v>5.7335000000000003</v>
          </cell>
          <cell r="AZ274">
            <v>178</v>
          </cell>
          <cell r="BA274">
            <v>178</v>
          </cell>
          <cell r="BC274">
            <v>2030</v>
          </cell>
        </row>
        <row r="275">
          <cell r="D275">
            <v>47543</v>
          </cell>
          <cell r="E275">
            <v>50.512300000000003</v>
          </cell>
          <cell r="F275">
            <v>52.822609999999997</v>
          </cell>
          <cell r="G275">
            <v>49.698450000000001</v>
          </cell>
          <cell r="H275">
            <v>53.496949999999998</v>
          </cell>
          <cell r="J275">
            <v>52.822609999999997</v>
          </cell>
          <cell r="K275">
            <v>51.822609999999997</v>
          </cell>
          <cell r="L275">
            <v>55.072609999999997</v>
          </cell>
          <cell r="M275">
            <v>43.652230000000003</v>
          </cell>
          <cell r="N275">
            <v>48.61251</v>
          </cell>
          <cell r="O275">
            <v>42.7667</v>
          </cell>
          <cell r="P275">
            <v>45.962200000000003</v>
          </cell>
          <cell r="R275">
            <v>48.11251</v>
          </cell>
          <cell r="S275">
            <v>47.11251</v>
          </cell>
          <cell r="T275">
            <v>50.61251</v>
          </cell>
          <cell r="U275">
            <v>47.493130565275912</v>
          </cell>
          <cell r="V275">
            <v>50.969712691790036</v>
          </cell>
          <cell r="W275">
            <v>46.647733647375503</v>
          </cell>
          <cell r="Z275">
            <v>50.749658855989232</v>
          </cell>
          <cell r="AC275">
            <v>5.2911000000000001</v>
          </cell>
          <cell r="AD275">
            <v>5.2911000000000001</v>
          </cell>
          <cell r="AE275">
            <v>5.2766999999999999</v>
          </cell>
          <cell r="AF275">
            <v>5.2336</v>
          </cell>
          <cell r="AG275">
            <v>5.3773</v>
          </cell>
          <cell r="AH275">
            <v>4.7735000000000003</v>
          </cell>
          <cell r="AI275">
            <v>5.4779999999999998</v>
          </cell>
          <cell r="AJ275">
            <v>5.4455999999999998</v>
          </cell>
          <cell r="AK275">
            <v>5.5766</v>
          </cell>
          <cell r="AL275">
            <v>5.3884999999999996</v>
          </cell>
          <cell r="AM275">
            <v>5.6265999999999998</v>
          </cell>
          <cell r="AN275">
            <v>5.4074</v>
          </cell>
          <cell r="AO275">
            <v>5.2743344025371846</v>
          </cell>
          <cell r="AP275">
            <v>5.3624806906049169</v>
          </cell>
          <cell r="AQ275">
            <v>5.4845574881265815</v>
          </cell>
          <cell r="AR275">
            <v>5.4014993583596862</v>
          </cell>
          <cell r="AS275">
            <v>5.6339161436361769</v>
          </cell>
          <cell r="AT275">
            <v>5.1925142125217754</v>
          </cell>
          <cell r="AU275">
            <v>5.3674373469387753</v>
          </cell>
          <cell r="AV275">
            <v>5.2916999999999996</v>
          </cell>
          <cell r="AW275">
            <v>5.3894759493670872</v>
          </cell>
          <cell r="AX275">
            <v>5.5713999999999997</v>
          </cell>
          <cell r="AZ275">
            <v>179</v>
          </cell>
          <cell r="BA275">
            <v>179</v>
          </cell>
          <cell r="BC275">
            <v>2030</v>
          </cell>
        </row>
        <row r="276">
          <cell r="D276">
            <v>47574</v>
          </cell>
          <cell r="E276">
            <v>48.366309999999999</v>
          </cell>
          <cell r="F276">
            <v>49.819519999999997</v>
          </cell>
          <cell r="G276">
            <v>46.971080000000001</v>
          </cell>
          <cell r="H276">
            <v>48.469679999999997</v>
          </cell>
          <cell r="J276">
            <v>48.319519999999997</v>
          </cell>
          <cell r="K276">
            <v>48.319519999999997</v>
          </cell>
          <cell r="L276">
            <v>51.819519999999997</v>
          </cell>
          <cell r="M276">
            <v>42.692459999999997</v>
          </cell>
          <cell r="N276">
            <v>46.960450000000002</v>
          </cell>
          <cell r="O276">
            <v>40.861339999999998</v>
          </cell>
          <cell r="P276">
            <v>47.536940000000001</v>
          </cell>
          <cell r="R276">
            <v>46.210450000000002</v>
          </cell>
          <cell r="S276">
            <v>45.960450000000002</v>
          </cell>
          <cell r="T276">
            <v>48.960450000000002</v>
          </cell>
          <cell r="U276">
            <v>45.970684444444437</v>
          </cell>
          <cell r="V276">
            <v>48.612357111111109</v>
          </cell>
          <cell r="W276">
            <v>44.391412000000003</v>
          </cell>
          <cell r="Z276">
            <v>47.429023777777779</v>
          </cell>
          <cell r="AC276">
            <v>5.0323000000000002</v>
          </cell>
          <cell r="AD276">
            <v>5.0034999999999998</v>
          </cell>
          <cell r="AE276">
            <v>5.0754000000000001</v>
          </cell>
          <cell r="AF276">
            <v>5.0467000000000004</v>
          </cell>
          <cell r="AG276">
            <v>5.2336</v>
          </cell>
          <cell r="AH276">
            <v>4.5147000000000004</v>
          </cell>
          <cell r="AI276">
            <v>5.3197999999999999</v>
          </cell>
          <cell r="AJ276">
            <v>5.1746999999999996</v>
          </cell>
          <cell r="AK276">
            <v>5.3049999999999997</v>
          </cell>
          <cell r="AL276">
            <v>5.1246</v>
          </cell>
          <cell r="AM276">
            <v>5.3550000000000004</v>
          </cell>
          <cell r="AN276">
            <v>5.1402000000000001</v>
          </cell>
          <cell r="AO276">
            <v>5.0145941427969243</v>
          </cell>
          <cell r="AP276">
            <v>5.0984798745282056</v>
          </cell>
          <cell r="AQ276">
            <v>5.2323050773291131</v>
          </cell>
          <cell r="AR276">
            <v>5.1374985422829749</v>
          </cell>
          <cell r="AS276">
            <v>5.441612408684021</v>
          </cell>
          <cell r="AT276">
            <v>4.8248535915565114</v>
          </cell>
          <cell r="AU276">
            <v>5.1033557142857138</v>
          </cell>
          <cell r="AV276">
            <v>5.0903999999999998</v>
          </cell>
          <cell r="AW276">
            <v>5.0982354430379733</v>
          </cell>
          <cell r="AX276">
            <v>5.2293000000000003</v>
          </cell>
          <cell r="AZ276">
            <v>180</v>
          </cell>
          <cell r="BA276">
            <v>180</v>
          </cell>
          <cell r="BC276">
            <v>2030</v>
          </cell>
        </row>
        <row r="277">
          <cell r="D277">
            <v>47604</v>
          </cell>
          <cell r="E277">
            <v>43.484279999999998</v>
          </cell>
          <cell r="F277">
            <v>47.000999999999998</v>
          </cell>
          <cell r="G277">
            <v>39.700060000000001</v>
          </cell>
          <cell r="H277">
            <v>44.933759999999999</v>
          </cell>
          <cell r="J277">
            <v>47.000999999999998</v>
          </cell>
          <cell r="K277">
            <v>47.000999999999998</v>
          </cell>
          <cell r="L277">
            <v>49.000999999999998</v>
          </cell>
          <cell r="M277">
            <v>35.384569999999997</v>
          </cell>
          <cell r="N277">
            <v>43.539290000000001</v>
          </cell>
          <cell r="O277">
            <v>31.9313</v>
          </cell>
          <cell r="P277">
            <v>36.577199999999998</v>
          </cell>
          <cell r="R277">
            <v>43.539290000000001</v>
          </cell>
          <cell r="S277">
            <v>43.039290000000001</v>
          </cell>
          <cell r="T277">
            <v>45.289290000000001</v>
          </cell>
          <cell r="U277">
            <v>39.913440107526881</v>
          </cell>
          <cell r="V277">
            <v>45.474869784946236</v>
          </cell>
          <cell r="W277">
            <v>36.27512279569892</v>
          </cell>
          <cell r="Z277">
            <v>45.474869784946236</v>
          </cell>
          <cell r="AC277">
            <v>4.9748000000000001</v>
          </cell>
          <cell r="AD277">
            <v>4.8884999999999996</v>
          </cell>
          <cell r="AE277">
            <v>5.0323000000000002</v>
          </cell>
          <cell r="AF277">
            <v>5.0467000000000004</v>
          </cell>
          <cell r="AG277">
            <v>5.2191999999999998</v>
          </cell>
          <cell r="AH277">
            <v>4.5003000000000002</v>
          </cell>
          <cell r="AI277">
            <v>5.2766999999999999</v>
          </cell>
          <cell r="AJ277">
            <v>5.1108000000000002</v>
          </cell>
          <cell r="AK277">
            <v>5.2407000000000004</v>
          </cell>
          <cell r="AL277">
            <v>5.0644</v>
          </cell>
          <cell r="AM277">
            <v>5.2907000000000002</v>
          </cell>
          <cell r="AN277">
            <v>5.0782999999999996</v>
          </cell>
          <cell r="AO277">
            <v>4.9568852365563334</v>
          </cell>
          <cell r="AP277">
            <v>5.0398243609099254</v>
          </cell>
          <cell r="AQ277">
            <v>5.1507319414177211</v>
          </cell>
          <cell r="AR277">
            <v>5.0788430286646946</v>
          </cell>
          <cell r="AS277">
            <v>5.441612408684021</v>
          </cell>
          <cell r="AT277">
            <v>4.9170761553437856</v>
          </cell>
          <cell r="AU277">
            <v>5.0446822448979587</v>
          </cell>
          <cell r="AV277">
            <v>5.0472999999999999</v>
          </cell>
          <cell r="AW277">
            <v>4.9817797468354419</v>
          </cell>
          <cell r="AX277">
            <v>5.1073000000000004</v>
          </cell>
          <cell r="AZ277">
            <v>181</v>
          </cell>
          <cell r="BA277">
            <v>181</v>
          </cell>
          <cell r="BC277">
            <v>2030</v>
          </cell>
        </row>
        <row r="278">
          <cell r="D278">
            <v>47635</v>
          </cell>
          <cell r="E278">
            <v>48.86365</v>
          </cell>
          <cell r="F278">
            <v>51.022939999999998</v>
          </cell>
          <cell r="G278">
            <v>44.941200000000002</v>
          </cell>
          <cell r="H278">
            <v>51.592700000000001</v>
          </cell>
          <cell r="J278">
            <v>50.272939999999998</v>
          </cell>
          <cell r="K278">
            <v>51.022939999999998</v>
          </cell>
          <cell r="L278">
            <v>53.522939999999998</v>
          </cell>
          <cell r="M278">
            <v>38.398029999999999</v>
          </cell>
          <cell r="N278">
            <v>45.229039999999998</v>
          </cell>
          <cell r="O278">
            <v>35.045760000000001</v>
          </cell>
          <cell r="P278">
            <v>41.885460000000002</v>
          </cell>
          <cell r="R278">
            <v>44.729039999999998</v>
          </cell>
          <cell r="S278">
            <v>44.729039999999998</v>
          </cell>
          <cell r="T278">
            <v>47.479039999999998</v>
          </cell>
          <cell r="U278">
            <v>44.212263333333333</v>
          </cell>
          <cell r="V278">
            <v>48.447873333333334</v>
          </cell>
          <cell r="W278">
            <v>40.543226666666669</v>
          </cell>
          <cell r="Z278">
            <v>47.808984444444448</v>
          </cell>
          <cell r="AC278">
            <v>4.9603999999999999</v>
          </cell>
          <cell r="AD278">
            <v>4.9172000000000002</v>
          </cell>
          <cell r="AE278">
            <v>5.0179</v>
          </cell>
          <cell r="AF278">
            <v>5.1041999999999996</v>
          </cell>
          <cell r="AG278">
            <v>5.2622999999999998</v>
          </cell>
          <cell r="AH278">
            <v>4.5578000000000003</v>
          </cell>
          <cell r="AI278">
            <v>5.2911000000000001</v>
          </cell>
          <cell r="AJ278">
            <v>5.0974000000000004</v>
          </cell>
          <cell r="AK278">
            <v>5.2274000000000003</v>
          </cell>
          <cell r="AL278">
            <v>5.0503999999999998</v>
          </cell>
          <cell r="AM278">
            <v>5.2774000000000001</v>
          </cell>
          <cell r="AN278">
            <v>5.0646000000000004</v>
          </cell>
          <cell r="AO278">
            <v>4.942432919167385</v>
          </cell>
          <cell r="AP278">
            <v>5.0251349801081293</v>
          </cell>
          <cell r="AQ278">
            <v>5.1581101567468348</v>
          </cell>
          <cell r="AR278">
            <v>5.0641536478628995</v>
          </cell>
          <cell r="AS278">
            <v>5.5007748739582256</v>
          </cell>
          <cell r="AT278">
            <v>4.8895118557229225</v>
          </cell>
          <cell r="AU278">
            <v>5.0299883673469381</v>
          </cell>
          <cell r="AV278">
            <v>5.0328999999999997</v>
          </cell>
          <cell r="AW278">
            <v>5.0108430379746824</v>
          </cell>
          <cell r="AX278">
            <v>5.1379000000000001</v>
          </cell>
          <cell r="AZ278">
            <v>182</v>
          </cell>
          <cell r="BA278">
            <v>182</v>
          </cell>
          <cell r="BC278">
            <v>2030</v>
          </cell>
        </row>
        <row r="279">
          <cell r="D279">
            <v>47665</v>
          </cell>
          <cell r="E279">
            <v>55.73357</v>
          </cell>
          <cell r="F279">
            <v>56.73169</v>
          </cell>
          <cell r="G279">
            <v>51.44173</v>
          </cell>
          <cell r="H279">
            <v>57.052030000000002</v>
          </cell>
          <cell r="J279">
            <v>61.73169</v>
          </cell>
          <cell r="K279">
            <v>62.23169</v>
          </cell>
          <cell r="L279">
            <v>60.98169</v>
          </cell>
          <cell r="M279">
            <v>44.308750000000003</v>
          </cell>
          <cell r="N279">
            <v>48.093969999999999</v>
          </cell>
          <cell r="O279">
            <v>40.525219999999997</v>
          </cell>
          <cell r="P279">
            <v>45.664520000000003</v>
          </cell>
          <cell r="R279">
            <v>49.093969999999999</v>
          </cell>
          <cell r="S279">
            <v>49.093969999999999</v>
          </cell>
          <cell r="T279">
            <v>50.593969999999999</v>
          </cell>
          <cell r="U279">
            <v>50.696821397849469</v>
          </cell>
          <cell r="V279">
            <v>52.923662903225804</v>
          </cell>
          <cell r="W279">
            <v>46.629075053763444</v>
          </cell>
          <cell r="Z279">
            <v>56.160222043010748</v>
          </cell>
          <cell r="AC279">
            <v>4.9748000000000001</v>
          </cell>
          <cell r="AD279">
            <v>4.9028999999999998</v>
          </cell>
          <cell r="AE279">
            <v>5.0467000000000004</v>
          </cell>
          <cell r="AF279">
            <v>5.1473000000000004</v>
          </cell>
          <cell r="AG279">
            <v>5.3342000000000001</v>
          </cell>
          <cell r="AH279">
            <v>4.6871999999999998</v>
          </cell>
          <cell r="AI279">
            <v>5.3630000000000004</v>
          </cell>
          <cell r="AJ279">
            <v>5.1130000000000004</v>
          </cell>
          <cell r="AK279">
            <v>5.2431000000000001</v>
          </cell>
          <cell r="AL279">
            <v>5.0654000000000003</v>
          </cell>
          <cell r="AM279">
            <v>5.2930999999999999</v>
          </cell>
          <cell r="AN279">
            <v>5.0799000000000003</v>
          </cell>
          <cell r="AO279">
            <v>4.9568852365563334</v>
          </cell>
          <cell r="AP279">
            <v>5.0398243609099254</v>
          </cell>
          <cell r="AQ279">
            <v>5.1655915638987331</v>
          </cell>
          <cell r="AR279">
            <v>5.0788430286646946</v>
          </cell>
          <cell r="AS279">
            <v>5.5451210001028919</v>
          </cell>
          <cell r="AT279">
            <v>4.9247613689927245</v>
          </cell>
          <cell r="AU279">
            <v>5.0446822448979587</v>
          </cell>
          <cell r="AV279">
            <v>5.0617000000000001</v>
          </cell>
          <cell r="AW279">
            <v>4.9963620253164542</v>
          </cell>
          <cell r="AX279">
            <v>5.1258999999999997</v>
          </cell>
          <cell r="AZ279">
            <v>183</v>
          </cell>
          <cell r="BA279">
            <v>183</v>
          </cell>
          <cell r="BC279">
            <v>2030</v>
          </cell>
        </row>
        <row r="280">
          <cell r="D280">
            <v>47696</v>
          </cell>
          <cell r="E280">
            <v>62.516919999999999</v>
          </cell>
          <cell r="F280">
            <v>59.955210000000001</v>
          </cell>
          <cell r="G280">
            <v>58.632489999999997</v>
          </cell>
          <cell r="H280">
            <v>60.695390000000003</v>
          </cell>
          <cell r="J280">
            <v>64.455209999999994</v>
          </cell>
          <cell r="K280">
            <v>65.455209999999994</v>
          </cell>
          <cell r="L280">
            <v>63.705210000000001</v>
          </cell>
          <cell r="M280">
            <v>48.207129999999999</v>
          </cell>
          <cell r="N280">
            <v>49.776299999999999</v>
          </cell>
          <cell r="O280">
            <v>44.428260000000002</v>
          </cell>
          <cell r="P280">
            <v>49.225259999999999</v>
          </cell>
          <cell r="R280">
            <v>50.776299999999999</v>
          </cell>
          <cell r="S280">
            <v>50.776299999999999</v>
          </cell>
          <cell r="T280">
            <v>52.276299999999999</v>
          </cell>
          <cell r="U280">
            <v>56.516040322580643</v>
          </cell>
          <cell r="V280">
            <v>55.686634838709672</v>
          </cell>
          <cell r="W280">
            <v>52.67587741935484</v>
          </cell>
          <cell r="Z280">
            <v>58.7188929032258</v>
          </cell>
          <cell r="AC280">
            <v>5.1185</v>
          </cell>
          <cell r="AD280">
            <v>5.0898000000000003</v>
          </cell>
          <cell r="AE280">
            <v>5.1329000000000002</v>
          </cell>
          <cell r="AF280">
            <v>5.1760999999999999</v>
          </cell>
          <cell r="AG280">
            <v>5.3630000000000004</v>
          </cell>
          <cell r="AH280">
            <v>4.7160000000000002</v>
          </cell>
          <cell r="AI280">
            <v>5.4635999999999996</v>
          </cell>
          <cell r="AJ280">
            <v>5.258</v>
          </cell>
          <cell r="AK280">
            <v>5.3882000000000003</v>
          </cell>
          <cell r="AL280">
            <v>5.2096999999999998</v>
          </cell>
          <cell r="AM280">
            <v>5.4382000000000001</v>
          </cell>
          <cell r="AN280">
            <v>5.2244999999999999</v>
          </cell>
          <cell r="AO280">
            <v>5.1011073205002102</v>
          </cell>
          <cell r="AP280">
            <v>5.1864121401611749</v>
          </cell>
          <cell r="AQ280">
            <v>5.3064999979113914</v>
          </cell>
          <cell r="AR280">
            <v>5.2254308079159442</v>
          </cell>
          <cell r="AS280">
            <v>5.5747536783619713</v>
          </cell>
          <cell r="AT280">
            <v>5.0720100625064042</v>
          </cell>
          <cell r="AU280">
            <v>5.1913148979591837</v>
          </cell>
          <cell r="AV280">
            <v>5.1478999999999999</v>
          </cell>
          <cell r="AW280">
            <v>5.185627848101265</v>
          </cell>
          <cell r="AX280">
            <v>5.3151000000000002</v>
          </cell>
          <cell r="AZ280">
            <v>184</v>
          </cell>
          <cell r="BA280">
            <v>184</v>
          </cell>
          <cell r="BC280">
            <v>2030</v>
          </cell>
        </row>
        <row r="281">
          <cell r="D281">
            <v>47727</v>
          </cell>
          <cell r="E281">
            <v>61.067259999999997</v>
          </cell>
          <cell r="F281">
            <v>56.741959999999999</v>
          </cell>
          <cell r="G281">
            <v>60.430129999999998</v>
          </cell>
          <cell r="H281">
            <v>62.015729999999998</v>
          </cell>
          <cell r="J281">
            <v>59.741959999999999</v>
          </cell>
          <cell r="K281">
            <v>60.741959999999999</v>
          </cell>
          <cell r="L281">
            <v>59.741959999999999</v>
          </cell>
          <cell r="M281">
            <v>50.023159999999997</v>
          </cell>
          <cell r="N281">
            <v>49.21716</v>
          </cell>
          <cell r="O281">
            <v>48.654530000000001</v>
          </cell>
          <cell r="P281">
            <v>48.38203</v>
          </cell>
          <cell r="R281">
            <v>47.71716</v>
          </cell>
          <cell r="S281">
            <v>47.71716</v>
          </cell>
          <cell r="T281">
            <v>51.46716</v>
          </cell>
          <cell r="U281">
            <v>55.913346666666662</v>
          </cell>
          <cell r="V281">
            <v>53.230386666666661</v>
          </cell>
          <cell r="W281">
            <v>54.934849999999997</v>
          </cell>
          <cell r="Z281">
            <v>54.130386666666666</v>
          </cell>
          <cell r="AC281">
            <v>5.1904000000000003</v>
          </cell>
          <cell r="AD281">
            <v>5.1904000000000003</v>
          </cell>
          <cell r="AE281">
            <v>5.1904000000000003</v>
          </cell>
          <cell r="AF281">
            <v>5.1473000000000004</v>
          </cell>
          <cell r="AG281">
            <v>5.3197999999999999</v>
          </cell>
          <cell r="AH281">
            <v>4.8884999999999996</v>
          </cell>
          <cell r="AI281">
            <v>5.4923999999999999</v>
          </cell>
          <cell r="AJ281">
            <v>5.33</v>
          </cell>
          <cell r="AK281">
            <v>5.4602000000000004</v>
          </cell>
          <cell r="AL281">
            <v>5.2816000000000001</v>
          </cell>
          <cell r="AM281">
            <v>5.5102000000000002</v>
          </cell>
          <cell r="AN281">
            <v>5.2965</v>
          </cell>
          <cell r="AO281">
            <v>5.1732685441297495</v>
          </cell>
          <cell r="AP281">
            <v>5.2597570345812503</v>
          </cell>
          <cell r="AQ281">
            <v>5.3880731338227843</v>
          </cell>
          <cell r="AR281">
            <v>5.2987757023360205</v>
          </cell>
          <cell r="AS281">
            <v>5.5451210001028919</v>
          </cell>
          <cell r="AT281">
            <v>5.1405621682549443</v>
          </cell>
          <cell r="AU281">
            <v>5.2646822448979593</v>
          </cell>
          <cell r="AV281">
            <v>5.2054</v>
          </cell>
          <cell r="AW281">
            <v>5.287501265822784</v>
          </cell>
          <cell r="AX281">
            <v>5.4160000000000004</v>
          </cell>
          <cell r="AZ281">
            <v>185</v>
          </cell>
          <cell r="BA281">
            <v>185</v>
          </cell>
          <cell r="BC281">
            <v>2030</v>
          </cell>
        </row>
        <row r="282">
          <cell r="D282">
            <v>47757</v>
          </cell>
          <cell r="E282">
            <v>54.676380000000002</v>
          </cell>
          <cell r="F282">
            <v>54.354050000000001</v>
          </cell>
          <cell r="G282">
            <v>53.002369999999999</v>
          </cell>
          <cell r="H282">
            <v>54.789569999999998</v>
          </cell>
          <cell r="J282">
            <v>53.854050000000001</v>
          </cell>
          <cell r="K282">
            <v>54.354050000000001</v>
          </cell>
          <cell r="L282">
            <v>56.354050000000001</v>
          </cell>
          <cell r="M282">
            <v>43.5702</v>
          </cell>
          <cell r="N282">
            <v>48.204990000000002</v>
          </cell>
          <cell r="O282">
            <v>44.021279999999997</v>
          </cell>
          <cell r="P282">
            <v>47.425379999999997</v>
          </cell>
          <cell r="R282">
            <v>47.204990000000002</v>
          </cell>
          <cell r="S282">
            <v>46.704990000000002</v>
          </cell>
          <cell r="T282">
            <v>49.954990000000002</v>
          </cell>
          <cell r="U282">
            <v>50.01894967741935</v>
          </cell>
          <cell r="V282">
            <v>51.775411935483874</v>
          </cell>
          <cell r="W282">
            <v>49.236106451612898</v>
          </cell>
          <cell r="Z282">
            <v>51.065734516129034</v>
          </cell>
          <cell r="AC282">
            <v>5.2622999999999998</v>
          </cell>
          <cell r="AD282">
            <v>5.2622999999999998</v>
          </cell>
          <cell r="AE282">
            <v>5.2191999999999998</v>
          </cell>
          <cell r="AF282">
            <v>5.1760999999999999</v>
          </cell>
          <cell r="AG282">
            <v>5.3486000000000002</v>
          </cell>
          <cell r="AH282">
            <v>4.9316000000000004</v>
          </cell>
          <cell r="AI282">
            <v>5.5499000000000001</v>
          </cell>
          <cell r="AJ282">
            <v>5.4032999999999998</v>
          </cell>
          <cell r="AK282">
            <v>5.5335000000000001</v>
          </cell>
          <cell r="AL282">
            <v>5.3540999999999999</v>
          </cell>
          <cell r="AM282">
            <v>5.5834999999999999</v>
          </cell>
          <cell r="AN282">
            <v>5.3693</v>
          </cell>
          <cell r="AO282">
            <v>5.2454297677592878</v>
          </cell>
          <cell r="AP282">
            <v>5.3331019290013257</v>
          </cell>
          <cell r="AQ282">
            <v>5.440030216594935</v>
          </cell>
          <cell r="AR282">
            <v>5.372120596756095</v>
          </cell>
          <cell r="AS282">
            <v>5.5747536783619713</v>
          </cell>
          <cell r="AT282">
            <v>5.2167994876524233</v>
          </cell>
          <cell r="AU282">
            <v>5.3380495918367341</v>
          </cell>
          <cell r="AV282">
            <v>5.2342000000000004</v>
          </cell>
          <cell r="AW282">
            <v>5.3603113924050616</v>
          </cell>
          <cell r="AX282">
            <v>5.4904000000000002</v>
          </cell>
          <cell r="AZ282">
            <v>186</v>
          </cell>
          <cell r="BA282">
            <v>186</v>
          </cell>
          <cell r="BC282">
            <v>2030</v>
          </cell>
        </row>
        <row r="283">
          <cell r="D283">
            <v>47788</v>
          </cell>
          <cell r="E283">
            <v>58.677889999999998</v>
          </cell>
          <cell r="F283">
            <v>56.95834</v>
          </cell>
          <cell r="G283">
            <v>55.247700000000002</v>
          </cell>
          <cell r="H283">
            <v>57.685200000000002</v>
          </cell>
          <cell r="J283">
            <v>56.45834</v>
          </cell>
          <cell r="K283">
            <v>55.45834</v>
          </cell>
          <cell r="L283">
            <v>58.95834</v>
          </cell>
          <cell r="M283">
            <v>47.441659999999999</v>
          </cell>
          <cell r="N283">
            <v>49.962240000000001</v>
          </cell>
          <cell r="O283">
            <v>44.886339999999997</v>
          </cell>
          <cell r="P283">
            <v>45.575240000000001</v>
          </cell>
          <cell r="R283">
            <v>49.462240000000001</v>
          </cell>
          <cell r="S283">
            <v>48.462240000000001</v>
          </cell>
          <cell r="T283">
            <v>51.712240000000001</v>
          </cell>
          <cell r="U283">
            <v>53.675352094313453</v>
          </cell>
          <cell r="V283">
            <v>53.843571484049932</v>
          </cell>
          <cell r="W283">
            <v>50.634667323162269</v>
          </cell>
          <cell r="Z283">
            <v>53.343571484049932</v>
          </cell>
          <cell r="AC283">
            <v>5.4779999999999998</v>
          </cell>
          <cell r="AD283">
            <v>5.4635999999999996</v>
          </cell>
          <cell r="AE283">
            <v>5.4204999999999997</v>
          </cell>
          <cell r="AF283">
            <v>5.3197999999999999</v>
          </cell>
          <cell r="AG283">
            <v>5.4779999999999998</v>
          </cell>
          <cell r="AH283">
            <v>5.1329000000000002</v>
          </cell>
          <cell r="AI283">
            <v>5.7224000000000004</v>
          </cell>
          <cell r="AJ283">
            <v>5.6254</v>
          </cell>
          <cell r="AK283">
            <v>5.7560000000000002</v>
          </cell>
          <cell r="AL283">
            <v>5.5724</v>
          </cell>
          <cell r="AM283">
            <v>5.806</v>
          </cell>
          <cell r="AN283">
            <v>5.5894000000000004</v>
          </cell>
          <cell r="AO283">
            <v>5.4619134386479047</v>
          </cell>
          <cell r="AP283">
            <v>5.553136612261552</v>
          </cell>
          <cell r="AQ283">
            <v>5.6477553558607587</v>
          </cell>
          <cell r="AR283">
            <v>5.5921552800163212</v>
          </cell>
          <cell r="AS283">
            <v>5.7226083959255067</v>
          </cell>
          <cell r="AT283">
            <v>5.5146783686853169</v>
          </cell>
          <cell r="AU283">
            <v>5.5581516326530602</v>
          </cell>
          <cell r="AV283">
            <v>5.4355000000000002</v>
          </cell>
          <cell r="AW283">
            <v>5.5641594936708847</v>
          </cell>
          <cell r="AX283">
            <v>5.7306999999999997</v>
          </cell>
          <cell r="AZ283">
            <v>187</v>
          </cell>
          <cell r="BA283">
            <v>187</v>
          </cell>
          <cell r="BC283">
            <v>2030</v>
          </cell>
        </row>
        <row r="284">
          <cell r="D284">
            <v>47818</v>
          </cell>
          <cell r="E284">
            <v>60.628050000000002</v>
          </cell>
          <cell r="F284">
            <v>58.111429999999999</v>
          </cell>
          <cell r="G284">
            <v>58.640099999999997</v>
          </cell>
          <cell r="H284">
            <v>61.367899999999999</v>
          </cell>
          <cell r="J284">
            <v>57.611429999999999</v>
          </cell>
          <cell r="K284">
            <v>57.361429999999999</v>
          </cell>
          <cell r="L284">
            <v>60.111429999999999</v>
          </cell>
          <cell r="M284">
            <v>50.510249999999999</v>
          </cell>
          <cell r="N284">
            <v>52.034239999999997</v>
          </cell>
          <cell r="O284">
            <v>48.131070000000001</v>
          </cell>
          <cell r="P284">
            <v>50.945569999999996</v>
          </cell>
          <cell r="R284">
            <v>51.534239999999997</v>
          </cell>
          <cell r="S284">
            <v>51.034239999999997</v>
          </cell>
          <cell r="T284">
            <v>53.784239999999997</v>
          </cell>
          <cell r="U284">
            <v>55.949927419354836</v>
          </cell>
          <cell r="V284">
            <v>55.3015464516129</v>
          </cell>
          <cell r="W284">
            <v>53.781086129032253</v>
          </cell>
          <cell r="Z284">
            <v>54.801546451612907</v>
          </cell>
          <cell r="AC284">
            <v>5.7080000000000002</v>
          </cell>
          <cell r="AD284">
            <v>5.6936999999999998</v>
          </cell>
          <cell r="AE284">
            <v>5.6792999999999996</v>
          </cell>
          <cell r="AF284">
            <v>5.7224000000000004</v>
          </cell>
          <cell r="AG284">
            <v>5.7655000000000003</v>
          </cell>
          <cell r="AH284">
            <v>5.3630000000000004</v>
          </cell>
          <cell r="AI284">
            <v>5.9093</v>
          </cell>
          <cell r="AJ284">
            <v>5.8608000000000002</v>
          </cell>
          <cell r="AK284">
            <v>5.9917999999999996</v>
          </cell>
          <cell r="AL284">
            <v>5.8048000000000002</v>
          </cell>
          <cell r="AM284">
            <v>6.0418000000000003</v>
          </cell>
          <cell r="AN284">
            <v>5.8231999999999999</v>
          </cell>
          <cell r="AO284">
            <v>5.6927490636102691</v>
          </cell>
          <cell r="AP284">
            <v>5.787758666734673</v>
          </cell>
          <cell r="AQ284">
            <v>5.9000077666582253</v>
          </cell>
          <cell r="AR284">
            <v>5.8267773344894422</v>
          </cell>
          <cell r="AS284">
            <v>6.136848544088898</v>
          </cell>
          <cell r="AT284">
            <v>5.7324260887386007</v>
          </cell>
          <cell r="AU284">
            <v>5.7928455102040814</v>
          </cell>
          <cell r="AV284">
            <v>5.6943000000000001</v>
          </cell>
          <cell r="AW284">
            <v>5.7971721518987325</v>
          </cell>
          <cell r="AX284">
            <v>5.9707999999999997</v>
          </cell>
          <cell r="AZ284">
            <v>188</v>
          </cell>
          <cell r="BA284">
            <v>188</v>
          </cell>
          <cell r="BC284">
            <v>2030</v>
          </cell>
        </row>
        <row r="285">
          <cell r="D285">
            <v>47849</v>
          </cell>
          <cell r="E285">
            <v>56.843269999999997</v>
          </cell>
          <cell r="F285">
            <v>57.946910000000003</v>
          </cell>
          <cell r="G285">
            <v>56.483170000000001</v>
          </cell>
          <cell r="H285">
            <v>60.291670000000003</v>
          </cell>
          <cell r="J285">
            <v>57.446910000000003</v>
          </cell>
          <cell r="K285">
            <v>57.446910000000003</v>
          </cell>
          <cell r="L285">
            <v>60.196910000000003</v>
          </cell>
          <cell r="M285">
            <v>45.649059999999999</v>
          </cell>
          <cell r="N285">
            <v>50.994660000000003</v>
          </cell>
          <cell r="O285">
            <v>45.671819999999997</v>
          </cell>
          <cell r="P285">
            <v>48.916319999999999</v>
          </cell>
          <cell r="R285">
            <v>50.494660000000003</v>
          </cell>
          <cell r="S285">
            <v>50.494660000000003</v>
          </cell>
          <cell r="T285">
            <v>53.244660000000003</v>
          </cell>
          <cell r="U285">
            <v>51.908188172043005</v>
          </cell>
          <cell r="V285">
            <v>54.881939569892481</v>
          </cell>
          <cell r="W285">
            <v>51.716875913978491</v>
          </cell>
          <cell r="Z285">
            <v>54.381939569892474</v>
          </cell>
          <cell r="AC285">
            <v>5.6132</v>
          </cell>
          <cell r="AD285">
            <v>5.5984999999999996</v>
          </cell>
          <cell r="AE285">
            <v>5.5838000000000001</v>
          </cell>
          <cell r="AF285">
            <v>5.6279000000000003</v>
          </cell>
          <cell r="AG285">
            <v>5.6573000000000002</v>
          </cell>
          <cell r="AH285">
            <v>5.2458</v>
          </cell>
          <cell r="AI285">
            <v>5.8335999999999997</v>
          </cell>
          <cell r="AJ285">
            <v>5.7702999999999998</v>
          </cell>
          <cell r="AK285">
            <v>5.9016000000000002</v>
          </cell>
          <cell r="AL285">
            <v>5.7118000000000002</v>
          </cell>
          <cell r="AM285">
            <v>5.9516</v>
          </cell>
          <cell r="AN285">
            <v>5.7313999999999998</v>
          </cell>
          <cell r="AO285">
            <v>5.5976046407996947</v>
          </cell>
          <cell r="AP285">
            <v>5.6910535764561869</v>
          </cell>
          <cell r="AQ285">
            <v>5.8016143636329103</v>
          </cell>
          <cell r="AR285">
            <v>5.7300722442109562</v>
          </cell>
          <cell r="AS285">
            <v>6.0396163185512917</v>
          </cell>
          <cell r="AT285">
            <v>5.7095753868224204</v>
          </cell>
          <cell r="AU285">
            <v>5.6961108163265299</v>
          </cell>
          <cell r="AV285">
            <v>5.5987999999999998</v>
          </cell>
          <cell r="AW285">
            <v>5.7007670886075932</v>
          </cell>
          <cell r="AX285">
            <v>5.8837999999999999</v>
          </cell>
          <cell r="AZ285">
            <v>189</v>
          </cell>
          <cell r="BA285">
            <v>189</v>
          </cell>
          <cell r="BC285">
            <v>2031</v>
          </cell>
        </row>
        <row r="286">
          <cell r="D286">
            <v>47880</v>
          </cell>
          <cell r="E286">
            <v>57.500059999999998</v>
          </cell>
          <cell r="F286">
            <v>57.979430000000001</v>
          </cell>
          <cell r="G286">
            <v>60.630690000000001</v>
          </cell>
          <cell r="H286">
            <v>64.58869</v>
          </cell>
          <cell r="J286">
            <v>57.979430000000001</v>
          </cell>
          <cell r="K286">
            <v>56.979430000000001</v>
          </cell>
          <cell r="L286">
            <v>60.229430000000001</v>
          </cell>
          <cell r="M286">
            <v>46.679499999999997</v>
          </cell>
          <cell r="N286">
            <v>52.404490000000003</v>
          </cell>
          <cell r="O286">
            <v>49.52713</v>
          </cell>
          <cell r="P286">
            <v>52.413330000000002</v>
          </cell>
          <cell r="R286">
            <v>51.904490000000003</v>
          </cell>
          <cell r="S286">
            <v>51.154490000000003</v>
          </cell>
          <cell r="T286">
            <v>54.404490000000003</v>
          </cell>
          <cell r="U286">
            <v>52.862677142857144</v>
          </cell>
          <cell r="V286">
            <v>55.590170000000001</v>
          </cell>
          <cell r="W286">
            <v>55.872021428571429</v>
          </cell>
          <cell r="Z286">
            <v>55.375884285714292</v>
          </cell>
          <cell r="AC286">
            <v>5.6573000000000002</v>
          </cell>
          <cell r="AD286">
            <v>5.6425999999999998</v>
          </cell>
          <cell r="AE286">
            <v>5.6279000000000003</v>
          </cell>
          <cell r="AF286">
            <v>5.5838000000000001</v>
          </cell>
          <cell r="AG286">
            <v>5.7013999999999996</v>
          </cell>
          <cell r="AH286">
            <v>5.3193000000000001</v>
          </cell>
          <cell r="AI286">
            <v>5.8630000000000004</v>
          </cell>
          <cell r="AJ286">
            <v>5.8139000000000003</v>
          </cell>
          <cell r="AK286">
            <v>5.9451000000000001</v>
          </cell>
          <cell r="AL286">
            <v>5.7556000000000003</v>
          </cell>
          <cell r="AM286">
            <v>5.9950999999999999</v>
          </cell>
          <cell r="AN286">
            <v>5.7751000000000001</v>
          </cell>
          <cell r="AO286">
            <v>5.6418648628033479</v>
          </cell>
          <cell r="AP286">
            <v>5.7360398051616848</v>
          </cell>
          <cell r="AQ286">
            <v>5.8471219574810114</v>
          </cell>
          <cell r="AR286">
            <v>5.7750584729164549</v>
          </cell>
          <cell r="AS286">
            <v>5.994241279967075</v>
          </cell>
          <cell r="AT286">
            <v>5.7701348703760633</v>
          </cell>
          <cell r="AU286">
            <v>5.7411108163265308</v>
          </cell>
          <cell r="AV286">
            <v>5.6429</v>
          </cell>
          <cell r="AW286">
            <v>5.7454253164556945</v>
          </cell>
          <cell r="AX286">
            <v>5.9268000000000001</v>
          </cell>
          <cell r="AZ286">
            <v>190</v>
          </cell>
          <cell r="BA286">
            <v>190</v>
          </cell>
          <cell r="BC286">
            <v>2031</v>
          </cell>
        </row>
        <row r="287">
          <cell r="D287">
            <v>47908</v>
          </cell>
          <cell r="E287">
            <v>50.289630000000002</v>
          </cell>
          <cell r="F287">
            <v>54.894390000000001</v>
          </cell>
          <cell r="G287">
            <v>51.949829999999999</v>
          </cell>
          <cell r="H287">
            <v>55.748330000000003</v>
          </cell>
          <cell r="J287">
            <v>54.894390000000001</v>
          </cell>
          <cell r="K287">
            <v>53.894390000000001</v>
          </cell>
          <cell r="L287">
            <v>57.144390000000001</v>
          </cell>
          <cell r="M287">
            <v>44.261420000000001</v>
          </cell>
          <cell r="N287">
            <v>50.415649999999999</v>
          </cell>
          <cell r="O287">
            <v>44.970019999999998</v>
          </cell>
          <cell r="P287">
            <v>48.165520000000001</v>
          </cell>
          <cell r="R287">
            <v>49.915649999999999</v>
          </cell>
          <cell r="S287">
            <v>48.915649999999999</v>
          </cell>
          <cell r="T287">
            <v>52.415649999999999</v>
          </cell>
          <cell r="U287">
            <v>47.63656853297443</v>
          </cell>
          <cell r="V287">
            <v>52.923262166890979</v>
          </cell>
          <cell r="W287">
            <v>48.877962072678329</v>
          </cell>
          <cell r="Z287">
            <v>52.703208331090181</v>
          </cell>
          <cell r="AC287">
            <v>5.5103</v>
          </cell>
          <cell r="AD287">
            <v>5.4955999999999996</v>
          </cell>
          <cell r="AE287">
            <v>5.4955999999999996</v>
          </cell>
          <cell r="AF287">
            <v>5.3928000000000003</v>
          </cell>
          <cell r="AG287">
            <v>5.5396999999999998</v>
          </cell>
          <cell r="AH287">
            <v>4.952</v>
          </cell>
          <cell r="AI287">
            <v>5.6867000000000001</v>
          </cell>
          <cell r="AJ287">
            <v>5.6647999999999996</v>
          </cell>
          <cell r="AK287">
            <v>5.7958999999999996</v>
          </cell>
          <cell r="AL287">
            <v>5.6078000000000001</v>
          </cell>
          <cell r="AM287">
            <v>5.8459000000000003</v>
          </cell>
          <cell r="AN287">
            <v>5.6266999999999996</v>
          </cell>
          <cell r="AO287">
            <v>5.4943307894578366</v>
          </cell>
          <cell r="AP287">
            <v>5.5860857094766905</v>
          </cell>
          <cell r="AQ287">
            <v>5.7030145769620244</v>
          </cell>
          <cell r="AR287">
            <v>5.6251043772314597</v>
          </cell>
          <cell r="AS287">
            <v>5.7977190040127589</v>
          </cell>
          <cell r="AT287">
            <v>5.4171273901014452</v>
          </cell>
          <cell r="AU287">
            <v>5.5911108163265304</v>
          </cell>
          <cell r="AV287">
            <v>5.5106000000000002</v>
          </cell>
          <cell r="AW287">
            <v>5.5965645569620239</v>
          </cell>
          <cell r="AX287">
            <v>5.7759</v>
          </cell>
          <cell r="AZ287">
            <v>191</v>
          </cell>
          <cell r="BA287">
            <v>191</v>
          </cell>
          <cell r="BC287">
            <v>2031</v>
          </cell>
        </row>
        <row r="288">
          <cell r="D288">
            <v>47939</v>
          </cell>
          <cell r="E288">
            <v>48.835270000000001</v>
          </cell>
          <cell r="F288">
            <v>51.190719999999999</v>
          </cell>
          <cell r="G288">
            <v>48.884999999999998</v>
          </cell>
          <cell r="H288">
            <v>50.383600000000001</v>
          </cell>
          <cell r="J288">
            <v>49.690719999999999</v>
          </cell>
          <cell r="K288">
            <v>49.690719999999999</v>
          </cell>
          <cell r="L288">
            <v>53.190719999999999</v>
          </cell>
          <cell r="M288">
            <v>43.229759999999999</v>
          </cell>
          <cell r="N288">
            <v>48.322589999999998</v>
          </cell>
          <cell r="O288">
            <v>42.516559999999998</v>
          </cell>
          <cell r="P288">
            <v>49.192160000000001</v>
          </cell>
          <cell r="R288">
            <v>47.572589999999998</v>
          </cell>
          <cell r="S288">
            <v>47.322589999999998</v>
          </cell>
          <cell r="T288">
            <v>50.322589999999998</v>
          </cell>
          <cell r="U288">
            <v>46.468499111111107</v>
          </cell>
          <cell r="V288">
            <v>49.979731777777772</v>
          </cell>
          <cell r="W288">
            <v>46.196103111111114</v>
          </cell>
          <cell r="Z288">
            <v>48.796398444444442</v>
          </cell>
          <cell r="AC288">
            <v>5.2164999999999999</v>
          </cell>
          <cell r="AD288">
            <v>5.1871</v>
          </cell>
          <cell r="AE288">
            <v>5.2605000000000004</v>
          </cell>
          <cell r="AF288">
            <v>5.2164999999999999</v>
          </cell>
          <cell r="AG288">
            <v>5.3928000000000003</v>
          </cell>
          <cell r="AH288">
            <v>4.7755999999999998</v>
          </cell>
          <cell r="AI288">
            <v>5.4955999999999996</v>
          </cell>
          <cell r="AJ288">
            <v>5.3587999999999996</v>
          </cell>
          <cell r="AK288">
            <v>5.4890999999999996</v>
          </cell>
          <cell r="AL288">
            <v>5.3087999999999997</v>
          </cell>
          <cell r="AM288">
            <v>5.5391000000000004</v>
          </cell>
          <cell r="AN288">
            <v>5.3243999999999998</v>
          </cell>
          <cell r="AO288">
            <v>5.1994633693972174</v>
          </cell>
          <cell r="AP288">
            <v>5.2863815372845044</v>
          </cell>
          <cell r="AQ288">
            <v>5.4225392026329109</v>
          </cell>
          <cell r="AR288">
            <v>5.3254002050392737</v>
          </cell>
          <cell r="AS288">
            <v>5.6163217409198474</v>
          </cell>
          <cell r="AT288">
            <v>5.0136024387744653</v>
          </cell>
          <cell r="AU288">
            <v>5.2913148979591833</v>
          </cell>
          <cell r="AV288">
            <v>5.2755000000000001</v>
          </cell>
          <cell r="AW288">
            <v>5.2841594936708853</v>
          </cell>
          <cell r="AX288">
            <v>5.4128999999999996</v>
          </cell>
          <cell r="AZ288">
            <v>192</v>
          </cell>
          <cell r="BA288">
            <v>192</v>
          </cell>
          <cell r="BC288">
            <v>2031</v>
          </cell>
        </row>
        <row r="289">
          <cell r="D289">
            <v>47969</v>
          </cell>
          <cell r="E289">
            <v>44.795909999999999</v>
          </cell>
          <cell r="F289">
            <v>48.119430000000001</v>
          </cell>
          <cell r="G289">
            <v>40.979230000000001</v>
          </cell>
          <cell r="H289">
            <v>46.21293</v>
          </cell>
          <cell r="J289">
            <v>48.119430000000001</v>
          </cell>
          <cell r="K289">
            <v>48.119430000000001</v>
          </cell>
          <cell r="L289">
            <v>50.119430000000001</v>
          </cell>
          <cell r="M289">
            <v>36.417050000000003</v>
          </cell>
          <cell r="N289">
            <v>44.581620000000001</v>
          </cell>
          <cell r="O289">
            <v>32.930779999999999</v>
          </cell>
          <cell r="P289">
            <v>37.576680000000003</v>
          </cell>
          <cell r="R289">
            <v>44.581620000000001</v>
          </cell>
          <cell r="S289">
            <v>44.081620000000001</v>
          </cell>
          <cell r="T289">
            <v>46.331620000000001</v>
          </cell>
          <cell r="U289">
            <v>41.102003978494622</v>
          </cell>
          <cell r="V289">
            <v>46.559750322580648</v>
          </cell>
          <cell r="W289">
            <v>37.430988602150535</v>
          </cell>
          <cell r="Z289">
            <v>46.559750322580648</v>
          </cell>
          <cell r="AC289">
            <v>5.0989000000000004</v>
          </cell>
          <cell r="AD289">
            <v>5.0254000000000003</v>
          </cell>
          <cell r="AE289">
            <v>5.1429999999999998</v>
          </cell>
          <cell r="AF289">
            <v>5.1723999999999997</v>
          </cell>
          <cell r="AG289">
            <v>5.3339999999999996</v>
          </cell>
          <cell r="AH289">
            <v>4.7462</v>
          </cell>
          <cell r="AI289">
            <v>5.3928000000000003</v>
          </cell>
          <cell r="AJ289">
            <v>5.2348999999999997</v>
          </cell>
          <cell r="AK289">
            <v>5.3647999999999998</v>
          </cell>
          <cell r="AL289">
            <v>5.1885000000000003</v>
          </cell>
          <cell r="AM289">
            <v>5.4147999999999996</v>
          </cell>
          <cell r="AN289">
            <v>5.2023999999999999</v>
          </cell>
          <cell r="AO289">
            <v>5.0814361107208095</v>
          </cell>
          <cell r="AP289">
            <v>5.166418260736509</v>
          </cell>
          <cell r="AQ289">
            <v>5.2784834180253153</v>
          </cell>
          <cell r="AR289">
            <v>5.2054369284912791</v>
          </cell>
          <cell r="AS289">
            <v>5.5709467023356307</v>
          </cell>
          <cell r="AT289">
            <v>5.0442408238549028</v>
          </cell>
          <cell r="AU289">
            <v>5.1713148979591841</v>
          </cell>
          <cell r="AV289">
            <v>5.1580000000000004</v>
          </cell>
          <cell r="AW289">
            <v>5.1204126582278473</v>
          </cell>
          <cell r="AX289">
            <v>5.2442000000000002</v>
          </cell>
          <cell r="AZ289">
            <v>193</v>
          </cell>
          <cell r="BA289">
            <v>193</v>
          </cell>
          <cell r="BC289">
            <v>2031</v>
          </cell>
        </row>
        <row r="290">
          <cell r="D290">
            <v>48000</v>
          </cell>
          <cell r="E290">
            <v>50.29598</v>
          </cell>
          <cell r="F290">
            <v>52.790179999999999</v>
          </cell>
          <cell r="G290">
            <v>47.089910000000003</v>
          </cell>
          <cell r="H290">
            <v>53.741410000000002</v>
          </cell>
          <cell r="J290">
            <v>52.040179999999999</v>
          </cell>
          <cell r="K290">
            <v>52.790179999999999</v>
          </cell>
          <cell r="L290">
            <v>55.290179999999999</v>
          </cell>
          <cell r="M290">
            <v>39.964559999999999</v>
          </cell>
          <cell r="N290">
            <v>46.493569999999998</v>
          </cell>
          <cell r="O290">
            <v>36.654850000000003</v>
          </cell>
          <cell r="P290">
            <v>43.494549999999997</v>
          </cell>
          <cell r="R290">
            <v>45.993569999999998</v>
          </cell>
          <cell r="S290">
            <v>45.993569999999998</v>
          </cell>
          <cell r="T290">
            <v>48.743569999999998</v>
          </cell>
          <cell r="U290">
            <v>45.704237777777777</v>
          </cell>
          <cell r="V290">
            <v>49.991686666666666</v>
          </cell>
          <cell r="W290">
            <v>42.452105555555555</v>
          </cell>
          <cell r="Z290">
            <v>49.352797777777774</v>
          </cell>
          <cell r="AC290">
            <v>5.0989000000000004</v>
          </cell>
          <cell r="AD290">
            <v>5.0400999999999998</v>
          </cell>
          <cell r="AE290">
            <v>5.1429999999999998</v>
          </cell>
          <cell r="AF290">
            <v>5.2310999999999996</v>
          </cell>
          <cell r="AG290">
            <v>5.3780999999999999</v>
          </cell>
          <cell r="AH290">
            <v>4.7609000000000004</v>
          </cell>
          <cell r="AI290">
            <v>5.4074999999999998</v>
          </cell>
          <cell r="AJ290">
            <v>5.2359</v>
          </cell>
          <cell r="AK290">
            <v>5.3658999999999999</v>
          </cell>
          <cell r="AL290">
            <v>5.1890000000000001</v>
          </cell>
          <cell r="AM290">
            <v>5.4158999999999997</v>
          </cell>
          <cell r="AN290">
            <v>5.2031000000000001</v>
          </cell>
          <cell r="AO290">
            <v>5.0814361107208095</v>
          </cell>
          <cell r="AP290">
            <v>5.166418260736509</v>
          </cell>
          <cell r="AQ290">
            <v>5.286068016999999</v>
          </cell>
          <cell r="AR290">
            <v>5.2054369284912791</v>
          </cell>
          <cell r="AS290">
            <v>5.6313438625372978</v>
          </cell>
          <cell r="AT290">
            <v>5.0314321344400037</v>
          </cell>
          <cell r="AU290">
            <v>5.1713148979591841</v>
          </cell>
          <cell r="AV290">
            <v>5.1580000000000004</v>
          </cell>
          <cell r="AW290">
            <v>5.1352987341772138</v>
          </cell>
          <cell r="AX290">
            <v>5.2607999999999997</v>
          </cell>
          <cell r="AZ290">
            <v>194</v>
          </cell>
          <cell r="BA290">
            <v>194</v>
          </cell>
          <cell r="BC290">
            <v>2031</v>
          </cell>
        </row>
        <row r="291">
          <cell r="D291">
            <v>48030</v>
          </cell>
          <cell r="E291">
            <v>57.263219999999997</v>
          </cell>
          <cell r="F291">
            <v>58.59854</v>
          </cell>
          <cell r="G291">
            <v>53.376579999999997</v>
          </cell>
          <cell r="H291">
            <v>58.986879999999999</v>
          </cell>
          <cell r="J291">
            <v>63.59854</v>
          </cell>
          <cell r="K291">
            <v>64.09854</v>
          </cell>
          <cell r="L291">
            <v>62.84854</v>
          </cell>
          <cell r="M291">
            <v>45.425910000000002</v>
          </cell>
          <cell r="N291">
            <v>49.615000000000002</v>
          </cell>
          <cell r="O291">
            <v>42.140949999999997</v>
          </cell>
          <cell r="P291">
            <v>47.280250000000002</v>
          </cell>
          <cell r="R291">
            <v>50.615000000000002</v>
          </cell>
          <cell r="S291">
            <v>50.615000000000002</v>
          </cell>
          <cell r="T291">
            <v>52.115000000000002</v>
          </cell>
          <cell r="U291">
            <v>52.044620967741942</v>
          </cell>
          <cell r="V291">
            <v>54.638054623655911</v>
          </cell>
          <cell r="W291">
            <v>48.423237741935488</v>
          </cell>
          <cell r="Z291">
            <v>57.874613763440863</v>
          </cell>
          <cell r="AC291">
            <v>5.1429999999999998</v>
          </cell>
          <cell r="AD291">
            <v>5.0548000000000002</v>
          </cell>
          <cell r="AE291">
            <v>5.2164999999999999</v>
          </cell>
          <cell r="AF291">
            <v>5.3193000000000001</v>
          </cell>
          <cell r="AG291">
            <v>5.4809000000000001</v>
          </cell>
          <cell r="AH291">
            <v>4.8491</v>
          </cell>
          <cell r="AI291">
            <v>5.5250000000000004</v>
          </cell>
          <cell r="AJ291">
            <v>5.2812999999999999</v>
          </cell>
          <cell r="AK291">
            <v>5.4112999999999998</v>
          </cell>
          <cell r="AL291">
            <v>5.2336</v>
          </cell>
          <cell r="AM291">
            <v>5.4612999999999996</v>
          </cell>
          <cell r="AN291">
            <v>5.2481</v>
          </cell>
          <cell r="AO291">
            <v>5.1256963327244618</v>
          </cell>
          <cell r="AP291">
            <v>5.2114044894420068</v>
          </cell>
          <cell r="AQ291">
            <v>5.3315756108481001</v>
          </cell>
          <cell r="AR291">
            <v>5.2504231571967761</v>
          </cell>
          <cell r="AS291">
            <v>5.7220939397057311</v>
          </cell>
          <cell r="AT291">
            <v>5.0971150937596068</v>
          </cell>
          <cell r="AU291">
            <v>5.2163148979591831</v>
          </cell>
          <cell r="AV291">
            <v>5.2314999999999996</v>
          </cell>
          <cell r="AW291">
            <v>5.1501848101265812</v>
          </cell>
          <cell r="AX291">
            <v>5.2778999999999998</v>
          </cell>
          <cell r="AZ291">
            <v>195</v>
          </cell>
          <cell r="BA291">
            <v>195</v>
          </cell>
          <cell r="BC291">
            <v>2031</v>
          </cell>
        </row>
        <row r="292">
          <cell r="D292">
            <v>48061</v>
          </cell>
          <cell r="E292">
            <v>63.551139999999997</v>
          </cell>
          <cell r="F292">
            <v>61.624600000000001</v>
          </cell>
          <cell r="G292">
            <v>60.298769999999998</v>
          </cell>
          <cell r="H292">
            <v>62.361669999999997</v>
          </cell>
          <cell r="J292">
            <v>66.124600000000001</v>
          </cell>
          <cell r="K292">
            <v>67.124600000000001</v>
          </cell>
          <cell r="L292">
            <v>65.374600000000001</v>
          </cell>
          <cell r="M292">
            <v>49.661029999999997</v>
          </cell>
          <cell r="N292">
            <v>51.641300000000001</v>
          </cell>
          <cell r="O292">
            <v>46.56033</v>
          </cell>
          <cell r="P292">
            <v>51.357329999999997</v>
          </cell>
          <cell r="R292">
            <v>52.641300000000001</v>
          </cell>
          <cell r="S292">
            <v>52.641300000000001</v>
          </cell>
          <cell r="T292">
            <v>54.141300000000001</v>
          </cell>
          <cell r="U292">
            <v>57.427543118279566</v>
          </cell>
          <cell r="V292">
            <v>57.223360215053766</v>
          </cell>
          <cell r="W292">
            <v>54.242038387096777</v>
          </cell>
          <cell r="Z292">
            <v>60.180349462365591</v>
          </cell>
          <cell r="AC292">
            <v>5.2605000000000004</v>
          </cell>
          <cell r="AD292">
            <v>5.2458</v>
          </cell>
          <cell r="AE292">
            <v>5.3045999999999998</v>
          </cell>
          <cell r="AF292">
            <v>5.3193000000000001</v>
          </cell>
          <cell r="AG292">
            <v>5.5250000000000004</v>
          </cell>
          <cell r="AH292">
            <v>4.8932000000000002</v>
          </cell>
          <cell r="AI292">
            <v>5.6279000000000003</v>
          </cell>
          <cell r="AJ292">
            <v>5.4</v>
          </cell>
          <cell r="AK292">
            <v>5.5301</v>
          </cell>
          <cell r="AL292">
            <v>5.3516000000000004</v>
          </cell>
          <cell r="AM292">
            <v>5.5800999999999998</v>
          </cell>
          <cell r="AN292">
            <v>5.3665000000000003</v>
          </cell>
          <cell r="AO292">
            <v>5.2436232280856698</v>
          </cell>
          <cell r="AP292">
            <v>5.3312657564011019</v>
          </cell>
          <cell r="AQ292">
            <v>5.4755797995443025</v>
          </cell>
          <cell r="AR292">
            <v>5.3702844241558712</v>
          </cell>
          <cell r="AS292">
            <v>5.7220939397057311</v>
          </cell>
          <cell r="AT292">
            <v>5.217516774259658</v>
          </cell>
          <cell r="AU292">
            <v>5.3362128571428569</v>
          </cell>
          <cell r="AV292">
            <v>5.3196000000000003</v>
          </cell>
          <cell r="AW292">
            <v>5.3436025316455682</v>
          </cell>
          <cell r="AX292">
            <v>5.4711999999999996</v>
          </cell>
          <cell r="AZ292">
            <v>196</v>
          </cell>
          <cell r="BA292">
            <v>196</v>
          </cell>
          <cell r="BC292">
            <v>2031</v>
          </cell>
        </row>
        <row r="293">
          <cell r="D293">
            <v>48092</v>
          </cell>
          <cell r="E293">
            <v>60.946379999999998</v>
          </cell>
          <cell r="F293">
            <v>58.299590000000002</v>
          </cell>
          <cell r="G293">
            <v>62.714840000000002</v>
          </cell>
          <cell r="H293">
            <v>64.300439999999995</v>
          </cell>
          <cell r="J293">
            <v>61.299590000000002</v>
          </cell>
          <cell r="K293">
            <v>62.299590000000002</v>
          </cell>
          <cell r="L293">
            <v>61.299590000000002</v>
          </cell>
          <cell r="M293">
            <v>48.61063</v>
          </cell>
          <cell r="N293">
            <v>49.772750000000002</v>
          </cell>
          <cell r="O293">
            <v>50.360770000000002</v>
          </cell>
          <cell r="P293">
            <v>50.088270000000001</v>
          </cell>
          <cell r="R293">
            <v>48.272750000000002</v>
          </cell>
          <cell r="S293">
            <v>48.272750000000002</v>
          </cell>
          <cell r="T293">
            <v>52.022750000000002</v>
          </cell>
          <cell r="U293">
            <v>55.463824444444448</v>
          </cell>
          <cell r="V293">
            <v>54.509883333333335</v>
          </cell>
          <cell r="W293">
            <v>57.224142222222227</v>
          </cell>
          <cell r="Z293">
            <v>55.509883333333342</v>
          </cell>
          <cell r="AC293">
            <v>5.2899000000000003</v>
          </cell>
          <cell r="AD293">
            <v>5.2899000000000003</v>
          </cell>
          <cell r="AE293">
            <v>5.2751999999999999</v>
          </cell>
          <cell r="AF293">
            <v>5.2458</v>
          </cell>
          <cell r="AG293">
            <v>5.4074999999999998</v>
          </cell>
          <cell r="AH293">
            <v>5.0254000000000003</v>
          </cell>
          <cell r="AI293">
            <v>5.6132</v>
          </cell>
          <cell r="AJ293">
            <v>5.4295</v>
          </cell>
          <cell r="AK293">
            <v>5.5597000000000003</v>
          </cell>
          <cell r="AL293">
            <v>5.3811</v>
          </cell>
          <cell r="AM293">
            <v>5.6097000000000001</v>
          </cell>
          <cell r="AN293">
            <v>5.3959999999999999</v>
          </cell>
          <cell r="AO293">
            <v>5.2731300427547723</v>
          </cell>
          <cell r="AP293">
            <v>5.3612565755381008</v>
          </cell>
          <cell r="AQ293">
            <v>5.4831643985189862</v>
          </cell>
          <cell r="AR293">
            <v>5.40027524329287</v>
          </cell>
          <cell r="AS293">
            <v>5.6464688753987033</v>
          </cell>
          <cell r="AT293">
            <v>5.2425193359975406</v>
          </cell>
          <cell r="AU293">
            <v>5.3662128571428571</v>
          </cell>
          <cell r="AV293">
            <v>5.2901999999999996</v>
          </cell>
          <cell r="AW293">
            <v>5.3882607594936696</v>
          </cell>
          <cell r="AX293">
            <v>5.5155000000000003</v>
          </cell>
          <cell r="AZ293">
            <v>197</v>
          </cell>
          <cell r="BA293">
            <v>197</v>
          </cell>
          <cell r="BC293">
            <v>2031</v>
          </cell>
        </row>
        <row r="294">
          <cell r="D294">
            <v>48122</v>
          </cell>
          <cell r="E294">
            <v>53.269840000000002</v>
          </cell>
          <cell r="F294">
            <v>55.800930000000001</v>
          </cell>
          <cell r="G294">
            <v>54.223410000000001</v>
          </cell>
          <cell r="H294">
            <v>56.01061</v>
          </cell>
          <cell r="J294">
            <v>55.300930000000001</v>
          </cell>
          <cell r="K294">
            <v>55.800930000000001</v>
          </cell>
          <cell r="L294">
            <v>57.800930000000001</v>
          </cell>
          <cell r="M294">
            <v>44.092109999999998</v>
          </cell>
          <cell r="N294">
            <v>49.304169999999999</v>
          </cell>
          <cell r="O294">
            <v>45.406820000000003</v>
          </cell>
          <cell r="P294">
            <v>48.810920000000003</v>
          </cell>
          <cell r="R294">
            <v>48.304169999999999</v>
          </cell>
          <cell r="S294">
            <v>47.804169999999999</v>
          </cell>
          <cell r="T294">
            <v>51.054169999999999</v>
          </cell>
          <cell r="U294">
            <v>49.42111451612903</v>
          </cell>
          <cell r="V294">
            <v>53.076482258064516</v>
          </cell>
          <cell r="W294">
            <v>50.526130322580642</v>
          </cell>
          <cell r="Z294">
            <v>52.366804838709683</v>
          </cell>
          <cell r="AC294">
            <v>5.3634000000000004</v>
          </cell>
          <cell r="AD294">
            <v>5.3634000000000004</v>
          </cell>
          <cell r="AE294">
            <v>5.3193000000000001</v>
          </cell>
          <cell r="AF294">
            <v>5.2751999999999999</v>
          </cell>
          <cell r="AG294">
            <v>5.4516</v>
          </cell>
          <cell r="AH294">
            <v>5.0989000000000004</v>
          </cell>
          <cell r="AI294">
            <v>5.6719999999999997</v>
          </cell>
          <cell r="AJ294">
            <v>5.5044000000000004</v>
          </cell>
          <cell r="AK294">
            <v>5.6345999999999998</v>
          </cell>
          <cell r="AL294">
            <v>5.4550999999999998</v>
          </cell>
          <cell r="AM294">
            <v>5.6845999999999997</v>
          </cell>
          <cell r="AN294">
            <v>5.4703999999999997</v>
          </cell>
          <cell r="AO294">
            <v>5.3468970794275279</v>
          </cell>
          <cell r="AP294">
            <v>5.4362336233805975</v>
          </cell>
          <cell r="AQ294">
            <v>5.5438411903164546</v>
          </cell>
          <cell r="AR294">
            <v>5.4752522911353676</v>
          </cell>
          <cell r="AS294">
            <v>5.6767189011215144</v>
          </cell>
          <cell r="AT294">
            <v>5.3203961676401272</v>
          </cell>
          <cell r="AU294">
            <v>5.4412128571428573</v>
          </cell>
          <cell r="AV294">
            <v>5.3342999999999998</v>
          </cell>
          <cell r="AW294">
            <v>5.4626911392405058</v>
          </cell>
          <cell r="AX294">
            <v>5.5914999999999999</v>
          </cell>
          <cell r="AZ294">
            <v>198</v>
          </cell>
          <cell r="BA294">
            <v>198</v>
          </cell>
          <cell r="BC294">
            <v>2031</v>
          </cell>
        </row>
        <row r="295">
          <cell r="D295">
            <v>48153</v>
          </cell>
          <cell r="E295">
            <v>57.252650000000003</v>
          </cell>
          <cell r="F295">
            <v>57.6252</v>
          </cell>
          <cell r="G295">
            <v>55.351819999999996</v>
          </cell>
          <cell r="H295">
            <v>57.789319999999996</v>
          </cell>
          <cell r="J295">
            <v>57.1252</v>
          </cell>
          <cell r="K295">
            <v>56.1252</v>
          </cell>
          <cell r="L295">
            <v>59.6252</v>
          </cell>
          <cell r="M295">
            <v>46.042679999999997</v>
          </cell>
          <cell r="N295">
            <v>50.98189</v>
          </cell>
          <cell r="O295">
            <v>45.878250000000001</v>
          </cell>
          <cell r="P295">
            <v>46.567149999999998</v>
          </cell>
          <cell r="R295">
            <v>50.48189</v>
          </cell>
          <cell r="S295">
            <v>49.48189</v>
          </cell>
          <cell r="T295">
            <v>52.73189</v>
          </cell>
          <cell r="U295">
            <v>52.261803439667126</v>
          </cell>
          <cell r="V295">
            <v>54.66749887656033</v>
          </cell>
          <cell r="W295">
            <v>51.134044729542296</v>
          </cell>
          <cell r="Z295">
            <v>54.16749887656033</v>
          </cell>
          <cell r="AC295">
            <v>5.5396999999999998</v>
          </cell>
          <cell r="AD295">
            <v>5.5250000000000004</v>
          </cell>
          <cell r="AE295">
            <v>5.5103</v>
          </cell>
          <cell r="AF295">
            <v>5.3928000000000003</v>
          </cell>
          <cell r="AG295">
            <v>5.5250000000000004</v>
          </cell>
          <cell r="AH295">
            <v>5.1723999999999997</v>
          </cell>
          <cell r="AI295">
            <v>5.7747999999999999</v>
          </cell>
          <cell r="AJ295">
            <v>5.6871</v>
          </cell>
          <cell r="AK295">
            <v>5.8178000000000001</v>
          </cell>
          <cell r="AL295">
            <v>5.6341999999999999</v>
          </cell>
          <cell r="AM295">
            <v>5.8677999999999999</v>
          </cell>
          <cell r="AN295">
            <v>5.6512000000000002</v>
          </cell>
          <cell r="AO295">
            <v>5.523837604126939</v>
          </cell>
          <cell r="AP295">
            <v>5.6160765286136893</v>
          </cell>
          <cell r="AQ295">
            <v>5.7257683738860754</v>
          </cell>
          <cell r="AR295">
            <v>5.6550951963684586</v>
          </cell>
          <cell r="AS295">
            <v>5.7977190040127589</v>
          </cell>
          <cell r="AT295">
            <v>5.5779020596372586</v>
          </cell>
          <cell r="AU295">
            <v>5.6211108163265298</v>
          </cell>
          <cell r="AV295">
            <v>5.5252999999999997</v>
          </cell>
          <cell r="AW295">
            <v>5.6263367088607588</v>
          </cell>
          <cell r="AX295">
            <v>5.7920999999999996</v>
          </cell>
          <cell r="AZ295">
            <v>199</v>
          </cell>
          <cell r="BA295">
            <v>199</v>
          </cell>
          <cell r="BC295">
            <v>2031</v>
          </cell>
        </row>
        <row r="296">
          <cell r="D296">
            <v>48183</v>
          </cell>
          <cell r="E296">
            <v>60.744529999999997</v>
          </cell>
          <cell r="F296">
            <v>59.347009999999997</v>
          </cell>
          <cell r="G296">
            <v>60.996470000000002</v>
          </cell>
          <cell r="H296">
            <v>63.724269999999997</v>
          </cell>
          <cell r="J296">
            <v>58.847009999999997</v>
          </cell>
          <cell r="K296">
            <v>58.597009999999997</v>
          </cell>
          <cell r="L296">
            <v>61.347009999999997</v>
          </cell>
          <cell r="M296">
            <v>48.892560000000003</v>
          </cell>
          <cell r="N296">
            <v>52.631340000000002</v>
          </cell>
          <cell r="O296">
            <v>49.377000000000002</v>
          </cell>
          <cell r="P296">
            <v>52.191499999999998</v>
          </cell>
          <cell r="R296">
            <v>52.131340000000002</v>
          </cell>
          <cell r="S296">
            <v>51.631340000000002</v>
          </cell>
          <cell r="T296">
            <v>54.381340000000002</v>
          </cell>
          <cell r="U296">
            <v>55.774349032258066</v>
          </cell>
          <cell r="V296">
            <v>56.53076129032258</v>
          </cell>
          <cell r="W296">
            <v>56.123789032258067</v>
          </cell>
          <cell r="Z296">
            <v>56.030761290322587</v>
          </cell>
          <cell r="AC296">
            <v>5.7747999999999999</v>
          </cell>
          <cell r="AD296">
            <v>5.7601000000000004</v>
          </cell>
          <cell r="AE296">
            <v>5.7308000000000003</v>
          </cell>
          <cell r="AF296">
            <v>5.7747999999999999</v>
          </cell>
          <cell r="AG296">
            <v>5.8335999999999997</v>
          </cell>
          <cell r="AH296">
            <v>5.4516</v>
          </cell>
          <cell r="AI296">
            <v>6.0099</v>
          </cell>
          <cell r="AJ296">
            <v>5.9276</v>
          </cell>
          <cell r="AK296">
            <v>6.0586000000000002</v>
          </cell>
          <cell r="AL296">
            <v>5.8715999999999999</v>
          </cell>
          <cell r="AM296">
            <v>6.1086</v>
          </cell>
          <cell r="AN296">
            <v>5.89</v>
          </cell>
          <cell r="AO296">
            <v>5.759791758164555</v>
          </cell>
          <cell r="AP296">
            <v>5.8559010721207789</v>
          </cell>
          <cell r="AQ296">
            <v>5.9608393461898732</v>
          </cell>
          <cell r="AR296">
            <v>5.8949197398755482</v>
          </cell>
          <cell r="AS296">
            <v>6.1907635559213912</v>
          </cell>
          <cell r="AT296">
            <v>5.8008757249718217</v>
          </cell>
          <cell r="AU296">
            <v>5.8610087755102036</v>
          </cell>
          <cell r="AV296">
            <v>5.7458</v>
          </cell>
          <cell r="AW296">
            <v>5.8644126582278471</v>
          </cell>
          <cell r="AX296">
            <v>6.0373000000000001</v>
          </cell>
          <cell r="AZ296">
            <v>200</v>
          </cell>
          <cell r="BA296">
            <v>200</v>
          </cell>
          <cell r="BC296">
            <v>2031</v>
          </cell>
        </row>
        <row r="297">
          <cell r="D297">
            <v>48214</v>
          </cell>
          <cell r="E297">
            <v>58.351410000000001</v>
          </cell>
          <cell r="F297">
            <v>60.318010000000001</v>
          </cell>
          <cell r="G297">
            <v>58.599870000000003</v>
          </cell>
          <cell r="H297">
            <v>62.408369999999998</v>
          </cell>
          <cell r="J297">
            <v>59.818010000000001</v>
          </cell>
          <cell r="K297">
            <v>59.818010000000001</v>
          </cell>
          <cell r="L297">
            <v>62.568010000000001</v>
          </cell>
          <cell r="M297">
            <v>47.790419999999997</v>
          </cell>
          <cell r="N297">
            <v>53.93674</v>
          </cell>
          <cell r="O297">
            <v>47.734439999999999</v>
          </cell>
          <cell r="P297">
            <v>50.978940000000001</v>
          </cell>
          <cell r="R297">
            <v>53.43674</v>
          </cell>
          <cell r="S297">
            <v>53.43674</v>
          </cell>
          <cell r="T297">
            <v>56.18674</v>
          </cell>
          <cell r="U297">
            <v>53.69548967741936</v>
          </cell>
          <cell r="V297">
            <v>57.50476193548387</v>
          </cell>
          <cell r="W297">
            <v>53.809734193548387</v>
          </cell>
          <cell r="Z297">
            <v>57.00476193548387</v>
          </cell>
          <cell r="AC297">
            <v>5.9169</v>
          </cell>
          <cell r="AD297">
            <v>5.9019000000000004</v>
          </cell>
          <cell r="AE297">
            <v>5.8567999999999998</v>
          </cell>
          <cell r="AF297">
            <v>5.9169</v>
          </cell>
          <cell r="AG297">
            <v>5.9469000000000003</v>
          </cell>
          <cell r="AH297">
            <v>5.5415000000000001</v>
          </cell>
          <cell r="AI297">
            <v>6.1271000000000004</v>
          </cell>
          <cell r="AJ297">
            <v>6.0739999999999998</v>
          </cell>
          <cell r="AK297">
            <v>6.2053000000000003</v>
          </cell>
          <cell r="AL297">
            <v>6.0155000000000003</v>
          </cell>
          <cell r="AM297">
            <v>6.2553000000000001</v>
          </cell>
          <cell r="AN297">
            <v>6.0350999999999999</v>
          </cell>
          <cell r="AO297">
            <v>5.9024080290652154</v>
          </cell>
          <cell r="AP297">
            <v>6.0008566979496072</v>
          </cell>
          <cell r="AQ297">
            <v>6.0990131968987331</v>
          </cell>
          <cell r="AR297">
            <v>6.0398753657043764</v>
          </cell>
          <cell r="AS297">
            <v>6.3369720135816445</v>
          </cell>
          <cell r="AT297">
            <v>6.0207753048468087</v>
          </cell>
          <cell r="AU297">
            <v>6.0060087755102041</v>
          </cell>
          <cell r="AV297">
            <v>5.8718000000000004</v>
          </cell>
          <cell r="AW297">
            <v>6.008007594936708</v>
          </cell>
          <cell r="AX297">
            <v>6.1871</v>
          </cell>
          <cell r="AZ297">
            <v>201</v>
          </cell>
          <cell r="BA297">
            <v>201</v>
          </cell>
          <cell r="BC297">
            <v>2032</v>
          </cell>
        </row>
        <row r="298">
          <cell r="D298">
            <v>48245</v>
          </cell>
          <cell r="E298">
            <v>58.984769999999997</v>
          </cell>
          <cell r="F298">
            <v>60.043550000000003</v>
          </cell>
          <cell r="G298">
            <v>61.821390000000001</v>
          </cell>
          <cell r="H298">
            <v>65.779390000000006</v>
          </cell>
          <cell r="J298">
            <v>60.043550000000003</v>
          </cell>
          <cell r="K298">
            <v>59.043550000000003</v>
          </cell>
          <cell r="L298">
            <v>62.293550000000003</v>
          </cell>
          <cell r="M298">
            <v>48.353679999999997</v>
          </cell>
          <cell r="N298">
            <v>54.611690000000003</v>
          </cell>
          <cell r="O298">
            <v>51.022269999999999</v>
          </cell>
          <cell r="P298">
            <v>53.908569999999997</v>
          </cell>
          <cell r="R298">
            <v>54.111690000000003</v>
          </cell>
          <cell r="S298">
            <v>53.361690000000003</v>
          </cell>
          <cell r="T298">
            <v>56.611690000000003</v>
          </cell>
          <cell r="U298">
            <v>54.219108965517236</v>
          </cell>
          <cell r="V298">
            <v>57.608578275862072</v>
          </cell>
          <cell r="W298">
            <v>56.980405172413789</v>
          </cell>
          <cell r="Z298">
            <v>57.384440344827581</v>
          </cell>
          <cell r="AC298">
            <v>5.9619999999999997</v>
          </cell>
          <cell r="AD298">
            <v>5.9469000000000003</v>
          </cell>
          <cell r="AE298">
            <v>5.9169</v>
          </cell>
          <cell r="AF298">
            <v>5.9019000000000004</v>
          </cell>
          <cell r="AG298">
            <v>5.992</v>
          </cell>
          <cell r="AH298">
            <v>5.5865</v>
          </cell>
          <cell r="AI298">
            <v>6.1722000000000001</v>
          </cell>
          <cell r="AJ298">
            <v>6.1185</v>
          </cell>
          <cell r="AK298">
            <v>6.2497999999999996</v>
          </cell>
          <cell r="AL298">
            <v>6.0602999999999998</v>
          </cell>
          <cell r="AM298">
            <v>6.2998000000000003</v>
          </cell>
          <cell r="AN298">
            <v>6.0797999999999996</v>
          </cell>
          <cell r="AO298">
            <v>5.9476718842208784</v>
          </cell>
          <cell r="AP298">
            <v>6.0468630225441187</v>
          </cell>
          <cell r="AQ298">
            <v>6.153240499772151</v>
          </cell>
          <cell r="AR298">
            <v>6.0858816902988879</v>
          </cell>
          <cell r="AS298">
            <v>6.3215383269883736</v>
          </cell>
          <cell r="AT298">
            <v>6.0823594835536436</v>
          </cell>
          <cell r="AU298">
            <v>6.0520291836734685</v>
          </cell>
          <cell r="AV298">
            <v>5.9318999999999997</v>
          </cell>
          <cell r="AW298">
            <v>6.0535772151898728</v>
          </cell>
          <cell r="AX298">
            <v>6.2312000000000003</v>
          </cell>
          <cell r="AZ298">
            <v>202</v>
          </cell>
          <cell r="BA298">
            <v>202</v>
          </cell>
          <cell r="BC298">
            <v>2032</v>
          </cell>
        </row>
        <row r="299">
          <cell r="D299">
            <v>48274</v>
          </cell>
          <cell r="E299">
            <v>51.818170000000002</v>
          </cell>
          <cell r="F299">
            <v>56.552520000000001</v>
          </cell>
          <cell r="G299">
            <v>53.278869999999998</v>
          </cell>
          <cell r="H299">
            <v>57.077370000000002</v>
          </cell>
          <cell r="J299">
            <v>56.552520000000001</v>
          </cell>
          <cell r="K299">
            <v>55.552520000000001</v>
          </cell>
          <cell r="L299">
            <v>58.802520000000001</v>
          </cell>
          <cell r="M299">
            <v>46.420250000000003</v>
          </cell>
          <cell r="N299">
            <v>52.41386</v>
          </cell>
          <cell r="O299">
            <v>45.99577</v>
          </cell>
          <cell r="P299">
            <v>49.191270000000003</v>
          </cell>
          <cell r="R299">
            <v>51.91386</v>
          </cell>
          <cell r="S299">
            <v>50.91386</v>
          </cell>
          <cell r="T299">
            <v>54.41386</v>
          </cell>
          <cell r="U299">
            <v>49.558744535666222</v>
          </cell>
          <cell r="V299">
            <v>54.820187213997308</v>
          </cell>
          <cell r="W299">
            <v>50.230358425302825</v>
          </cell>
          <cell r="Z299">
            <v>54.61090053835801</v>
          </cell>
          <cell r="AC299">
            <v>5.7066999999999997</v>
          </cell>
          <cell r="AD299">
            <v>5.7066999999999997</v>
          </cell>
          <cell r="AE299">
            <v>5.6765999999999996</v>
          </cell>
          <cell r="AF299">
            <v>5.6014999999999997</v>
          </cell>
          <cell r="AG299">
            <v>5.7516999999999996</v>
          </cell>
          <cell r="AH299">
            <v>5.3011999999999997</v>
          </cell>
          <cell r="AI299">
            <v>5.9169</v>
          </cell>
          <cell r="AJ299">
            <v>5.8611000000000004</v>
          </cell>
          <cell r="AK299">
            <v>5.9922000000000004</v>
          </cell>
          <cell r="AL299">
            <v>5.8041</v>
          </cell>
          <cell r="AM299">
            <v>6.0422000000000002</v>
          </cell>
          <cell r="AN299">
            <v>5.8230000000000004</v>
          </cell>
          <cell r="AO299">
            <v>5.691444340512656</v>
          </cell>
          <cell r="AP299">
            <v>5.7864325420789555</v>
          </cell>
          <cell r="AQ299">
            <v>5.9053221455316436</v>
          </cell>
          <cell r="AR299">
            <v>5.8254512098337239</v>
          </cell>
          <cell r="AS299">
            <v>6.0124530301471344</v>
          </cell>
          <cell r="AT299">
            <v>5.61837751818834</v>
          </cell>
          <cell r="AU299">
            <v>5.7915189795918369</v>
          </cell>
          <cell r="AV299">
            <v>5.6916000000000002</v>
          </cell>
          <cell r="AW299">
            <v>5.810336708860758</v>
          </cell>
          <cell r="AX299">
            <v>5.9870000000000001</v>
          </cell>
          <cell r="AZ299">
            <v>203</v>
          </cell>
          <cell r="BA299">
            <v>203</v>
          </cell>
          <cell r="BC299">
            <v>2032</v>
          </cell>
        </row>
        <row r="300">
          <cell r="D300">
            <v>48305</v>
          </cell>
          <cell r="E300">
            <v>50.61835</v>
          </cell>
          <cell r="F300">
            <v>53.511710000000001</v>
          </cell>
          <cell r="G300">
            <v>50.381500000000003</v>
          </cell>
          <cell r="H300">
            <v>51.880099999999999</v>
          </cell>
          <cell r="J300">
            <v>52.011710000000001</v>
          </cell>
          <cell r="K300">
            <v>52.011710000000001</v>
          </cell>
          <cell r="L300">
            <v>55.511710000000001</v>
          </cell>
          <cell r="M300">
            <v>44.93985</v>
          </cell>
          <cell r="N300">
            <v>50.316240000000001</v>
          </cell>
          <cell r="O300">
            <v>44.385129999999997</v>
          </cell>
          <cell r="P300">
            <v>51.06073</v>
          </cell>
          <cell r="R300">
            <v>49.566240000000001</v>
          </cell>
          <cell r="S300">
            <v>49.316240000000001</v>
          </cell>
          <cell r="T300">
            <v>52.316240000000001</v>
          </cell>
          <cell r="U300">
            <v>48.220761111111109</v>
          </cell>
          <cell r="V300">
            <v>52.162511555555554</v>
          </cell>
          <cell r="W300">
            <v>47.849699333333334</v>
          </cell>
          <cell r="Z300">
            <v>50.979178222222224</v>
          </cell>
          <cell r="AC300">
            <v>5.4363000000000001</v>
          </cell>
          <cell r="AD300">
            <v>5.3762999999999996</v>
          </cell>
          <cell r="AE300">
            <v>5.4513999999999996</v>
          </cell>
          <cell r="AF300">
            <v>5.3162000000000003</v>
          </cell>
          <cell r="AG300">
            <v>5.5415000000000001</v>
          </cell>
          <cell r="AH300">
            <v>4.9858000000000002</v>
          </cell>
          <cell r="AI300">
            <v>5.6916000000000002</v>
          </cell>
          <cell r="AJ300">
            <v>5.5787000000000004</v>
          </cell>
          <cell r="AK300">
            <v>5.7089999999999996</v>
          </cell>
          <cell r="AL300">
            <v>5.5286999999999997</v>
          </cell>
          <cell r="AM300">
            <v>5.7590000000000003</v>
          </cell>
          <cell r="AN300">
            <v>5.5442999999999998</v>
          </cell>
          <cell r="AO300">
            <v>5.4200619362090761</v>
          </cell>
          <cell r="AP300">
            <v>5.5105986136896865</v>
          </cell>
          <cell r="AQ300">
            <v>5.6186552618354417</v>
          </cell>
          <cell r="AR300">
            <v>5.5496172814444558</v>
          </cell>
          <cell r="AS300">
            <v>5.7189043111431221</v>
          </cell>
          <cell r="AT300">
            <v>5.2388304334460507</v>
          </cell>
          <cell r="AU300">
            <v>5.5156006122448975</v>
          </cell>
          <cell r="AV300">
            <v>5.4664000000000001</v>
          </cell>
          <cell r="AW300">
            <v>5.4757544303797454</v>
          </cell>
          <cell r="AX300">
            <v>5.6021000000000001</v>
          </cell>
          <cell r="AZ300">
            <v>204</v>
          </cell>
          <cell r="BA300">
            <v>204</v>
          </cell>
          <cell r="BC300">
            <v>2032</v>
          </cell>
        </row>
        <row r="301">
          <cell r="D301">
            <v>48335</v>
          </cell>
          <cell r="E301">
            <v>46.116709999999998</v>
          </cell>
          <cell r="F301">
            <v>49.202689999999997</v>
          </cell>
          <cell r="G301">
            <v>42.247280000000003</v>
          </cell>
          <cell r="H301">
            <v>47.480980000000002</v>
          </cell>
          <cell r="J301">
            <v>49.202689999999997</v>
          </cell>
          <cell r="K301">
            <v>49.202689999999997</v>
          </cell>
          <cell r="L301">
            <v>51.202689999999997</v>
          </cell>
          <cell r="M301">
            <v>38.246270000000003</v>
          </cell>
          <cell r="N301">
            <v>45.737259999999999</v>
          </cell>
          <cell r="O301">
            <v>34.690379999999998</v>
          </cell>
          <cell r="P301">
            <v>39.336280000000002</v>
          </cell>
          <cell r="R301">
            <v>45.737259999999999</v>
          </cell>
          <cell r="S301">
            <v>45.237259999999999</v>
          </cell>
          <cell r="T301">
            <v>47.487259999999999</v>
          </cell>
          <cell r="U301">
            <v>42.477689354838709</v>
          </cell>
          <cell r="V301">
            <v>47.600394408602142</v>
          </cell>
          <cell r="W301">
            <v>38.753229462365589</v>
          </cell>
          <cell r="Z301">
            <v>47.600394408602149</v>
          </cell>
          <cell r="AC301">
            <v>5.1509999999999998</v>
          </cell>
          <cell r="AD301">
            <v>5.1059999999999999</v>
          </cell>
          <cell r="AE301">
            <v>5.181</v>
          </cell>
          <cell r="AF301">
            <v>5.2411000000000003</v>
          </cell>
          <cell r="AG301">
            <v>5.4212999999999996</v>
          </cell>
          <cell r="AH301">
            <v>4.8657000000000004</v>
          </cell>
          <cell r="AI301">
            <v>5.4513999999999996</v>
          </cell>
          <cell r="AJ301">
            <v>5.2869999999999999</v>
          </cell>
          <cell r="AK301">
            <v>5.4169</v>
          </cell>
          <cell r="AL301">
            <v>5.2405999999999997</v>
          </cell>
          <cell r="AM301">
            <v>5.4668999999999999</v>
          </cell>
          <cell r="AN301">
            <v>5.2545000000000002</v>
          </cell>
          <cell r="AO301">
            <v>5.1337253979405437</v>
          </cell>
          <cell r="AP301">
            <v>5.219565256554116</v>
          </cell>
          <cell r="AQ301">
            <v>5.339676168936708</v>
          </cell>
          <cell r="AR301">
            <v>5.2585839243088852</v>
          </cell>
          <cell r="AS301">
            <v>5.6416329869328123</v>
          </cell>
          <cell r="AT301">
            <v>5.0976274413362024</v>
          </cell>
          <cell r="AU301">
            <v>5.2244781632653057</v>
          </cell>
          <cell r="AV301">
            <v>5.1959999999999997</v>
          </cell>
          <cell r="AW301">
            <v>5.2020329113924042</v>
          </cell>
          <cell r="AX301">
            <v>5.3247999999999998</v>
          </cell>
          <cell r="AZ301">
            <v>205</v>
          </cell>
          <cell r="BA301">
            <v>205</v>
          </cell>
          <cell r="BC301">
            <v>2032</v>
          </cell>
        </row>
        <row r="302">
          <cell r="D302">
            <v>48366</v>
          </cell>
          <cell r="E302">
            <v>51.366520000000001</v>
          </cell>
          <cell r="F302">
            <v>53.807960000000001</v>
          </cell>
          <cell r="G302">
            <v>47.749949999999998</v>
          </cell>
          <cell r="H302">
            <v>54.401449999999997</v>
          </cell>
          <cell r="J302">
            <v>53.057960000000001</v>
          </cell>
          <cell r="K302">
            <v>53.807960000000001</v>
          </cell>
          <cell r="L302">
            <v>56.307960000000001</v>
          </cell>
          <cell r="M302">
            <v>40.68036</v>
          </cell>
          <cell r="N302">
            <v>47.25806</v>
          </cell>
          <cell r="O302">
            <v>37.166840000000001</v>
          </cell>
          <cell r="P302">
            <v>44.006540000000001</v>
          </cell>
          <cell r="R302">
            <v>46.75806</v>
          </cell>
          <cell r="S302">
            <v>46.75806</v>
          </cell>
          <cell r="T302">
            <v>49.50806</v>
          </cell>
          <cell r="U302">
            <v>46.854585777777778</v>
          </cell>
          <cell r="V302">
            <v>51.04244666666667</v>
          </cell>
          <cell r="W302">
            <v>43.281525777777773</v>
          </cell>
          <cell r="Z302">
            <v>50.398002222222217</v>
          </cell>
          <cell r="AC302">
            <v>5.1509999999999998</v>
          </cell>
          <cell r="AD302">
            <v>5.1059999999999999</v>
          </cell>
          <cell r="AE302">
            <v>5.1961000000000004</v>
          </cell>
          <cell r="AF302">
            <v>5.2862</v>
          </cell>
          <cell r="AG302">
            <v>5.4664000000000001</v>
          </cell>
          <cell r="AH302">
            <v>4.8956999999999997</v>
          </cell>
          <cell r="AI302">
            <v>5.4964000000000004</v>
          </cell>
          <cell r="AJ302">
            <v>5.2880000000000003</v>
          </cell>
          <cell r="AK302">
            <v>5.4180000000000001</v>
          </cell>
          <cell r="AL302">
            <v>5.2411000000000003</v>
          </cell>
          <cell r="AM302">
            <v>5.468</v>
          </cell>
          <cell r="AN302">
            <v>5.2552000000000003</v>
          </cell>
          <cell r="AO302">
            <v>5.1337253979405437</v>
          </cell>
          <cell r="AP302">
            <v>5.219565256554116</v>
          </cell>
          <cell r="AQ302">
            <v>5.3474671515569616</v>
          </cell>
          <cell r="AR302">
            <v>5.2585839243088852</v>
          </cell>
          <cell r="AS302">
            <v>5.6880369379565794</v>
          </cell>
          <cell r="AT302">
            <v>5.0848187519213033</v>
          </cell>
          <cell r="AU302">
            <v>5.2244781632653057</v>
          </cell>
          <cell r="AV302">
            <v>5.2111000000000001</v>
          </cell>
          <cell r="AW302">
            <v>5.2020329113924042</v>
          </cell>
          <cell r="AX302">
            <v>5.3266</v>
          </cell>
          <cell r="AZ302">
            <v>206</v>
          </cell>
          <cell r="BA302">
            <v>206</v>
          </cell>
          <cell r="BC302">
            <v>2032</v>
          </cell>
        </row>
        <row r="303">
          <cell r="D303">
            <v>48396</v>
          </cell>
          <cell r="E303">
            <v>57.305610000000001</v>
          </cell>
          <cell r="F303">
            <v>58.726709999999997</v>
          </cell>
          <cell r="G303">
            <v>53.250920000000001</v>
          </cell>
          <cell r="H303">
            <v>58.861220000000003</v>
          </cell>
          <cell r="J303">
            <v>63.726709999999997</v>
          </cell>
          <cell r="K303">
            <v>64.226709999999997</v>
          </cell>
          <cell r="L303">
            <v>62.976709999999997</v>
          </cell>
          <cell r="M303">
            <v>45.860010000000003</v>
          </cell>
          <cell r="N303">
            <v>49.996639999999999</v>
          </cell>
          <cell r="O303">
            <v>42.301749999999998</v>
          </cell>
          <cell r="P303">
            <v>47.441049999999997</v>
          </cell>
          <cell r="R303">
            <v>50.996639999999999</v>
          </cell>
          <cell r="S303">
            <v>50.996639999999999</v>
          </cell>
          <cell r="T303">
            <v>52.496639999999999</v>
          </cell>
          <cell r="U303">
            <v>52.259700322580642</v>
          </cell>
          <cell r="V303">
            <v>54.877969462365591</v>
          </cell>
          <cell r="W303">
            <v>48.423866559139782</v>
          </cell>
          <cell r="Z303">
            <v>58.114528602150536</v>
          </cell>
          <cell r="AC303">
            <v>5.1961000000000004</v>
          </cell>
          <cell r="AD303">
            <v>5.0909000000000004</v>
          </cell>
          <cell r="AE303">
            <v>5.2561</v>
          </cell>
          <cell r="AF303">
            <v>5.3613</v>
          </cell>
          <cell r="AG303">
            <v>5.5564999999999998</v>
          </cell>
          <cell r="AH303">
            <v>4.9257</v>
          </cell>
          <cell r="AI303">
            <v>5.5865</v>
          </cell>
          <cell r="AJ303">
            <v>5.3342999999999998</v>
          </cell>
          <cell r="AK303">
            <v>5.4644000000000004</v>
          </cell>
          <cell r="AL303">
            <v>5.2866999999999997</v>
          </cell>
          <cell r="AM303">
            <v>5.5144000000000002</v>
          </cell>
          <cell r="AN303">
            <v>5.3011999999999997</v>
          </cell>
          <cell r="AO303">
            <v>5.1789892530962085</v>
          </cell>
          <cell r="AP303">
            <v>5.2655715811486283</v>
          </cell>
          <cell r="AQ303">
            <v>5.3706337157721507</v>
          </cell>
          <cell r="AR303">
            <v>5.3045902489033976</v>
          </cell>
          <cell r="AS303">
            <v>5.7653082621668892</v>
          </cell>
          <cell r="AT303">
            <v>5.1515264063940984</v>
          </cell>
          <cell r="AU303">
            <v>5.270498571428571</v>
          </cell>
          <cell r="AV303">
            <v>5.2710999999999997</v>
          </cell>
          <cell r="AW303">
            <v>5.1867417721518985</v>
          </cell>
          <cell r="AX303">
            <v>5.3140000000000001</v>
          </cell>
          <cell r="AZ303">
            <v>207</v>
          </cell>
          <cell r="BA303">
            <v>207</v>
          </cell>
          <cell r="BC303">
            <v>2032</v>
          </cell>
        </row>
        <row r="304">
          <cell r="D304">
            <v>48427</v>
          </cell>
          <cell r="E304">
            <v>64.584460000000007</v>
          </cell>
          <cell r="F304">
            <v>62.537660000000002</v>
          </cell>
          <cell r="G304">
            <v>61.550600000000003</v>
          </cell>
          <cell r="H304">
            <v>63.613500000000002</v>
          </cell>
          <cell r="J304">
            <v>67.037660000000002</v>
          </cell>
          <cell r="K304">
            <v>68.037660000000002</v>
          </cell>
          <cell r="L304">
            <v>66.287660000000002</v>
          </cell>
          <cell r="M304">
            <v>50.020829999999997</v>
          </cell>
          <cell r="N304">
            <v>52.084629999999997</v>
          </cell>
          <cell r="O304">
            <v>46.860250000000001</v>
          </cell>
          <cell r="P304">
            <v>51.657249999999998</v>
          </cell>
          <cell r="R304">
            <v>53.084629999999997</v>
          </cell>
          <cell r="S304">
            <v>53.084629999999997</v>
          </cell>
          <cell r="T304">
            <v>54.584629999999997</v>
          </cell>
          <cell r="U304">
            <v>58.163934946236566</v>
          </cell>
          <cell r="V304">
            <v>57.929334946236558</v>
          </cell>
          <cell r="W304">
            <v>55.074209139784948</v>
          </cell>
          <cell r="Z304">
            <v>60.88632419354839</v>
          </cell>
          <cell r="AC304">
            <v>5.3913000000000002</v>
          </cell>
          <cell r="AD304">
            <v>5.3461999999999996</v>
          </cell>
          <cell r="AE304">
            <v>5.4062999999999999</v>
          </cell>
          <cell r="AF304">
            <v>5.3762999999999996</v>
          </cell>
          <cell r="AG304">
            <v>5.6014999999999997</v>
          </cell>
          <cell r="AH304">
            <v>5.0458999999999996</v>
          </cell>
          <cell r="AI304">
            <v>5.7667000000000002</v>
          </cell>
          <cell r="AJ304">
            <v>5.5308000000000002</v>
          </cell>
          <cell r="AK304">
            <v>5.6608999999999998</v>
          </cell>
          <cell r="AL304">
            <v>5.4824000000000002</v>
          </cell>
          <cell r="AM304">
            <v>5.7108999999999996</v>
          </cell>
          <cell r="AN304">
            <v>5.4972000000000003</v>
          </cell>
          <cell r="AO304">
            <v>5.3748984443686139</v>
          </cell>
          <cell r="AP304">
            <v>5.4646942986840763</v>
          </cell>
          <cell r="AQ304">
            <v>5.5798551364683533</v>
          </cell>
          <cell r="AR304">
            <v>5.5037129664388456</v>
          </cell>
          <cell r="AS304">
            <v>5.7807419487601601</v>
          </cell>
          <cell r="AT304">
            <v>5.3515469002971621</v>
          </cell>
          <cell r="AU304">
            <v>5.4696822448979585</v>
          </cell>
          <cell r="AV304">
            <v>5.4212999999999996</v>
          </cell>
          <cell r="AW304">
            <v>5.4452734177215172</v>
          </cell>
          <cell r="AX304">
            <v>5.5715000000000003</v>
          </cell>
          <cell r="AZ304">
            <v>208</v>
          </cell>
          <cell r="BA304">
            <v>208</v>
          </cell>
          <cell r="BC304">
            <v>2032</v>
          </cell>
        </row>
        <row r="305">
          <cell r="D305">
            <v>48458</v>
          </cell>
          <cell r="E305">
            <v>60.965339999999998</v>
          </cell>
          <cell r="F305">
            <v>58.38794</v>
          </cell>
          <cell r="G305">
            <v>62.669260000000001</v>
          </cell>
          <cell r="H305">
            <v>64.254859999999994</v>
          </cell>
          <cell r="J305">
            <v>61.38794</v>
          </cell>
          <cell r="K305">
            <v>62.38794</v>
          </cell>
          <cell r="L305">
            <v>61.38794</v>
          </cell>
          <cell r="M305">
            <v>49.120669999999997</v>
          </cell>
          <cell r="N305">
            <v>50.278129999999997</v>
          </cell>
          <cell r="O305">
            <v>50.539270000000002</v>
          </cell>
          <cell r="P305">
            <v>50.266770000000001</v>
          </cell>
          <cell r="R305">
            <v>48.778129999999997</v>
          </cell>
          <cell r="S305">
            <v>48.778129999999997</v>
          </cell>
          <cell r="T305">
            <v>52.528129999999997</v>
          </cell>
          <cell r="U305">
            <v>55.701042222222227</v>
          </cell>
          <cell r="V305">
            <v>54.783580000000001</v>
          </cell>
          <cell r="W305">
            <v>57.278153333333336</v>
          </cell>
          <cell r="Z305">
            <v>55.783580000000001</v>
          </cell>
          <cell r="AC305">
            <v>5.3913000000000002</v>
          </cell>
          <cell r="AD305">
            <v>5.3613</v>
          </cell>
          <cell r="AE305">
            <v>5.3762999999999996</v>
          </cell>
          <cell r="AF305">
            <v>5.2862</v>
          </cell>
          <cell r="AG305">
            <v>5.4664000000000001</v>
          </cell>
          <cell r="AH305">
            <v>5.0909000000000004</v>
          </cell>
          <cell r="AI305">
            <v>5.7217000000000002</v>
          </cell>
          <cell r="AJ305">
            <v>5.5308999999999999</v>
          </cell>
          <cell r="AK305">
            <v>5.6609999999999996</v>
          </cell>
          <cell r="AL305">
            <v>5.4824999999999999</v>
          </cell>
          <cell r="AM305">
            <v>5.7110000000000003</v>
          </cell>
          <cell r="AN305">
            <v>5.4973000000000001</v>
          </cell>
          <cell r="AO305">
            <v>5.3748984443686139</v>
          </cell>
          <cell r="AP305">
            <v>5.4646942986840763</v>
          </cell>
          <cell r="AQ305">
            <v>5.5721673456708842</v>
          </cell>
          <cell r="AR305">
            <v>5.5037129664388456</v>
          </cell>
          <cell r="AS305">
            <v>5.6880369379565794</v>
          </cell>
          <cell r="AT305">
            <v>5.3464234245312019</v>
          </cell>
          <cell r="AU305">
            <v>5.4696822448979585</v>
          </cell>
          <cell r="AV305">
            <v>5.3913000000000002</v>
          </cell>
          <cell r="AW305">
            <v>5.4605645569620238</v>
          </cell>
          <cell r="AX305">
            <v>5.5868000000000002</v>
          </cell>
          <cell r="AZ305">
            <v>209</v>
          </cell>
          <cell r="BA305">
            <v>209</v>
          </cell>
          <cell r="BC305">
            <v>2032</v>
          </cell>
        </row>
        <row r="306">
          <cell r="D306">
            <v>48488</v>
          </cell>
          <cell r="E306">
            <v>53.982729999999997</v>
          </cell>
          <cell r="F306">
            <v>56.67407</v>
          </cell>
          <cell r="G306">
            <v>54.609789999999997</v>
          </cell>
          <cell r="H306">
            <v>56.396990000000002</v>
          </cell>
          <cell r="J306">
            <v>56.17407</v>
          </cell>
          <cell r="K306">
            <v>56.67407</v>
          </cell>
          <cell r="L306">
            <v>58.67407</v>
          </cell>
          <cell r="M306">
            <v>44.995919999999998</v>
          </cell>
          <cell r="N306">
            <v>50.597760000000001</v>
          </cell>
          <cell r="O306">
            <v>46.100380000000001</v>
          </cell>
          <cell r="P306">
            <v>49.504480000000001</v>
          </cell>
          <cell r="R306">
            <v>49.597760000000001</v>
          </cell>
          <cell r="S306">
            <v>49.097760000000001</v>
          </cell>
          <cell r="T306">
            <v>52.347760000000001</v>
          </cell>
          <cell r="U306">
            <v>50.020803010752694</v>
          </cell>
          <cell r="V306">
            <v>53.995266666666666</v>
          </cell>
          <cell r="W306">
            <v>50.858329677419363</v>
          </cell>
          <cell r="Z306">
            <v>53.274836559139786</v>
          </cell>
          <cell r="AC306">
            <v>5.4813999999999998</v>
          </cell>
          <cell r="AD306">
            <v>5.4513999999999996</v>
          </cell>
          <cell r="AE306">
            <v>5.4513999999999996</v>
          </cell>
          <cell r="AF306">
            <v>5.3162000000000003</v>
          </cell>
          <cell r="AG306">
            <v>5.5114000000000001</v>
          </cell>
          <cell r="AH306">
            <v>5.1509999999999998</v>
          </cell>
          <cell r="AI306">
            <v>5.7667000000000002</v>
          </cell>
          <cell r="AJ306">
            <v>5.6223000000000001</v>
          </cell>
          <cell r="AK306">
            <v>5.7526000000000002</v>
          </cell>
          <cell r="AL306">
            <v>5.5731000000000002</v>
          </cell>
          <cell r="AM306">
            <v>5.8026</v>
          </cell>
          <cell r="AN306">
            <v>5.5884</v>
          </cell>
          <cell r="AO306">
            <v>5.4653257913647399</v>
          </cell>
          <cell r="AP306">
            <v>5.556604938284198</v>
          </cell>
          <cell r="AQ306">
            <v>5.6574037912911379</v>
          </cell>
          <cell r="AR306">
            <v>5.5956236060389681</v>
          </cell>
          <cell r="AS306">
            <v>5.7189043111431221</v>
          </cell>
          <cell r="AT306">
            <v>5.4413101957167749</v>
          </cell>
          <cell r="AU306">
            <v>5.5616210204081629</v>
          </cell>
          <cell r="AV306">
            <v>5.4664000000000001</v>
          </cell>
          <cell r="AW306">
            <v>5.5518050632911375</v>
          </cell>
          <cell r="AX306">
            <v>5.6794000000000002</v>
          </cell>
          <cell r="AZ306">
            <v>210</v>
          </cell>
          <cell r="BA306">
            <v>210</v>
          </cell>
          <cell r="BC306">
            <v>2032</v>
          </cell>
        </row>
        <row r="307">
          <cell r="D307">
            <v>48519</v>
          </cell>
          <cell r="E307">
            <v>58.962330000000001</v>
          </cell>
          <cell r="F307">
            <v>59.430500000000002</v>
          </cell>
          <cell r="G307">
            <v>57.172240000000002</v>
          </cell>
          <cell r="H307">
            <v>59.609740000000002</v>
          </cell>
          <cell r="J307">
            <v>58.930500000000002</v>
          </cell>
          <cell r="K307">
            <v>57.930500000000002</v>
          </cell>
          <cell r="L307">
            <v>61.430500000000002</v>
          </cell>
          <cell r="M307">
            <v>47.059910000000002</v>
          </cell>
          <cell r="N307">
            <v>52.06626</v>
          </cell>
          <cell r="O307">
            <v>46.641240000000003</v>
          </cell>
          <cell r="P307">
            <v>47.33014</v>
          </cell>
          <cell r="R307">
            <v>51.56626</v>
          </cell>
          <cell r="S307">
            <v>50.56626</v>
          </cell>
          <cell r="T307">
            <v>53.81626</v>
          </cell>
          <cell r="U307">
            <v>53.663194327323168</v>
          </cell>
          <cell r="V307">
            <v>56.151830041608882</v>
          </cell>
          <cell r="W307">
            <v>52.483681054091541</v>
          </cell>
          <cell r="Z307">
            <v>55.651830041608875</v>
          </cell>
          <cell r="AC307">
            <v>5.6765999999999996</v>
          </cell>
          <cell r="AD307">
            <v>5.6765999999999996</v>
          </cell>
          <cell r="AE307">
            <v>5.6616</v>
          </cell>
          <cell r="AF307">
            <v>5.4964000000000004</v>
          </cell>
          <cell r="AG307">
            <v>5.6315999999999997</v>
          </cell>
          <cell r="AH307">
            <v>5.2862</v>
          </cell>
          <cell r="AI307">
            <v>5.9318999999999997</v>
          </cell>
          <cell r="AJ307">
            <v>5.8239999999999998</v>
          </cell>
          <cell r="AK307">
            <v>5.9546999999999999</v>
          </cell>
          <cell r="AL307">
            <v>5.7710999999999997</v>
          </cell>
          <cell r="AM307">
            <v>6.0046999999999997</v>
          </cell>
          <cell r="AN307">
            <v>5.7881</v>
          </cell>
          <cell r="AO307">
            <v>5.6612349826371462</v>
          </cell>
          <cell r="AP307">
            <v>5.7557276558196477</v>
          </cell>
          <cell r="AQ307">
            <v>5.8820523894936692</v>
          </cell>
          <cell r="AR307">
            <v>5.7947463235744161</v>
          </cell>
          <cell r="AS307">
            <v>5.9043143327502836</v>
          </cell>
          <cell r="AT307">
            <v>5.7181828261092331</v>
          </cell>
          <cell r="AU307">
            <v>5.7608046938775512</v>
          </cell>
          <cell r="AV307">
            <v>5.6765999999999996</v>
          </cell>
          <cell r="AW307">
            <v>5.7798556962025298</v>
          </cell>
          <cell r="AX307">
            <v>5.9436999999999998</v>
          </cell>
          <cell r="AZ307">
            <v>211</v>
          </cell>
          <cell r="BA307">
            <v>211</v>
          </cell>
          <cell r="BC307">
            <v>2032</v>
          </cell>
        </row>
        <row r="308">
          <cell r="D308">
            <v>48549</v>
          </cell>
          <cell r="E308">
            <v>61.258609999999997</v>
          </cell>
          <cell r="F308">
            <v>60.47392</v>
          </cell>
          <cell r="G308">
            <v>61.70787</v>
          </cell>
          <cell r="H308">
            <v>64.435670000000002</v>
          </cell>
          <cell r="J308">
            <v>59.97392</v>
          </cell>
          <cell r="K308">
            <v>59.72392</v>
          </cell>
          <cell r="L308">
            <v>62.47392</v>
          </cell>
          <cell r="M308">
            <v>50.10586</v>
          </cell>
          <cell r="N308">
            <v>54.005899999999997</v>
          </cell>
          <cell r="O308">
            <v>50.480980000000002</v>
          </cell>
          <cell r="P308">
            <v>53.295479999999998</v>
          </cell>
          <cell r="R308">
            <v>53.505899999999997</v>
          </cell>
          <cell r="S308">
            <v>53.005899999999997</v>
          </cell>
          <cell r="T308">
            <v>55.755899999999997</v>
          </cell>
          <cell r="U308">
            <v>56.341806236559144</v>
          </cell>
          <cell r="V308">
            <v>57.622427311827956</v>
          </cell>
          <cell r="W308">
            <v>56.758380860215055</v>
          </cell>
          <cell r="Z308">
            <v>57.122427311827956</v>
          </cell>
          <cell r="AC308">
            <v>5.9169</v>
          </cell>
          <cell r="AD308">
            <v>5.8868999999999998</v>
          </cell>
          <cell r="AE308">
            <v>5.8718000000000004</v>
          </cell>
          <cell r="AF308">
            <v>5.8718000000000004</v>
          </cell>
          <cell r="AG308">
            <v>5.9169</v>
          </cell>
          <cell r="AH308">
            <v>5.6014999999999997</v>
          </cell>
          <cell r="AI308">
            <v>6.1421999999999999</v>
          </cell>
          <cell r="AJ308">
            <v>6.0697000000000001</v>
          </cell>
          <cell r="AK308">
            <v>6.2005999999999997</v>
          </cell>
          <cell r="AL308">
            <v>6.0136000000000003</v>
          </cell>
          <cell r="AM308">
            <v>6.2506000000000004</v>
          </cell>
          <cell r="AN308">
            <v>6.0320999999999998</v>
          </cell>
          <cell r="AO308">
            <v>5.9024080290652154</v>
          </cell>
          <cell r="AP308">
            <v>6.0008566979496072</v>
          </cell>
          <cell r="AQ308">
            <v>6.0990131968987331</v>
          </cell>
          <cell r="AR308">
            <v>6.0398753657043764</v>
          </cell>
          <cell r="AS308">
            <v>6.2905680625578766</v>
          </cell>
          <cell r="AT308">
            <v>5.9464849062403937</v>
          </cell>
          <cell r="AU308">
            <v>6.0060087755102041</v>
          </cell>
          <cell r="AV308">
            <v>5.8868</v>
          </cell>
          <cell r="AW308">
            <v>5.9928177215189855</v>
          </cell>
          <cell r="AX308">
            <v>6.1639999999999997</v>
          </cell>
          <cell r="AZ308">
            <v>212</v>
          </cell>
          <cell r="BA308">
            <v>212</v>
          </cell>
          <cell r="BC308">
            <v>2032</v>
          </cell>
        </row>
        <row r="309">
          <cell r="D309">
            <v>48580</v>
          </cell>
          <cell r="E309">
            <v>59.755339999999997</v>
          </cell>
          <cell r="F309">
            <v>61.177520000000001</v>
          </cell>
          <cell r="G309">
            <v>59.67841</v>
          </cell>
          <cell r="H309">
            <v>63.486910000000002</v>
          </cell>
          <cell r="J309">
            <v>60.677520000000001</v>
          </cell>
          <cell r="K309">
            <v>60.677520000000001</v>
          </cell>
          <cell r="L309">
            <v>63.427520000000001</v>
          </cell>
          <cell r="M309">
            <v>49.228000000000002</v>
          </cell>
          <cell r="N309">
            <v>55.076970000000003</v>
          </cell>
          <cell r="O309">
            <v>49.494680000000002</v>
          </cell>
          <cell r="P309">
            <v>52.739179999999998</v>
          </cell>
          <cell r="R309">
            <v>54.576970000000003</v>
          </cell>
          <cell r="S309">
            <v>54.576970000000003</v>
          </cell>
          <cell r="T309">
            <v>57.326970000000003</v>
          </cell>
          <cell r="U309">
            <v>54.88786021505377</v>
          </cell>
          <cell r="V309">
            <v>58.356835591397846</v>
          </cell>
          <cell r="W309">
            <v>54.969803655913978</v>
          </cell>
          <cell r="Z309">
            <v>57.856835591397846</v>
          </cell>
          <cell r="AC309">
            <v>6.0471000000000004</v>
          </cell>
          <cell r="AD309">
            <v>6.0164</v>
          </cell>
          <cell r="AE309">
            <v>5.9702999999999999</v>
          </cell>
          <cell r="AF309">
            <v>6.0164</v>
          </cell>
          <cell r="AG309">
            <v>6.0316999999999998</v>
          </cell>
          <cell r="AH309">
            <v>5.6787000000000001</v>
          </cell>
          <cell r="AI309">
            <v>6.2465999999999999</v>
          </cell>
          <cell r="AJ309">
            <v>6.2042000000000002</v>
          </cell>
          <cell r="AK309">
            <v>6.3353999999999999</v>
          </cell>
          <cell r="AL309">
            <v>6.1456</v>
          </cell>
          <cell r="AM309">
            <v>6.3853999999999997</v>
          </cell>
          <cell r="AN309">
            <v>6.1653000000000002</v>
          </cell>
          <cell r="AO309">
            <v>6.0330810654569538</v>
          </cell>
          <cell r="AP309">
            <v>6.1336731826991739</v>
          </cell>
          <cell r="AQ309">
            <v>6.216651874873417</v>
          </cell>
          <cell r="AR309">
            <v>6.1726918504539432</v>
          </cell>
          <cell r="AS309">
            <v>6.4393488013170082</v>
          </cell>
          <cell r="AT309">
            <v>6.1541906137923972</v>
          </cell>
          <cell r="AU309">
            <v>6.1388659183673466</v>
          </cell>
          <cell r="AV309">
            <v>5.9852999999999996</v>
          </cell>
          <cell r="AW309">
            <v>6.1239569620253151</v>
          </cell>
          <cell r="AX309">
            <v>6.3015999999999996</v>
          </cell>
          <cell r="AZ309">
            <v>213</v>
          </cell>
          <cell r="BA309">
            <v>213</v>
          </cell>
          <cell r="BC309">
            <v>2033</v>
          </cell>
        </row>
        <row r="310">
          <cell r="D310">
            <v>48611</v>
          </cell>
          <cell r="E310">
            <v>60.56711</v>
          </cell>
          <cell r="F310">
            <v>60.995350000000002</v>
          </cell>
          <cell r="G310">
            <v>63.706110000000002</v>
          </cell>
          <cell r="H310">
            <v>67.664109999999994</v>
          </cell>
          <cell r="J310">
            <v>60.995350000000002</v>
          </cell>
          <cell r="K310">
            <v>59.995350000000002</v>
          </cell>
          <cell r="L310">
            <v>63.245350000000002</v>
          </cell>
          <cell r="M310">
            <v>49.570419999999999</v>
          </cell>
          <cell r="N310">
            <v>55.694710000000001</v>
          </cell>
          <cell r="O310">
            <v>52.314239999999998</v>
          </cell>
          <cell r="P310">
            <v>55.200539999999997</v>
          </cell>
          <cell r="R310">
            <v>55.194710000000001</v>
          </cell>
          <cell r="S310">
            <v>54.444710000000001</v>
          </cell>
          <cell r="T310">
            <v>57.694710000000001</v>
          </cell>
          <cell r="U310">
            <v>55.854242857142857</v>
          </cell>
          <cell r="V310">
            <v>58.723647142857139</v>
          </cell>
          <cell r="W310">
            <v>58.823880000000003</v>
          </cell>
          <cell r="Z310">
            <v>58.509361428571431</v>
          </cell>
          <cell r="AC310">
            <v>6.0777999999999999</v>
          </cell>
          <cell r="AD310">
            <v>6.0471000000000004</v>
          </cell>
          <cell r="AE310">
            <v>6.0316999999999998</v>
          </cell>
          <cell r="AF310">
            <v>6.0010000000000003</v>
          </cell>
          <cell r="AG310">
            <v>6.0624000000000002</v>
          </cell>
          <cell r="AH310">
            <v>5.7401</v>
          </cell>
          <cell r="AI310">
            <v>6.2773000000000003</v>
          </cell>
          <cell r="AJ310">
            <v>6.2343999999999999</v>
          </cell>
          <cell r="AK310">
            <v>6.3655999999999997</v>
          </cell>
          <cell r="AL310">
            <v>6.1760999999999999</v>
          </cell>
          <cell r="AM310">
            <v>6.4156000000000004</v>
          </cell>
          <cell r="AN310">
            <v>6.1955999999999998</v>
          </cell>
          <cell r="AO310">
            <v>6.0638926032236693</v>
          </cell>
          <cell r="AP310">
            <v>6.1649901264918903</v>
          </cell>
          <cell r="AQ310">
            <v>6.2641717092658222</v>
          </cell>
          <cell r="AR310">
            <v>6.2040087942466595</v>
          </cell>
          <cell r="AS310">
            <v>6.4235035497479167</v>
          </cell>
          <cell r="AT310">
            <v>6.201019182293269</v>
          </cell>
          <cell r="AU310">
            <v>6.1701924489795914</v>
          </cell>
          <cell r="AV310">
            <v>6.0467000000000004</v>
          </cell>
          <cell r="AW310">
            <v>6.1550455696202526</v>
          </cell>
          <cell r="AX310">
            <v>6.3312999999999997</v>
          </cell>
          <cell r="AZ310">
            <v>214</v>
          </cell>
          <cell r="BA310">
            <v>214</v>
          </cell>
          <cell r="BC310">
            <v>2033</v>
          </cell>
        </row>
        <row r="311">
          <cell r="D311">
            <v>48639</v>
          </cell>
          <cell r="E311">
            <v>52.875570000000003</v>
          </cell>
          <cell r="F311">
            <v>57.486049999999999</v>
          </cell>
          <cell r="G311">
            <v>53.944830000000003</v>
          </cell>
          <cell r="H311">
            <v>57.74333</v>
          </cell>
          <cell r="J311">
            <v>57.486049999999999</v>
          </cell>
          <cell r="K311">
            <v>56.486049999999999</v>
          </cell>
          <cell r="L311">
            <v>59.736049999999999</v>
          </cell>
          <cell r="M311">
            <v>47.91142</v>
          </cell>
          <cell r="N311">
            <v>53.303939999999997</v>
          </cell>
          <cell r="O311">
            <v>47.065640000000002</v>
          </cell>
          <cell r="P311">
            <v>50.261139999999997</v>
          </cell>
          <cell r="R311">
            <v>52.803939999999997</v>
          </cell>
          <cell r="S311">
            <v>51.803939999999997</v>
          </cell>
          <cell r="T311">
            <v>55.303939999999997</v>
          </cell>
          <cell r="U311">
            <v>50.797709098250337</v>
          </cell>
          <cell r="V311">
            <v>55.735530201884252</v>
          </cell>
          <cell r="W311">
            <v>51.065384387617769</v>
          </cell>
          <cell r="Z311">
            <v>55.526243526244947</v>
          </cell>
          <cell r="AC311">
            <v>5.8475000000000001</v>
          </cell>
          <cell r="AD311">
            <v>5.8475000000000001</v>
          </cell>
          <cell r="AE311">
            <v>5.8322000000000003</v>
          </cell>
          <cell r="AF311">
            <v>5.6479999999999997</v>
          </cell>
          <cell r="AG311">
            <v>5.8322000000000003</v>
          </cell>
          <cell r="AH311">
            <v>5.3257000000000003</v>
          </cell>
          <cell r="AI311">
            <v>6.0164</v>
          </cell>
          <cell r="AJ311">
            <v>6.0019999999999998</v>
          </cell>
          <cell r="AK311">
            <v>6.1330999999999998</v>
          </cell>
          <cell r="AL311">
            <v>5.9450000000000003</v>
          </cell>
          <cell r="AM311">
            <v>6.1830999999999996</v>
          </cell>
          <cell r="AN311">
            <v>5.9638999999999998</v>
          </cell>
          <cell r="AO311">
            <v>5.8327558883157025</v>
          </cell>
          <cell r="AP311">
            <v>5.9300620432520654</v>
          </cell>
          <cell r="AQ311">
            <v>6.0582524268987346</v>
          </cell>
          <cell r="AR311">
            <v>5.9690807110068347</v>
          </cell>
          <cell r="AS311">
            <v>6.0602974585862741</v>
          </cell>
          <cell r="AT311">
            <v>5.7626545957577626</v>
          </cell>
          <cell r="AU311">
            <v>5.935192448979592</v>
          </cell>
          <cell r="AV311">
            <v>5.8472</v>
          </cell>
          <cell r="AW311">
            <v>5.9529189873417714</v>
          </cell>
          <cell r="AX311">
            <v>6.1279000000000003</v>
          </cell>
          <cell r="AZ311">
            <v>215</v>
          </cell>
          <cell r="BA311">
            <v>215</v>
          </cell>
          <cell r="BC311">
            <v>2033</v>
          </cell>
        </row>
        <row r="312">
          <cell r="D312">
            <v>48670</v>
          </cell>
          <cell r="E312">
            <v>51.967010000000002</v>
          </cell>
          <cell r="F312">
            <v>54.520389999999999</v>
          </cell>
          <cell r="G312">
            <v>50.901649999999997</v>
          </cell>
          <cell r="H312">
            <v>52.40025</v>
          </cell>
          <cell r="J312">
            <v>53.020389999999999</v>
          </cell>
          <cell r="K312">
            <v>53.020389999999999</v>
          </cell>
          <cell r="L312">
            <v>56.520389999999999</v>
          </cell>
          <cell r="M312">
            <v>46.559429999999999</v>
          </cell>
          <cell r="N312">
            <v>51.37274</v>
          </cell>
          <cell r="O312">
            <v>44.971319999999999</v>
          </cell>
          <cell r="P312">
            <v>51.646920000000001</v>
          </cell>
          <cell r="R312">
            <v>50.62274</v>
          </cell>
          <cell r="S312">
            <v>50.37274</v>
          </cell>
          <cell r="T312">
            <v>53.37274</v>
          </cell>
          <cell r="U312">
            <v>49.683809555555548</v>
          </cell>
          <cell r="V312">
            <v>53.191382222222224</v>
          </cell>
          <cell r="W312">
            <v>48.397732888888889</v>
          </cell>
          <cell r="Z312">
            <v>52.008048888888887</v>
          </cell>
          <cell r="AC312">
            <v>5.5865999999999998</v>
          </cell>
          <cell r="AD312">
            <v>5.4945000000000004</v>
          </cell>
          <cell r="AE312">
            <v>5.5712999999999999</v>
          </cell>
          <cell r="AF312">
            <v>5.3563999999999998</v>
          </cell>
          <cell r="AG312">
            <v>5.5865999999999998</v>
          </cell>
          <cell r="AH312">
            <v>5.0495000000000001</v>
          </cell>
          <cell r="AI312">
            <v>5.8169000000000004</v>
          </cell>
          <cell r="AJ312">
            <v>5.7290000000000001</v>
          </cell>
          <cell r="AK312">
            <v>5.8593000000000002</v>
          </cell>
          <cell r="AL312">
            <v>5.6790000000000003</v>
          </cell>
          <cell r="AM312">
            <v>5.9093</v>
          </cell>
          <cell r="AN312">
            <v>5.6946000000000003</v>
          </cell>
          <cell r="AO312">
            <v>5.5709079989562209</v>
          </cell>
          <cell r="AP312">
            <v>5.6639190258084255</v>
          </cell>
          <cell r="AQ312">
            <v>5.7415051268607584</v>
          </cell>
          <cell r="AR312">
            <v>5.7029376935631948</v>
          </cell>
          <cell r="AS312">
            <v>5.7602665912130879</v>
          </cell>
          <cell r="AT312">
            <v>5.3928421149707964</v>
          </cell>
          <cell r="AU312">
            <v>5.6689679591836732</v>
          </cell>
          <cell r="AV312">
            <v>5.5862999999999996</v>
          </cell>
          <cell r="AW312">
            <v>5.5954506329113913</v>
          </cell>
          <cell r="AX312">
            <v>5.7202999999999999</v>
          </cell>
          <cell r="AZ312">
            <v>216</v>
          </cell>
          <cell r="BA312">
            <v>216</v>
          </cell>
          <cell r="BC312">
            <v>2033</v>
          </cell>
        </row>
        <row r="313">
          <cell r="D313">
            <v>48700</v>
          </cell>
          <cell r="E313">
            <v>47.15652</v>
          </cell>
          <cell r="F313">
            <v>50.536679999999997</v>
          </cell>
          <cell r="G313">
            <v>43.084220000000002</v>
          </cell>
          <cell r="H313">
            <v>48.317920000000001</v>
          </cell>
          <cell r="J313">
            <v>50.536679999999997</v>
          </cell>
          <cell r="K313">
            <v>50.536679999999997</v>
          </cell>
          <cell r="L313">
            <v>52.536679999999997</v>
          </cell>
          <cell r="M313">
            <v>38.887700000000002</v>
          </cell>
          <cell r="N313">
            <v>47.041800000000002</v>
          </cell>
          <cell r="O313">
            <v>35.185139999999997</v>
          </cell>
          <cell r="P313">
            <v>39.831040000000002</v>
          </cell>
          <cell r="R313">
            <v>47.041800000000002</v>
          </cell>
          <cell r="S313">
            <v>46.541800000000002</v>
          </cell>
          <cell r="T313">
            <v>48.791800000000002</v>
          </cell>
          <cell r="U313">
            <v>43.333302150537634</v>
          </cell>
          <cell r="V313">
            <v>48.920767741935485</v>
          </cell>
          <cell r="W313">
            <v>39.431957204301071</v>
          </cell>
          <cell r="Z313">
            <v>48.920767741935478</v>
          </cell>
          <cell r="AC313">
            <v>5.3411</v>
          </cell>
          <cell r="AD313">
            <v>5.2489999999999997</v>
          </cell>
          <cell r="AE313">
            <v>5.3871000000000002</v>
          </cell>
          <cell r="AF313">
            <v>5.3563999999999998</v>
          </cell>
          <cell r="AG313">
            <v>5.5559000000000003</v>
          </cell>
          <cell r="AH313">
            <v>4.9881000000000002</v>
          </cell>
          <cell r="AI313">
            <v>5.6479999999999997</v>
          </cell>
          <cell r="AJ313">
            <v>5.4771000000000001</v>
          </cell>
          <cell r="AK313">
            <v>5.6070000000000002</v>
          </cell>
          <cell r="AL313">
            <v>5.4306999999999999</v>
          </cell>
          <cell r="AM313">
            <v>5.657</v>
          </cell>
          <cell r="AN313">
            <v>5.4446000000000003</v>
          </cell>
          <cell r="AO313">
            <v>5.3245160601376975</v>
          </cell>
          <cell r="AP313">
            <v>5.4134854850555945</v>
          </cell>
          <cell r="AQ313">
            <v>5.5197974956075946</v>
          </cell>
          <cell r="AR313">
            <v>5.4525041528103646</v>
          </cell>
          <cell r="AS313">
            <v>5.7602665912130879</v>
          </cell>
          <cell r="AT313">
            <v>5.2924219899579876</v>
          </cell>
          <cell r="AU313">
            <v>5.4184577551020405</v>
          </cell>
          <cell r="AV313">
            <v>5.4020999999999999</v>
          </cell>
          <cell r="AW313">
            <v>5.3468430379746819</v>
          </cell>
          <cell r="AX313">
            <v>5.4678000000000004</v>
          </cell>
          <cell r="AZ313">
            <v>217</v>
          </cell>
          <cell r="BA313">
            <v>217</v>
          </cell>
          <cell r="BC313">
            <v>2033</v>
          </cell>
        </row>
        <row r="314">
          <cell r="D314">
            <v>48731</v>
          </cell>
          <cell r="E314">
            <v>52.986699999999999</v>
          </cell>
          <cell r="F314">
            <v>55.147100000000002</v>
          </cell>
          <cell r="G314">
            <v>49.10812</v>
          </cell>
          <cell r="H314">
            <v>55.759619999999998</v>
          </cell>
          <cell r="J314">
            <v>54.397100000000002</v>
          </cell>
          <cell r="K314">
            <v>55.147100000000002</v>
          </cell>
          <cell r="L314">
            <v>57.647100000000002</v>
          </cell>
          <cell r="M314">
            <v>42.091299999999997</v>
          </cell>
          <cell r="N314">
            <v>48.50159</v>
          </cell>
          <cell r="O314">
            <v>38.451039999999999</v>
          </cell>
          <cell r="P314">
            <v>45.29074</v>
          </cell>
          <cell r="R314">
            <v>48.00159</v>
          </cell>
          <cell r="S314">
            <v>48.00159</v>
          </cell>
          <cell r="T314">
            <v>50.75159</v>
          </cell>
          <cell r="U314">
            <v>48.386419999999994</v>
          </cell>
          <cell r="V314">
            <v>52.341217999999998</v>
          </cell>
          <cell r="W314">
            <v>44.608463999999998</v>
          </cell>
          <cell r="Z314">
            <v>51.696773555555552</v>
          </cell>
          <cell r="AC314">
            <v>5.3257000000000003</v>
          </cell>
          <cell r="AD314">
            <v>5.2489999999999997</v>
          </cell>
          <cell r="AE314">
            <v>5.3871000000000002</v>
          </cell>
          <cell r="AF314">
            <v>5.4177999999999997</v>
          </cell>
          <cell r="AG314">
            <v>5.5865999999999998</v>
          </cell>
          <cell r="AH314">
            <v>5.0187999999999997</v>
          </cell>
          <cell r="AI314">
            <v>5.6479999999999997</v>
          </cell>
          <cell r="AJ314">
            <v>5.4626999999999999</v>
          </cell>
          <cell r="AK314">
            <v>5.5926999999999998</v>
          </cell>
          <cell r="AL314">
            <v>5.4157999999999999</v>
          </cell>
          <cell r="AM314">
            <v>5.6426999999999996</v>
          </cell>
          <cell r="AN314">
            <v>5.4298999999999999</v>
          </cell>
          <cell r="AO314">
            <v>5.3090601095967402</v>
          </cell>
          <cell r="AP314">
            <v>5.3977760083647865</v>
          </cell>
          <cell r="AQ314">
            <v>5.5197974956075946</v>
          </cell>
          <cell r="AR314">
            <v>5.4367946761195558</v>
          </cell>
          <cell r="AS314">
            <v>5.8234418150015426</v>
          </cell>
          <cell r="AT314">
            <v>5.2638329951839333</v>
          </cell>
          <cell r="AU314">
            <v>5.4027434693877554</v>
          </cell>
          <cell r="AV314">
            <v>5.4020999999999999</v>
          </cell>
          <cell r="AW314">
            <v>5.3468430379746819</v>
          </cell>
          <cell r="AX314">
            <v>5.4696999999999996</v>
          </cell>
          <cell r="AZ314">
            <v>218</v>
          </cell>
          <cell r="BA314">
            <v>218</v>
          </cell>
          <cell r="BC314">
            <v>2033</v>
          </cell>
        </row>
        <row r="315">
          <cell r="D315">
            <v>48761</v>
          </cell>
          <cell r="E315">
            <v>59.27693</v>
          </cell>
          <cell r="F315">
            <v>60.498730000000002</v>
          </cell>
          <cell r="G315">
            <v>55.091799999999999</v>
          </cell>
          <cell r="H315">
            <v>60.702100000000002</v>
          </cell>
          <cell r="J315">
            <v>65.498729999999995</v>
          </cell>
          <cell r="K315">
            <v>65.998729999999995</v>
          </cell>
          <cell r="L315">
            <v>64.748729999999995</v>
          </cell>
          <cell r="M315">
            <v>47.98836</v>
          </cell>
          <cell r="N315">
            <v>51.629570000000001</v>
          </cell>
          <cell r="O315">
            <v>44.087479999999999</v>
          </cell>
          <cell r="P315">
            <v>49.226779999999998</v>
          </cell>
          <cell r="R315">
            <v>52.629570000000001</v>
          </cell>
          <cell r="S315">
            <v>52.629570000000001</v>
          </cell>
          <cell r="T315">
            <v>54.129570000000001</v>
          </cell>
          <cell r="U315">
            <v>54.057483655913977</v>
          </cell>
          <cell r="V315">
            <v>56.397935591397854</v>
          </cell>
          <cell r="W315">
            <v>50.003781075268819</v>
          </cell>
          <cell r="Z315">
            <v>59.548473225806454</v>
          </cell>
          <cell r="AC315">
            <v>5.4332000000000003</v>
          </cell>
          <cell r="AD315">
            <v>5.3103999999999996</v>
          </cell>
          <cell r="AE315">
            <v>5.5406000000000004</v>
          </cell>
          <cell r="AF315">
            <v>5.5099</v>
          </cell>
          <cell r="AG315">
            <v>5.6940999999999997</v>
          </cell>
          <cell r="AH315">
            <v>5.1722000000000001</v>
          </cell>
          <cell r="AI315">
            <v>5.7862</v>
          </cell>
          <cell r="AJ315">
            <v>5.5713999999999997</v>
          </cell>
          <cell r="AK315">
            <v>5.7015000000000002</v>
          </cell>
          <cell r="AL315">
            <v>5.5237999999999996</v>
          </cell>
          <cell r="AM315">
            <v>5.7515000000000001</v>
          </cell>
          <cell r="AN315">
            <v>5.5382999999999996</v>
          </cell>
          <cell r="AO315">
            <v>5.416950673437845</v>
          </cell>
          <cell r="AP315">
            <v>5.5074363164337443</v>
          </cell>
          <cell r="AQ315">
            <v>5.6306771091898717</v>
          </cell>
          <cell r="AR315">
            <v>5.5464549841885145</v>
          </cell>
          <cell r="AS315">
            <v>5.9182046506842267</v>
          </cell>
          <cell r="AT315">
            <v>5.3944816272159031</v>
          </cell>
          <cell r="AU315">
            <v>5.5124373469387757</v>
          </cell>
          <cell r="AV315">
            <v>5.5556000000000001</v>
          </cell>
          <cell r="AW315">
            <v>5.409020253164555</v>
          </cell>
          <cell r="AX315">
            <v>5.5334000000000003</v>
          </cell>
          <cell r="AZ315">
            <v>219</v>
          </cell>
          <cell r="BA315">
            <v>219</v>
          </cell>
          <cell r="BC315">
            <v>2033</v>
          </cell>
        </row>
        <row r="316">
          <cell r="D316">
            <v>48792</v>
          </cell>
          <cell r="E316">
            <v>66.273439999999994</v>
          </cell>
          <cell r="F316">
            <v>64.219819999999999</v>
          </cell>
          <cell r="G316">
            <v>63.001420000000003</v>
          </cell>
          <cell r="H316">
            <v>65.064319999999995</v>
          </cell>
          <cell r="J316">
            <v>68.719819999999999</v>
          </cell>
          <cell r="K316">
            <v>69.719819999999999</v>
          </cell>
          <cell r="L316">
            <v>67.969819999999999</v>
          </cell>
          <cell r="M316">
            <v>51.34413</v>
          </cell>
          <cell r="N316">
            <v>53.047510000000003</v>
          </cell>
          <cell r="O316">
            <v>48.134250000000002</v>
          </cell>
          <cell r="P316">
            <v>52.931249999999999</v>
          </cell>
          <cell r="R316">
            <v>54.047510000000003</v>
          </cell>
          <cell r="S316">
            <v>54.047510000000003</v>
          </cell>
          <cell r="T316">
            <v>55.547510000000003</v>
          </cell>
          <cell r="U316">
            <v>60.012761612903226</v>
          </cell>
          <cell r="V316">
            <v>59.534657741935483</v>
          </cell>
          <cell r="W316">
            <v>56.766800322580643</v>
          </cell>
          <cell r="Z316">
            <v>62.566915806451611</v>
          </cell>
          <cell r="AC316">
            <v>5.6326999999999998</v>
          </cell>
          <cell r="AD316">
            <v>5.5559000000000003</v>
          </cell>
          <cell r="AE316">
            <v>5.6479999999999997</v>
          </cell>
          <cell r="AF316">
            <v>5.5099</v>
          </cell>
          <cell r="AG316">
            <v>5.7401</v>
          </cell>
          <cell r="AH316">
            <v>5.2643000000000004</v>
          </cell>
          <cell r="AI316">
            <v>5.9396000000000004</v>
          </cell>
          <cell r="AJ316">
            <v>5.7721999999999998</v>
          </cell>
          <cell r="AK316">
            <v>5.9023000000000003</v>
          </cell>
          <cell r="AL316">
            <v>5.7237999999999998</v>
          </cell>
          <cell r="AM316">
            <v>5.9523000000000001</v>
          </cell>
          <cell r="AN316">
            <v>5.7385999999999999</v>
          </cell>
          <cell r="AO316">
            <v>5.6171754872638946</v>
          </cell>
          <cell r="AP316">
            <v>5.7109454462919507</v>
          </cell>
          <cell r="AQ316">
            <v>5.8127590804936702</v>
          </cell>
          <cell r="AR316">
            <v>5.7499641140467208</v>
          </cell>
          <cell r="AS316">
            <v>5.9182046506842267</v>
          </cell>
          <cell r="AT316">
            <v>5.5989083102776931</v>
          </cell>
          <cell r="AU316">
            <v>5.7160087755102031</v>
          </cell>
          <cell r="AV316">
            <v>5.6630000000000003</v>
          </cell>
          <cell r="AW316">
            <v>5.6576278481012645</v>
          </cell>
          <cell r="AX316">
            <v>5.7812999999999999</v>
          </cell>
          <cell r="AZ316">
            <v>220</v>
          </cell>
          <cell r="BA316">
            <v>220</v>
          </cell>
          <cell r="BC316">
            <v>2033</v>
          </cell>
        </row>
        <row r="317">
          <cell r="D317">
            <v>48823</v>
          </cell>
          <cell r="E317">
            <v>61.89808</v>
          </cell>
          <cell r="F317">
            <v>59.482950000000002</v>
          </cell>
          <cell r="G317">
            <v>63.523139999999998</v>
          </cell>
          <cell r="H317">
            <v>65.108739999999997</v>
          </cell>
          <cell r="J317">
            <v>62.482950000000002</v>
          </cell>
          <cell r="K317">
            <v>63.482950000000002</v>
          </cell>
          <cell r="L317">
            <v>62.482950000000002</v>
          </cell>
          <cell r="M317">
            <v>50.619390000000003</v>
          </cell>
          <cell r="N317">
            <v>51.617400000000004</v>
          </cell>
          <cell r="O317">
            <v>51.912260000000003</v>
          </cell>
          <cell r="P317">
            <v>51.639760000000003</v>
          </cell>
          <cell r="R317">
            <v>50.117400000000004</v>
          </cell>
          <cell r="S317">
            <v>50.117400000000004</v>
          </cell>
          <cell r="T317">
            <v>53.867400000000004</v>
          </cell>
          <cell r="U317">
            <v>56.885328888888893</v>
          </cell>
          <cell r="V317">
            <v>55.987150000000007</v>
          </cell>
          <cell r="W317">
            <v>58.362748888888895</v>
          </cell>
          <cell r="Z317">
            <v>56.987150000000007</v>
          </cell>
          <cell r="AC317">
            <v>5.6173000000000002</v>
          </cell>
          <cell r="AD317">
            <v>5.5559000000000003</v>
          </cell>
          <cell r="AE317">
            <v>5.5559000000000003</v>
          </cell>
          <cell r="AF317">
            <v>5.4638999999999998</v>
          </cell>
          <cell r="AG317">
            <v>5.6479999999999997</v>
          </cell>
          <cell r="AH317">
            <v>5.2797000000000001</v>
          </cell>
          <cell r="AI317">
            <v>5.9089</v>
          </cell>
          <cell r="AJ317">
            <v>5.7568999999999999</v>
          </cell>
          <cell r="AK317">
            <v>5.8871000000000002</v>
          </cell>
          <cell r="AL317">
            <v>5.7084999999999999</v>
          </cell>
          <cell r="AM317">
            <v>5.9371</v>
          </cell>
          <cell r="AN317">
            <v>5.7233999999999998</v>
          </cell>
          <cell r="AO317">
            <v>5.6017195367229364</v>
          </cell>
          <cell r="AP317">
            <v>5.6952359696011428</v>
          </cell>
          <cell r="AQ317">
            <v>5.7652392461012649</v>
          </cell>
          <cell r="AR317">
            <v>5.734254637355912</v>
          </cell>
          <cell r="AS317">
            <v>5.8708746784648627</v>
          </cell>
          <cell r="AT317">
            <v>5.5780045291525777</v>
          </cell>
          <cell r="AU317">
            <v>5.700294489795918</v>
          </cell>
          <cell r="AV317">
            <v>5.5709</v>
          </cell>
          <cell r="AW317">
            <v>5.6576278481012645</v>
          </cell>
          <cell r="AX317">
            <v>5.7815000000000003</v>
          </cell>
          <cell r="AZ317">
            <v>221</v>
          </cell>
          <cell r="BA317">
            <v>221</v>
          </cell>
          <cell r="BC317">
            <v>2033</v>
          </cell>
        </row>
        <row r="318">
          <cell r="D318">
            <v>48853</v>
          </cell>
          <cell r="E318">
            <v>55.961199999999998</v>
          </cell>
          <cell r="F318">
            <v>58.022019999999998</v>
          </cell>
          <cell r="G318">
            <v>56.722079999999998</v>
          </cell>
          <cell r="H318">
            <v>58.509279999999997</v>
          </cell>
          <cell r="J318">
            <v>57.522019999999998</v>
          </cell>
          <cell r="K318">
            <v>58.022019999999998</v>
          </cell>
          <cell r="L318">
            <v>60.022019999999998</v>
          </cell>
          <cell r="M318">
            <v>46.331890000000001</v>
          </cell>
          <cell r="N318">
            <v>52.078299999999999</v>
          </cell>
          <cell r="O318">
            <v>48.021819999999998</v>
          </cell>
          <cell r="P318">
            <v>51.425919999999998</v>
          </cell>
          <cell r="R318">
            <v>51.078299999999999</v>
          </cell>
          <cell r="S318">
            <v>50.578299999999999</v>
          </cell>
          <cell r="T318">
            <v>53.828299999999999</v>
          </cell>
          <cell r="U318">
            <v>51.716020322580647</v>
          </cell>
          <cell r="V318">
            <v>55.401670322580642</v>
          </cell>
          <cell r="W318">
            <v>52.886481505376352</v>
          </cell>
          <cell r="Z318">
            <v>54.681240215053762</v>
          </cell>
          <cell r="AC318">
            <v>5.6787000000000001</v>
          </cell>
          <cell r="AD318">
            <v>5.6787000000000001</v>
          </cell>
          <cell r="AE318">
            <v>5.6479999999999997</v>
          </cell>
          <cell r="AF318">
            <v>5.4791999999999996</v>
          </cell>
          <cell r="AG318">
            <v>5.6787000000000001</v>
          </cell>
          <cell r="AH318">
            <v>5.3257000000000003</v>
          </cell>
          <cell r="AI318">
            <v>5.9550000000000001</v>
          </cell>
          <cell r="AJ318">
            <v>5.8197000000000001</v>
          </cell>
          <cell r="AK318">
            <v>5.9499000000000004</v>
          </cell>
          <cell r="AL318">
            <v>5.7705000000000002</v>
          </cell>
          <cell r="AM318">
            <v>5.9999000000000002</v>
          </cell>
          <cell r="AN318">
            <v>5.7857000000000003</v>
          </cell>
          <cell r="AO318">
            <v>5.6633426122563675</v>
          </cell>
          <cell r="AP318">
            <v>5.7578698571865754</v>
          </cell>
          <cell r="AQ318">
            <v>5.8761188596835439</v>
          </cell>
          <cell r="AR318">
            <v>5.7968885249413447</v>
          </cell>
          <cell r="AS318">
            <v>5.8866170387899981</v>
          </cell>
          <cell r="AT318">
            <v>5.6434825494415417</v>
          </cell>
          <cell r="AU318">
            <v>5.7629475510204076</v>
          </cell>
          <cell r="AV318">
            <v>5.6630000000000003</v>
          </cell>
          <cell r="AW318">
            <v>5.7819822784810118</v>
          </cell>
          <cell r="AX318">
            <v>5.9067999999999996</v>
          </cell>
          <cell r="AZ318">
            <v>222</v>
          </cell>
          <cell r="BA318">
            <v>222</v>
          </cell>
          <cell r="BC318">
            <v>2033</v>
          </cell>
        </row>
        <row r="319">
          <cell r="D319">
            <v>48884</v>
          </cell>
          <cell r="E319">
            <v>61.78783</v>
          </cell>
          <cell r="F319">
            <v>60.85042</v>
          </cell>
          <cell r="G319">
            <v>61.091659999999997</v>
          </cell>
          <cell r="H319">
            <v>63.529159999999997</v>
          </cell>
          <cell r="J319">
            <v>60.35042</v>
          </cell>
          <cell r="K319">
            <v>59.35042</v>
          </cell>
          <cell r="L319">
            <v>62.85042</v>
          </cell>
          <cell r="M319">
            <v>48.564889999999998</v>
          </cell>
          <cell r="N319">
            <v>53.155909999999999</v>
          </cell>
          <cell r="O319">
            <v>48.948399999999999</v>
          </cell>
          <cell r="P319">
            <v>49.637300000000003</v>
          </cell>
          <cell r="R319">
            <v>52.655909999999999</v>
          </cell>
          <cell r="S319">
            <v>51.655909999999999</v>
          </cell>
          <cell r="T319">
            <v>54.905909999999999</v>
          </cell>
          <cell r="U319">
            <v>55.900779042995836</v>
          </cell>
          <cell r="V319">
            <v>57.424708890429962</v>
          </cell>
          <cell r="W319">
            <v>55.685298751733704</v>
          </cell>
          <cell r="Z319">
            <v>56.924708890429955</v>
          </cell>
          <cell r="AC319">
            <v>5.8475000000000001</v>
          </cell>
          <cell r="AD319">
            <v>5.9242999999999997</v>
          </cell>
          <cell r="AE319">
            <v>5.8322000000000003</v>
          </cell>
          <cell r="AF319">
            <v>5.6479999999999997</v>
          </cell>
          <cell r="AG319">
            <v>5.8014999999999999</v>
          </cell>
          <cell r="AH319">
            <v>5.4332000000000003</v>
          </cell>
          <cell r="AI319">
            <v>6.0930999999999997</v>
          </cell>
          <cell r="AJ319">
            <v>5.9950000000000001</v>
          </cell>
          <cell r="AK319">
            <v>6.1256000000000004</v>
          </cell>
          <cell r="AL319">
            <v>5.9420000000000002</v>
          </cell>
          <cell r="AM319">
            <v>6.1756000000000002</v>
          </cell>
          <cell r="AN319">
            <v>5.9589999999999996</v>
          </cell>
          <cell r="AO319">
            <v>5.8327558883157025</v>
          </cell>
          <cell r="AP319">
            <v>5.9300620432520654</v>
          </cell>
          <cell r="AQ319">
            <v>6.0978780868481008</v>
          </cell>
          <cell r="AR319">
            <v>5.9690807110068347</v>
          </cell>
          <cell r="AS319">
            <v>6.0602974585862741</v>
          </cell>
          <cell r="AT319">
            <v>5.8933032277897333</v>
          </cell>
          <cell r="AU319">
            <v>5.935192448979592</v>
          </cell>
          <cell r="AV319">
            <v>5.8472</v>
          </cell>
          <cell r="AW319">
            <v>6.0306911392405045</v>
          </cell>
          <cell r="AX319">
            <v>6.1913999999999998</v>
          </cell>
          <cell r="AZ319">
            <v>223</v>
          </cell>
          <cell r="BA319">
            <v>223</v>
          </cell>
          <cell r="BC319">
            <v>2033</v>
          </cell>
        </row>
        <row r="320">
          <cell r="D320">
            <v>48914</v>
          </cell>
          <cell r="E320">
            <v>63.063540000000003</v>
          </cell>
          <cell r="F320">
            <v>61.613140000000001</v>
          </cell>
          <cell r="G320">
            <v>63.852159999999998</v>
          </cell>
          <cell r="H320">
            <v>66.57996</v>
          </cell>
          <cell r="J320">
            <v>61.113140000000001</v>
          </cell>
          <cell r="K320">
            <v>60.863140000000001</v>
          </cell>
          <cell r="L320">
            <v>63.613140000000001</v>
          </cell>
          <cell r="M320">
            <v>52.257539999999999</v>
          </cell>
          <cell r="N320">
            <v>55.859119999999997</v>
          </cell>
          <cell r="O320">
            <v>52.542569999999998</v>
          </cell>
          <cell r="P320">
            <v>55.35707</v>
          </cell>
          <cell r="R320">
            <v>55.359119999999997</v>
          </cell>
          <cell r="S320">
            <v>54.859119999999997</v>
          </cell>
          <cell r="T320">
            <v>57.609119999999997</v>
          </cell>
          <cell r="U320">
            <v>58.299604516129037</v>
          </cell>
          <cell r="V320">
            <v>59.076421505376345</v>
          </cell>
          <cell r="W320">
            <v>58.866211720430108</v>
          </cell>
          <cell r="Z320">
            <v>58.576421505376338</v>
          </cell>
          <cell r="AC320">
            <v>6.1238000000000001</v>
          </cell>
          <cell r="AD320">
            <v>6.2773000000000003</v>
          </cell>
          <cell r="AE320">
            <v>6.1699000000000002</v>
          </cell>
          <cell r="AF320">
            <v>6.0777999999999999</v>
          </cell>
          <cell r="AG320">
            <v>6.1238000000000001</v>
          </cell>
          <cell r="AH320">
            <v>5.8014999999999999</v>
          </cell>
          <cell r="AI320">
            <v>6.3540000000000001</v>
          </cell>
          <cell r="AJ320">
            <v>6.2766000000000002</v>
          </cell>
          <cell r="AK320">
            <v>6.4076000000000004</v>
          </cell>
          <cell r="AL320">
            <v>6.2205000000000004</v>
          </cell>
          <cell r="AM320">
            <v>6.4576000000000002</v>
          </cell>
          <cell r="AN320">
            <v>6.2389999999999999</v>
          </cell>
          <cell r="AO320">
            <v>6.1100597282161422</v>
          </cell>
          <cell r="AP320">
            <v>6.2119145373865141</v>
          </cell>
          <cell r="AQ320">
            <v>6.4542510468354424</v>
          </cell>
          <cell r="AR320">
            <v>6.2509332051412834</v>
          </cell>
          <cell r="AS320">
            <v>6.5025240251054637</v>
          </cell>
          <cell r="AT320">
            <v>6.1584943334358035</v>
          </cell>
          <cell r="AU320">
            <v>6.2171312244897958</v>
          </cell>
          <cell r="AV320">
            <v>6.1848999999999998</v>
          </cell>
          <cell r="AW320">
            <v>6.3881594936708854</v>
          </cell>
          <cell r="AX320">
            <v>6.5544000000000002</v>
          </cell>
          <cell r="AZ320">
            <v>224</v>
          </cell>
          <cell r="BA320">
            <v>224</v>
          </cell>
          <cell r="BC320">
            <v>2033</v>
          </cell>
        </row>
        <row r="321">
          <cell r="D321">
            <v>48945</v>
          </cell>
          <cell r="E321">
            <v>62.875970000000002</v>
          </cell>
          <cell r="F321">
            <v>63.613610000000001</v>
          </cell>
          <cell r="G321">
            <v>62.599110000000003</v>
          </cell>
          <cell r="H321">
            <v>66.407610000000005</v>
          </cell>
          <cell r="J321">
            <v>63.113610000000001</v>
          </cell>
          <cell r="K321">
            <v>63.113610000000001</v>
          </cell>
          <cell r="L321">
            <v>65.863609999999994</v>
          </cell>
          <cell r="M321">
            <v>51.552309999999999</v>
          </cell>
          <cell r="N321">
            <v>56.69746</v>
          </cell>
          <cell r="O321">
            <v>51.628169999999997</v>
          </cell>
          <cell r="P321">
            <v>54.872669999999999</v>
          </cell>
          <cell r="R321">
            <v>56.19746</v>
          </cell>
          <cell r="S321">
            <v>56.19746</v>
          </cell>
          <cell r="T321">
            <v>58.94746</v>
          </cell>
          <cell r="U321">
            <v>57.64029924731183</v>
          </cell>
          <cell r="V321">
            <v>60.415820215053756</v>
          </cell>
          <cell r="W321">
            <v>57.526524838709676</v>
          </cell>
          <cell r="Z321">
            <v>59.915820215053763</v>
          </cell>
          <cell r="AC321">
            <v>6.2427999999999999</v>
          </cell>
          <cell r="AD321">
            <v>6.4154</v>
          </cell>
          <cell r="AE321">
            <v>6.2742000000000004</v>
          </cell>
          <cell r="AF321">
            <v>6.1801000000000004</v>
          </cell>
          <cell r="AG321">
            <v>6.2115</v>
          </cell>
          <cell r="AH321">
            <v>5.8506999999999998</v>
          </cell>
          <cell r="AI321">
            <v>6.4623999999999997</v>
          </cell>
          <cell r="AJ321">
            <v>6.4</v>
          </cell>
          <cell r="AK321">
            <v>6.5312000000000001</v>
          </cell>
          <cell r="AL321">
            <v>6.3414000000000001</v>
          </cell>
          <cell r="AM321">
            <v>6.5811999999999999</v>
          </cell>
          <cell r="AN321">
            <v>6.3609999999999998</v>
          </cell>
          <cell r="AO321">
            <v>6.2294920733053649</v>
          </cell>
          <cell r="AP321">
            <v>6.3333059481791283</v>
          </cell>
          <cell r="AQ321">
            <v>6.5793195360506314</v>
          </cell>
          <cell r="AR321">
            <v>6.3723246159338984</v>
          </cell>
          <cell r="AS321">
            <v>6.6077817676715718</v>
          </cell>
          <cell r="AT321">
            <v>6.3547234552720573</v>
          </cell>
          <cell r="AU321">
            <v>6.3385597959183668</v>
          </cell>
          <cell r="AV321">
            <v>6.2892000000000001</v>
          </cell>
          <cell r="AW321">
            <v>6.5280075949367076</v>
          </cell>
          <cell r="AX321">
            <v>6.7005999999999997</v>
          </cell>
          <cell r="AZ321">
            <v>225</v>
          </cell>
          <cell r="BA321">
            <v>225</v>
          </cell>
          <cell r="BC321">
            <v>2034</v>
          </cell>
        </row>
        <row r="322">
          <cell r="D322">
            <v>48976</v>
          </cell>
          <cell r="E322">
            <v>63.036479999999997</v>
          </cell>
          <cell r="F322">
            <v>63.139319999999998</v>
          </cell>
          <cell r="G322">
            <v>66.346509999999995</v>
          </cell>
          <cell r="H322">
            <v>70.304509999999993</v>
          </cell>
          <cell r="J322">
            <v>63.139319999999998</v>
          </cell>
          <cell r="K322">
            <v>62.139319999999998</v>
          </cell>
          <cell r="L322">
            <v>65.389319999999998</v>
          </cell>
          <cell r="M322">
            <v>51.905790000000003</v>
          </cell>
          <cell r="N322">
            <v>57.797420000000002</v>
          </cell>
          <cell r="O322">
            <v>54.860680000000002</v>
          </cell>
          <cell r="P322">
            <v>57.746879999999997</v>
          </cell>
          <cell r="R322">
            <v>57.297420000000002</v>
          </cell>
          <cell r="S322">
            <v>56.547420000000002</v>
          </cell>
          <cell r="T322">
            <v>59.797420000000002</v>
          </cell>
          <cell r="U322">
            <v>58.266184285714289</v>
          </cell>
          <cell r="V322">
            <v>60.849934285714276</v>
          </cell>
          <cell r="W322">
            <v>61.424011428571426</v>
          </cell>
          <cell r="Z322">
            <v>60.635648571428575</v>
          </cell>
          <cell r="AC322">
            <v>6.2899000000000003</v>
          </cell>
          <cell r="AD322">
            <v>6.4310999999999998</v>
          </cell>
          <cell r="AE322">
            <v>6.3212999999999999</v>
          </cell>
          <cell r="AF322">
            <v>6.133</v>
          </cell>
          <cell r="AG322">
            <v>6.2584999999999997</v>
          </cell>
          <cell r="AH322">
            <v>5.8978000000000002</v>
          </cell>
          <cell r="AI322">
            <v>6.4938000000000002</v>
          </cell>
          <cell r="AJ322">
            <v>6.4465000000000003</v>
          </cell>
          <cell r="AK322">
            <v>6.5777000000000001</v>
          </cell>
          <cell r="AL322">
            <v>6.3882000000000003</v>
          </cell>
          <cell r="AM322">
            <v>6.6276999999999999</v>
          </cell>
          <cell r="AN322">
            <v>6.4077000000000002</v>
          </cell>
          <cell r="AO322">
            <v>6.2767631947650493</v>
          </cell>
          <cell r="AP322">
            <v>6.3813524645516679</v>
          </cell>
          <cell r="AQ322">
            <v>6.6117217684050615</v>
          </cell>
          <cell r="AR322">
            <v>6.4203711323064372</v>
          </cell>
          <cell r="AS322">
            <v>6.5593199917687004</v>
          </cell>
          <cell r="AT322">
            <v>6.4183570242852754</v>
          </cell>
          <cell r="AU322">
            <v>6.386621020408163</v>
          </cell>
          <cell r="AV322">
            <v>6.3362999999999996</v>
          </cell>
          <cell r="AW322">
            <v>6.5439063291139226</v>
          </cell>
          <cell r="AX322">
            <v>6.7153</v>
          </cell>
          <cell r="AZ322">
            <v>226</v>
          </cell>
          <cell r="BA322">
            <v>226</v>
          </cell>
          <cell r="BC322">
            <v>2034</v>
          </cell>
        </row>
        <row r="323">
          <cell r="D323">
            <v>49004</v>
          </cell>
          <cell r="E323">
            <v>54.746450000000003</v>
          </cell>
          <cell r="F323">
            <v>59.361629999999998</v>
          </cell>
          <cell r="G323">
            <v>55.658079999999998</v>
          </cell>
          <cell r="H323">
            <v>59.456580000000002</v>
          </cell>
          <cell r="J323">
            <v>59.361629999999998</v>
          </cell>
          <cell r="K323">
            <v>58.361629999999998</v>
          </cell>
          <cell r="L323">
            <v>61.611629999999998</v>
          </cell>
          <cell r="M323">
            <v>49.44746</v>
          </cell>
          <cell r="N323">
            <v>55.111579999999996</v>
          </cell>
          <cell r="O323">
            <v>48.749209999999998</v>
          </cell>
          <cell r="P323">
            <v>51.944710000000001</v>
          </cell>
          <cell r="R323">
            <v>54.611579999999996</v>
          </cell>
          <cell r="S323">
            <v>53.611579999999996</v>
          </cell>
          <cell r="T323">
            <v>57.111579999999996</v>
          </cell>
          <cell r="U323">
            <v>52.528433997308213</v>
          </cell>
          <cell r="V323">
            <v>57.582672328398388</v>
          </cell>
          <cell r="W323">
            <v>52.766211130551817</v>
          </cell>
          <cell r="Z323">
            <v>57.373385652759083</v>
          </cell>
          <cell r="AC323">
            <v>6.0545999999999998</v>
          </cell>
          <cell r="AD323">
            <v>6.0545999999999998</v>
          </cell>
          <cell r="AE323">
            <v>6.0076000000000001</v>
          </cell>
          <cell r="AF323">
            <v>5.8193000000000001</v>
          </cell>
          <cell r="AG323">
            <v>6.0232999999999999</v>
          </cell>
          <cell r="AH323">
            <v>5.4428999999999998</v>
          </cell>
          <cell r="AI323">
            <v>6.2271999999999998</v>
          </cell>
          <cell r="AJ323">
            <v>6.2091000000000003</v>
          </cell>
          <cell r="AK323">
            <v>6.3402000000000003</v>
          </cell>
          <cell r="AL323">
            <v>6.1520999999999999</v>
          </cell>
          <cell r="AM323">
            <v>6.3902000000000001</v>
          </cell>
          <cell r="AN323">
            <v>6.1710000000000003</v>
          </cell>
          <cell r="AO323">
            <v>6.0406083140970308</v>
          </cell>
          <cell r="AP323">
            <v>6.1413239018667749</v>
          </cell>
          <cell r="AQ323">
            <v>6.2556067879746831</v>
          </cell>
          <cell r="AR323">
            <v>6.1803425696215442</v>
          </cell>
          <cell r="AS323">
            <v>6.2365501594814283</v>
          </cell>
          <cell r="AT323">
            <v>5.9748689619838098</v>
          </cell>
          <cell r="AU323">
            <v>6.1465189795918365</v>
          </cell>
          <cell r="AV323">
            <v>6.0225999999999997</v>
          </cell>
          <cell r="AW323">
            <v>6.1626405063291125</v>
          </cell>
          <cell r="AX323">
            <v>6.3349000000000002</v>
          </cell>
          <cell r="AZ323">
            <v>227</v>
          </cell>
          <cell r="BA323">
            <v>227</v>
          </cell>
          <cell r="BC323">
            <v>2034</v>
          </cell>
        </row>
        <row r="324">
          <cell r="D324">
            <v>49035</v>
          </cell>
          <cell r="E324">
            <v>53.785879999999999</v>
          </cell>
          <cell r="F324">
            <v>56.035029999999999</v>
          </cell>
          <cell r="G324">
            <v>52.546990000000001</v>
          </cell>
          <cell r="H324">
            <v>54.045589999999997</v>
          </cell>
          <cell r="J324">
            <v>54.535029999999999</v>
          </cell>
          <cell r="K324">
            <v>54.535029999999999</v>
          </cell>
          <cell r="L324">
            <v>58.035029999999999</v>
          </cell>
          <cell r="M324">
            <v>47.98066</v>
          </cell>
          <cell r="N324">
            <v>52.876750000000001</v>
          </cell>
          <cell r="O324">
            <v>46.295960000000001</v>
          </cell>
          <cell r="P324">
            <v>52.971559999999997</v>
          </cell>
          <cell r="R324">
            <v>52.126750000000001</v>
          </cell>
          <cell r="S324">
            <v>51.876750000000001</v>
          </cell>
          <cell r="T324">
            <v>54.876750000000001</v>
          </cell>
          <cell r="U324">
            <v>51.205782222222219</v>
          </cell>
          <cell r="V324">
            <v>54.631349999999998</v>
          </cell>
          <cell r="W324">
            <v>49.768754444444447</v>
          </cell>
          <cell r="Z324">
            <v>53.464683333333333</v>
          </cell>
          <cell r="AC324">
            <v>5.7723000000000004</v>
          </cell>
          <cell r="AD324">
            <v>5.6939000000000002</v>
          </cell>
          <cell r="AE324">
            <v>5.7408999999999999</v>
          </cell>
          <cell r="AF324">
            <v>5.5526999999999997</v>
          </cell>
          <cell r="AG324">
            <v>5.7880000000000003</v>
          </cell>
          <cell r="AH324">
            <v>5.1761999999999997</v>
          </cell>
          <cell r="AI324">
            <v>5.9919000000000002</v>
          </cell>
          <cell r="AJ324">
            <v>5.9146999999999998</v>
          </cell>
          <cell r="AK324">
            <v>6.0449999999999999</v>
          </cell>
          <cell r="AL324">
            <v>5.8646000000000003</v>
          </cell>
          <cell r="AM324">
            <v>6.0949999999999998</v>
          </cell>
          <cell r="AN324">
            <v>5.8802000000000003</v>
          </cell>
          <cell r="AO324">
            <v>5.7572826752845296</v>
          </cell>
          <cell r="AP324">
            <v>5.8533508323982453</v>
          </cell>
          <cell r="AQ324">
            <v>5.931894039898733</v>
          </cell>
          <cell r="AR324">
            <v>5.8923695001530154</v>
          </cell>
          <cell r="AS324">
            <v>5.9622421030970258</v>
          </cell>
          <cell r="AT324">
            <v>5.583128004918537</v>
          </cell>
          <cell r="AU324">
            <v>5.8584577551020409</v>
          </cell>
          <cell r="AV324">
            <v>5.7558999999999996</v>
          </cell>
          <cell r="AW324">
            <v>5.7973746835443025</v>
          </cell>
          <cell r="AX324">
            <v>5.9196</v>
          </cell>
          <cell r="AZ324">
            <v>228</v>
          </cell>
          <cell r="BA324">
            <v>228</v>
          </cell>
          <cell r="BC324">
            <v>2034</v>
          </cell>
        </row>
        <row r="325">
          <cell r="D325">
            <v>49065</v>
          </cell>
          <cell r="E325">
            <v>49.713439999999999</v>
          </cell>
          <cell r="F325">
            <v>52.620190000000001</v>
          </cell>
          <cell r="G325">
            <v>45.471159999999998</v>
          </cell>
          <cell r="H325">
            <v>50.704859999999996</v>
          </cell>
          <cell r="J325">
            <v>52.620190000000001</v>
          </cell>
          <cell r="K325">
            <v>52.620190000000001</v>
          </cell>
          <cell r="L325">
            <v>54.620190000000001</v>
          </cell>
          <cell r="M325">
            <v>40.62209</v>
          </cell>
          <cell r="N325">
            <v>48.903100000000002</v>
          </cell>
          <cell r="O325">
            <v>36.764229999999998</v>
          </cell>
          <cell r="P325">
            <v>41.410130000000002</v>
          </cell>
          <cell r="R325">
            <v>48.903100000000002</v>
          </cell>
          <cell r="S325">
            <v>48.403100000000002</v>
          </cell>
          <cell r="T325">
            <v>50.653100000000002</v>
          </cell>
          <cell r="U325">
            <v>45.705425483870968</v>
          </cell>
          <cell r="V325">
            <v>50.981472903225807</v>
          </cell>
          <cell r="W325">
            <v>41.632620967741929</v>
          </cell>
          <cell r="Z325">
            <v>50.981472903225807</v>
          </cell>
          <cell r="AC325">
            <v>5.5997000000000003</v>
          </cell>
          <cell r="AD325">
            <v>5.4898999999999996</v>
          </cell>
          <cell r="AE325">
            <v>5.6467999999999998</v>
          </cell>
          <cell r="AF325">
            <v>5.5369999999999999</v>
          </cell>
          <cell r="AG325">
            <v>5.7408999999999999</v>
          </cell>
          <cell r="AH325">
            <v>5.1292</v>
          </cell>
          <cell r="AI325">
            <v>5.8821000000000003</v>
          </cell>
          <cell r="AJ325">
            <v>5.7356999999999996</v>
          </cell>
          <cell r="AK325">
            <v>5.8655999999999997</v>
          </cell>
          <cell r="AL325">
            <v>5.6894</v>
          </cell>
          <cell r="AM325">
            <v>5.9156000000000004</v>
          </cell>
          <cell r="AN325">
            <v>5.7032999999999996</v>
          </cell>
          <cell r="AO325">
            <v>5.5840555932475562</v>
          </cell>
          <cell r="AP325">
            <v>5.6772822819545041</v>
          </cell>
          <cell r="AQ325">
            <v>5.7780866280379728</v>
          </cell>
          <cell r="AR325">
            <v>5.7163009497092734</v>
          </cell>
          <cell r="AS325">
            <v>5.946088177796069</v>
          </cell>
          <cell r="AT325">
            <v>5.5574081565734197</v>
          </cell>
          <cell r="AU325">
            <v>5.6823353061224493</v>
          </cell>
          <cell r="AV325">
            <v>5.6618000000000004</v>
          </cell>
          <cell r="AW325">
            <v>5.5907924050632891</v>
          </cell>
          <cell r="AX325">
            <v>5.7087000000000003</v>
          </cell>
          <cell r="AZ325">
            <v>229</v>
          </cell>
          <cell r="BA325">
            <v>229</v>
          </cell>
          <cell r="BC325">
            <v>2034</v>
          </cell>
        </row>
        <row r="326">
          <cell r="D326">
            <v>49096</v>
          </cell>
          <cell r="E326">
            <v>55.564720000000001</v>
          </cell>
          <cell r="F326">
            <v>57.5929</v>
          </cell>
          <cell r="G326">
            <v>51.415939999999999</v>
          </cell>
          <cell r="H326">
            <v>58.067439999999998</v>
          </cell>
          <cell r="J326">
            <v>56.8429</v>
          </cell>
          <cell r="K326">
            <v>57.5929</v>
          </cell>
          <cell r="L326">
            <v>60.0929</v>
          </cell>
          <cell r="M326">
            <v>44.25224</v>
          </cell>
          <cell r="N326">
            <v>50.326979999999999</v>
          </cell>
          <cell r="O326">
            <v>40.427709999999998</v>
          </cell>
          <cell r="P326">
            <v>47.267409999999998</v>
          </cell>
          <cell r="R326">
            <v>49.826979999999999</v>
          </cell>
          <cell r="S326">
            <v>49.826979999999999</v>
          </cell>
          <cell r="T326">
            <v>52.576979999999999</v>
          </cell>
          <cell r="U326">
            <v>50.788339555555552</v>
          </cell>
          <cell r="V326">
            <v>54.525067111111113</v>
          </cell>
          <cell r="W326">
            <v>46.776465111111108</v>
          </cell>
          <cell r="Z326">
            <v>53.88062266666666</v>
          </cell>
          <cell r="AC326">
            <v>5.5526999999999997</v>
          </cell>
          <cell r="AD326">
            <v>5.4743000000000004</v>
          </cell>
          <cell r="AE326">
            <v>5.6467999999999998</v>
          </cell>
          <cell r="AF326">
            <v>5.6311</v>
          </cell>
          <cell r="AG326">
            <v>5.7880000000000003</v>
          </cell>
          <cell r="AH326">
            <v>5.1448999999999998</v>
          </cell>
          <cell r="AI326">
            <v>5.8821000000000003</v>
          </cell>
          <cell r="AJ326">
            <v>5.6897000000000002</v>
          </cell>
          <cell r="AK326">
            <v>5.8197000000000001</v>
          </cell>
          <cell r="AL326">
            <v>5.6426999999999996</v>
          </cell>
          <cell r="AM326">
            <v>5.8696999999999999</v>
          </cell>
          <cell r="AN326">
            <v>5.6569000000000003</v>
          </cell>
          <cell r="AO326">
            <v>5.5368848351030726</v>
          </cell>
          <cell r="AP326">
            <v>5.6293377751708658</v>
          </cell>
          <cell r="AQ326">
            <v>5.7700376658607588</v>
          </cell>
          <cell r="AR326">
            <v>5.668356442925635</v>
          </cell>
          <cell r="AS326">
            <v>6.0429088383578557</v>
          </cell>
          <cell r="AT326">
            <v>5.4964387949585003</v>
          </cell>
          <cell r="AU326">
            <v>5.6343761224489786</v>
          </cell>
          <cell r="AV326">
            <v>5.6618000000000004</v>
          </cell>
          <cell r="AW326">
            <v>5.57499493670886</v>
          </cell>
          <cell r="AX326">
            <v>5.6948999999999996</v>
          </cell>
          <cell r="AZ326">
            <v>230</v>
          </cell>
          <cell r="BA326">
            <v>230</v>
          </cell>
          <cell r="BC326">
            <v>2034</v>
          </cell>
        </row>
        <row r="327">
          <cell r="D327">
            <v>49126</v>
          </cell>
          <cell r="E327">
            <v>61.681159999999998</v>
          </cell>
          <cell r="F327">
            <v>62.94699</v>
          </cell>
          <cell r="G327">
            <v>57.246630000000003</v>
          </cell>
          <cell r="H327">
            <v>62.856830000000002</v>
          </cell>
          <cell r="J327">
            <v>67.94699</v>
          </cell>
          <cell r="K327">
            <v>68.44699</v>
          </cell>
          <cell r="L327">
            <v>67.19699</v>
          </cell>
          <cell r="M327">
            <v>49.689720000000001</v>
          </cell>
          <cell r="N327">
            <v>53.269190000000002</v>
          </cell>
          <cell r="O327">
            <v>45.75264</v>
          </cell>
          <cell r="P327">
            <v>50.891840000000002</v>
          </cell>
          <cell r="R327">
            <v>54.269190000000002</v>
          </cell>
          <cell r="S327">
            <v>54.269190000000002</v>
          </cell>
          <cell r="T327">
            <v>55.769190000000002</v>
          </cell>
          <cell r="U327">
            <v>56.136730752688166</v>
          </cell>
          <cell r="V327">
            <v>58.472308279569894</v>
          </cell>
          <cell r="W327">
            <v>51.932204516129033</v>
          </cell>
          <cell r="Z327">
            <v>61.622845913978502</v>
          </cell>
          <cell r="AC327">
            <v>5.6154000000000002</v>
          </cell>
          <cell r="AD327">
            <v>5.4743000000000004</v>
          </cell>
          <cell r="AE327">
            <v>5.6939000000000002</v>
          </cell>
          <cell r="AF327">
            <v>5.6624999999999996</v>
          </cell>
          <cell r="AG327">
            <v>5.8506999999999998</v>
          </cell>
          <cell r="AH327">
            <v>5.2389999999999999</v>
          </cell>
          <cell r="AI327">
            <v>5.9919000000000002</v>
          </cell>
          <cell r="AJ327">
            <v>5.7537000000000003</v>
          </cell>
          <cell r="AK327">
            <v>5.8837999999999999</v>
          </cell>
          <cell r="AL327">
            <v>5.7060000000000004</v>
          </cell>
          <cell r="AM327">
            <v>5.9337999999999997</v>
          </cell>
          <cell r="AN327">
            <v>5.7205000000000004</v>
          </cell>
          <cell r="AO327">
            <v>5.5998126337341168</v>
          </cell>
          <cell r="AP327">
            <v>5.6932977874120168</v>
          </cell>
          <cell r="AQ327">
            <v>5.7943393401265819</v>
          </cell>
          <cell r="AR327">
            <v>5.732316455166786</v>
          </cell>
          <cell r="AS327">
            <v>6.0752166889597694</v>
          </cell>
          <cell r="AT327">
            <v>5.581181084127472</v>
          </cell>
          <cell r="AU327">
            <v>5.6983557142857144</v>
          </cell>
          <cell r="AV327">
            <v>5.7088999999999999</v>
          </cell>
          <cell r="AW327">
            <v>5.57499493670886</v>
          </cell>
          <cell r="AX327">
            <v>5.6973000000000003</v>
          </cell>
          <cell r="AZ327">
            <v>231</v>
          </cell>
          <cell r="BA327">
            <v>231</v>
          </cell>
          <cell r="BC327">
            <v>2034</v>
          </cell>
        </row>
        <row r="328">
          <cell r="D328">
            <v>49157</v>
          </cell>
          <cell r="E328">
            <v>68.652050000000003</v>
          </cell>
          <cell r="F328">
            <v>66.562330000000003</v>
          </cell>
          <cell r="G328">
            <v>65.273390000000006</v>
          </cell>
          <cell r="H328">
            <v>67.336290000000005</v>
          </cell>
          <cell r="J328">
            <v>71.062330000000003</v>
          </cell>
          <cell r="K328">
            <v>72.062330000000003</v>
          </cell>
          <cell r="L328">
            <v>70.312330000000003</v>
          </cell>
          <cell r="M328">
            <v>53.03904</v>
          </cell>
          <cell r="N328">
            <v>54.592889999999997</v>
          </cell>
          <cell r="O328">
            <v>49.852739999999997</v>
          </cell>
          <cell r="P328">
            <v>54.649740000000001</v>
          </cell>
          <cell r="R328">
            <v>55.592889999999997</v>
          </cell>
          <cell r="S328">
            <v>55.592889999999997</v>
          </cell>
          <cell r="T328">
            <v>57.092889999999997</v>
          </cell>
          <cell r="U328">
            <v>62.104658709677423</v>
          </cell>
          <cell r="V328">
            <v>61.542887419354841</v>
          </cell>
          <cell r="W328">
            <v>58.806665806451612</v>
          </cell>
          <cell r="Z328">
            <v>64.575145483870969</v>
          </cell>
          <cell r="AC328">
            <v>5.8037000000000001</v>
          </cell>
          <cell r="AD328">
            <v>5.7252000000000001</v>
          </cell>
          <cell r="AE328">
            <v>5.7880000000000003</v>
          </cell>
          <cell r="AF328">
            <v>5.6467999999999998</v>
          </cell>
          <cell r="AG328">
            <v>5.8978000000000002</v>
          </cell>
          <cell r="AH328">
            <v>5.2859999999999996</v>
          </cell>
          <cell r="AI328">
            <v>6.1173999999999999</v>
          </cell>
          <cell r="AJ328">
            <v>5.9431000000000003</v>
          </cell>
          <cell r="AK328">
            <v>6.0732999999999997</v>
          </cell>
          <cell r="AL328">
            <v>5.8948</v>
          </cell>
          <cell r="AM328">
            <v>6.1233000000000004</v>
          </cell>
          <cell r="AN328">
            <v>5.9096000000000002</v>
          </cell>
          <cell r="AO328">
            <v>5.7887967562576526</v>
          </cell>
          <cell r="AP328">
            <v>5.8853818433132714</v>
          </cell>
          <cell r="AQ328">
            <v>5.9723452344303789</v>
          </cell>
          <cell r="AR328">
            <v>5.9244005110680407</v>
          </cell>
          <cell r="AS328">
            <v>6.0590627636588126</v>
          </cell>
          <cell r="AT328">
            <v>5.7741311814735115</v>
          </cell>
          <cell r="AU328">
            <v>5.8904985714285711</v>
          </cell>
          <cell r="AV328">
            <v>5.8029999999999999</v>
          </cell>
          <cell r="AW328">
            <v>5.8290708860759484</v>
          </cell>
          <cell r="AX328">
            <v>5.9504999999999999</v>
          </cell>
          <cell r="AZ328">
            <v>232</v>
          </cell>
          <cell r="BA328">
            <v>232</v>
          </cell>
          <cell r="BC328">
            <v>2034</v>
          </cell>
        </row>
        <row r="329">
          <cell r="D329">
            <v>49188</v>
          </cell>
          <cell r="E329">
            <v>62.957470000000001</v>
          </cell>
          <cell r="F329">
            <v>60.369</v>
          </cell>
          <cell r="G329">
            <v>64.760670000000005</v>
          </cell>
          <cell r="H329">
            <v>66.346270000000004</v>
          </cell>
          <cell r="J329">
            <v>63.369</v>
          </cell>
          <cell r="K329">
            <v>64.369</v>
          </cell>
          <cell r="L329">
            <v>63.369</v>
          </cell>
          <cell r="M329">
            <v>51.411670000000001</v>
          </cell>
          <cell r="N329">
            <v>52.338070000000002</v>
          </cell>
          <cell r="O329">
            <v>53.153730000000003</v>
          </cell>
          <cell r="P329">
            <v>52.881230000000002</v>
          </cell>
          <cell r="R329">
            <v>50.838070000000002</v>
          </cell>
          <cell r="S329">
            <v>50.838070000000002</v>
          </cell>
          <cell r="T329">
            <v>54.588070000000002</v>
          </cell>
          <cell r="U329">
            <v>57.82600333333334</v>
          </cell>
          <cell r="V329">
            <v>56.79969777777778</v>
          </cell>
          <cell r="W329">
            <v>59.602030000000006</v>
          </cell>
          <cell r="Z329">
            <v>57.799697777777773</v>
          </cell>
          <cell r="AC329">
            <v>5.6939000000000002</v>
          </cell>
          <cell r="AD329">
            <v>5.6467999999999998</v>
          </cell>
          <cell r="AE329">
            <v>5.6154000000000002</v>
          </cell>
          <cell r="AF329">
            <v>5.5213000000000001</v>
          </cell>
          <cell r="AG329">
            <v>5.6939000000000002</v>
          </cell>
          <cell r="AH329">
            <v>5.3174000000000001</v>
          </cell>
          <cell r="AI329">
            <v>5.9762000000000004</v>
          </cell>
          <cell r="AJ329">
            <v>5.8334999999999999</v>
          </cell>
          <cell r="AK329">
            <v>5.9635999999999996</v>
          </cell>
          <cell r="AL329">
            <v>5.7850000000000001</v>
          </cell>
          <cell r="AM329">
            <v>6.0136000000000003</v>
          </cell>
          <cell r="AN329">
            <v>5.7999000000000001</v>
          </cell>
          <cell r="AO329">
            <v>5.678597836166924</v>
          </cell>
          <cell r="AP329">
            <v>5.7733753146995817</v>
          </cell>
          <cell r="AQ329">
            <v>5.8428394968354418</v>
          </cell>
          <cell r="AR329">
            <v>5.8123939824543509</v>
          </cell>
          <cell r="AS329">
            <v>5.9299342524951131</v>
          </cell>
          <cell r="AT329">
            <v>5.656496177887079</v>
          </cell>
          <cell r="AU329">
            <v>5.7784577551020408</v>
          </cell>
          <cell r="AV329">
            <v>5.6303999999999998</v>
          </cell>
          <cell r="AW329">
            <v>5.7496784810126567</v>
          </cell>
          <cell r="AX329">
            <v>5.8723999999999998</v>
          </cell>
          <cell r="AZ329">
            <v>233</v>
          </cell>
          <cell r="BA329">
            <v>233</v>
          </cell>
          <cell r="BC329">
            <v>2034</v>
          </cell>
        </row>
        <row r="330">
          <cell r="D330">
            <v>49218</v>
          </cell>
          <cell r="E330">
            <v>57.515970000000003</v>
          </cell>
          <cell r="F330">
            <v>59.132460000000002</v>
          </cell>
          <cell r="G330">
            <v>57.497970000000002</v>
          </cell>
          <cell r="H330">
            <v>59.285170000000001</v>
          </cell>
          <cell r="J330">
            <v>58.632460000000002</v>
          </cell>
          <cell r="K330">
            <v>59.132460000000002</v>
          </cell>
          <cell r="L330">
            <v>61.132460000000002</v>
          </cell>
          <cell r="M330">
            <v>47.145650000000003</v>
          </cell>
          <cell r="N330">
            <v>52.731189999999998</v>
          </cell>
          <cell r="O330">
            <v>48.825589999999998</v>
          </cell>
          <cell r="P330">
            <v>52.229689999999998</v>
          </cell>
          <cell r="R330">
            <v>51.731189999999998</v>
          </cell>
          <cell r="S330">
            <v>51.231189999999998</v>
          </cell>
          <cell r="T330">
            <v>54.481189999999998</v>
          </cell>
          <cell r="U330">
            <v>52.944108494623663</v>
          </cell>
          <cell r="V330">
            <v>56.310394731182797</v>
          </cell>
          <cell r="W330">
            <v>53.674662688172049</v>
          </cell>
          <cell r="Z330">
            <v>55.589964623655916</v>
          </cell>
          <cell r="AC330">
            <v>5.7408999999999999</v>
          </cell>
          <cell r="AD330">
            <v>5.7408999999999999</v>
          </cell>
          <cell r="AE330">
            <v>5.6939000000000002</v>
          </cell>
          <cell r="AF330">
            <v>5.5526999999999997</v>
          </cell>
          <cell r="AG330">
            <v>5.7252000000000001</v>
          </cell>
          <cell r="AH330">
            <v>5.3800999999999997</v>
          </cell>
          <cell r="AI330">
            <v>6.0076000000000001</v>
          </cell>
          <cell r="AJ330">
            <v>5.8818999999999999</v>
          </cell>
          <cell r="AK330">
            <v>6.0121000000000002</v>
          </cell>
          <cell r="AL330">
            <v>5.8326000000000002</v>
          </cell>
          <cell r="AM330">
            <v>6.0621</v>
          </cell>
          <cell r="AN330">
            <v>5.8479000000000001</v>
          </cell>
          <cell r="AO330">
            <v>5.7257685943114067</v>
          </cell>
          <cell r="AP330">
            <v>5.8213198214832191</v>
          </cell>
          <cell r="AQ330">
            <v>5.931894039898733</v>
          </cell>
          <cell r="AR330">
            <v>5.8603384892379884</v>
          </cell>
          <cell r="AS330">
            <v>5.9622421030970258</v>
          </cell>
          <cell r="AT330">
            <v>5.707218587970079</v>
          </cell>
          <cell r="AU330">
            <v>5.8264169387755098</v>
          </cell>
          <cell r="AV330">
            <v>5.7088999999999999</v>
          </cell>
          <cell r="AW330">
            <v>5.8449696202531634</v>
          </cell>
          <cell r="AX330">
            <v>5.9690000000000003</v>
          </cell>
          <cell r="AZ330">
            <v>234</v>
          </cell>
          <cell r="BA330">
            <v>234</v>
          </cell>
          <cell r="BC330">
            <v>2034</v>
          </cell>
        </row>
        <row r="331">
          <cell r="D331">
            <v>49249</v>
          </cell>
          <cell r="E331">
            <v>62.32376</v>
          </cell>
          <cell r="F331">
            <v>61.433280000000003</v>
          </cell>
          <cell r="G331">
            <v>60.518009999999997</v>
          </cell>
          <cell r="H331">
            <v>62.955509999999997</v>
          </cell>
          <cell r="J331">
            <v>60.933280000000003</v>
          </cell>
          <cell r="K331">
            <v>59.933280000000003</v>
          </cell>
          <cell r="L331">
            <v>63.433280000000003</v>
          </cell>
          <cell r="M331">
            <v>48.798549999999999</v>
          </cell>
          <cell r="N331">
            <v>53.066279999999999</v>
          </cell>
          <cell r="O331">
            <v>48.780720000000002</v>
          </cell>
          <cell r="P331">
            <v>49.469619999999999</v>
          </cell>
          <cell r="R331">
            <v>52.566279999999999</v>
          </cell>
          <cell r="S331">
            <v>51.566279999999999</v>
          </cell>
          <cell r="T331">
            <v>54.816279999999999</v>
          </cell>
          <cell r="U331">
            <v>56.302133911234392</v>
          </cell>
          <cell r="V331">
            <v>57.708166269070738</v>
          </cell>
          <cell r="W331">
            <v>55.292392676837721</v>
          </cell>
          <cell r="Z331">
            <v>57.20816626907073</v>
          </cell>
          <cell r="AC331">
            <v>5.835</v>
          </cell>
          <cell r="AD331">
            <v>5.9447999999999999</v>
          </cell>
          <cell r="AE331">
            <v>5.835</v>
          </cell>
          <cell r="AF331">
            <v>5.6467999999999998</v>
          </cell>
          <cell r="AG331">
            <v>5.7880000000000003</v>
          </cell>
          <cell r="AH331">
            <v>5.4115000000000002</v>
          </cell>
          <cell r="AI331">
            <v>6.0860000000000003</v>
          </cell>
          <cell r="AJ331">
            <v>5.9824000000000002</v>
          </cell>
          <cell r="AK331">
            <v>6.1131000000000002</v>
          </cell>
          <cell r="AL331">
            <v>5.9295</v>
          </cell>
          <cell r="AM331">
            <v>6.1631</v>
          </cell>
          <cell r="AN331">
            <v>5.9465000000000003</v>
          </cell>
          <cell r="AO331">
            <v>5.8202104739155738</v>
          </cell>
          <cell r="AP331">
            <v>5.9173108446393954</v>
          </cell>
          <cell r="AQ331">
            <v>6.10989993420253</v>
          </cell>
          <cell r="AR331">
            <v>5.9563295123941655</v>
          </cell>
          <cell r="AS331">
            <v>6.0590627636588126</v>
          </cell>
          <cell r="AT331">
            <v>5.8804945383748342</v>
          </cell>
          <cell r="AU331">
            <v>5.922437346938775</v>
          </cell>
          <cell r="AV331">
            <v>5.85</v>
          </cell>
          <cell r="AW331">
            <v>6.0514506329113908</v>
          </cell>
          <cell r="AX331">
            <v>6.2119</v>
          </cell>
          <cell r="AZ331">
            <v>235</v>
          </cell>
          <cell r="BA331">
            <v>235</v>
          </cell>
          <cell r="BC331">
            <v>2034</v>
          </cell>
        </row>
        <row r="332">
          <cell r="D332">
            <v>49279</v>
          </cell>
          <cell r="E332">
            <v>64.049679999999995</v>
          </cell>
          <cell r="F332">
            <v>62.464820000000003</v>
          </cell>
          <cell r="G332">
            <v>64.496219999999994</v>
          </cell>
          <cell r="H332">
            <v>67.224019999999996</v>
          </cell>
          <cell r="J332">
            <v>61.964820000000003</v>
          </cell>
          <cell r="K332">
            <v>61.714820000000003</v>
          </cell>
          <cell r="L332">
            <v>64.464820000000003</v>
          </cell>
          <cell r="M332">
            <v>53.498350000000002</v>
          </cell>
          <cell r="N332">
            <v>56.69171</v>
          </cell>
          <cell r="O332">
            <v>53.96387</v>
          </cell>
          <cell r="P332">
            <v>56.778370000000002</v>
          </cell>
          <cell r="R332">
            <v>56.19171</v>
          </cell>
          <cell r="S332">
            <v>55.69171</v>
          </cell>
          <cell r="T332">
            <v>58.44171</v>
          </cell>
          <cell r="U332">
            <v>59.171108064516126</v>
          </cell>
          <cell r="V332">
            <v>59.795532580645165</v>
          </cell>
          <cell r="W332">
            <v>59.626423763440854</v>
          </cell>
          <cell r="Z332">
            <v>59.295532580645165</v>
          </cell>
          <cell r="AC332">
            <v>6.133</v>
          </cell>
          <cell r="AD332">
            <v>6.3525999999999998</v>
          </cell>
          <cell r="AE332">
            <v>6.2271999999999998</v>
          </cell>
          <cell r="AF332">
            <v>6.0860000000000003</v>
          </cell>
          <cell r="AG332">
            <v>6.1173999999999999</v>
          </cell>
          <cell r="AH332">
            <v>5.7880000000000003</v>
          </cell>
          <cell r="AI332">
            <v>6.3997000000000002</v>
          </cell>
          <cell r="AJ332">
            <v>6.2858000000000001</v>
          </cell>
          <cell r="AK332">
            <v>6.4168000000000003</v>
          </cell>
          <cell r="AL332">
            <v>6.2298</v>
          </cell>
          <cell r="AM332">
            <v>6.4668000000000001</v>
          </cell>
          <cell r="AN332">
            <v>6.2481999999999998</v>
          </cell>
          <cell r="AO332">
            <v>6.1192931532146364</v>
          </cell>
          <cell r="AP332">
            <v>6.2212994195654385</v>
          </cell>
          <cell r="AQ332">
            <v>6.5226672253417721</v>
          </cell>
          <cell r="AR332">
            <v>6.2603180873202087</v>
          </cell>
          <cell r="AS332">
            <v>6.510961107109785</v>
          </cell>
          <cell r="AT332">
            <v>6.1679215288451692</v>
          </cell>
          <cell r="AU332">
            <v>6.2265189795918365</v>
          </cell>
          <cell r="AV332">
            <v>6.2422000000000004</v>
          </cell>
          <cell r="AW332">
            <v>6.4644126582278467</v>
          </cell>
          <cell r="AX332">
            <v>6.6298000000000004</v>
          </cell>
          <cell r="AZ332">
            <v>236</v>
          </cell>
          <cell r="BA332">
            <v>236</v>
          </cell>
          <cell r="BC332">
            <v>2034</v>
          </cell>
        </row>
        <row r="333">
          <cell r="D333">
            <v>49310</v>
          </cell>
          <cell r="E333">
            <v>62.496319999999997</v>
          </cell>
          <cell r="F333">
            <v>62.716140000000003</v>
          </cell>
          <cell r="G333">
            <v>61.619320000000002</v>
          </cell>
          <cell r="H333">
            <v>65.427819999999997</v>
          </cell>
          <cell r="J333">
            <v>62.216140000000003</v>
          </cell>
          <cell r="K333">
            <v>62.216140000000003</v>
          </cell>
          <cell r="L333">
            <v>64.966139999999996</v>
          </cell>
          <cell r="M333">
            <v>52.537059999999997</v>
          </cell>
          <cell r="N333">
            <v>56.412500000000001</v>
          </cell>
          <cell r="O333">
            <v>51.29504</v>
          </cell>
          <cell r="P333">
            <v>54.539540000000002</v>
          </cell>
          <cell r="R333">
            <v>55.912500000000001</v>
          </cell>
          <cell r="S333">
            <v>55.912500000000001</v>
          </cell>
          <cell r="T333">
            <v>58.662500000000001</v>
          </cell>
          <cell r="U333">
            <v>58.105678494623646</v>
          </cell>
          <cell r="V333">
            <v>59.937115913978495</v>
          </cell>
          <cell r="W333">
            <v>57.067755698924728</v>
          </cell>
          <cell r="Z333">
            <v>59.437115913978488</v>
          </cell>
          <cell r="AC333">
            <v>6.2679999999999998</v>
          </cell>
          <cell r="AD333">
            <v>6.4763999999999999</v>
          </cell>
          <cell r="AE333">
            <v>6.3</v>
          </cell>
          <cell r="AF333">
            <v>6.2039</v>
          </cell>
          <cell r="AG333">
            <v>6.2199</v>
          </cell>
          <cell r="AH333">
            <v>5.8993000000000002</v>
          </cell>
          <cell r="AI333">
            <v>6.4603000000000002</v>
          </cell>
          <cell r="AJ333">
            <v>6.4250999999999996</v>
          </cell>
          <cell r="AK333">
            <v>6.5564</v>
          </cell>
          <cell r="AL333">
            <v>6.3665000000000003</v>
          </cell>
          <cell r="AM333">
            <v>6.6063999999999998</v>
          </cell>
          <cell r="AN333">
            <v>6.3861999999999997</v>
          </cell>
          <cell r="AO333">
            <v>6.2547836287360239</v>
          </cell>
          <cell r="AP333">
            <v>6.35901236458227</v>
          </cell>
          <cell r="AQ333">
            <v>6.6241047871392391</v>
          </cell>
          <cell r="AR333">
            <v>6.3980310323370402</v>
          </cell>
          <cell r="AS333">
            <v>6.6322698837328939</v>
          </cell>
          <cell r="AT333">
            <v>6.3805457731324937</v>
          </cell>
          <cell r="AU333">
            <v>6.3642740816326526</v>
          </cell>
          <cell r="AV333">
            <v>6.3150000000000004</v>
          </cell>
          <cell r="AW333">
            <v>6.5897797468354415</v>
          </cell>
          <cell r="AX333">
            <v>6.7615999999999996</v>
          </cell>
          <cell r="AZ333">
            <v>237</v>
          </cell>
          <cell r="BA333">
            <v>237</v>
          </cell>
          <cell r="BC333">
            <v>2035</v>
          </cell>
        </row>
        <row r="334">
          <cell r="D334">
            <v>49341</v>
          </cell>
          <cell r="E334">
            <v>63.592849999999999</v>
          </cell>
          <cell r="F334">
            <v>62.423940000000002</v>
          </cell>
          <cell r="G334">
            <v>66.48563</v>
          </cell>
          <cell r="H334">
            <v>70.443629999999999</v>
          </cell>
          <cell r="J334">
            <v>62.423940000000002</v>
          </cell>
          <cell r="K334">
            <v>61.423940000000002</v>
          </cell>
          <cell r="L334">
            <v>64.673940000000002</v>
          </cell>
          <cell r="M334">
            <v>52.362789999999997</v>
          </cell>
          <cell r="N334">
            <v>57.25</v>
          </cell>
          <cell r="O334">
            <v>55.128039999999999</v>
          </cell>
          <cell r="P334">
            <v>58.014339999999997</v>
          </cell>
          <cell r="R334">
            <v>56.75</v>
          </cell>
          <cell r="S334">
            <v>56</v>
          </cell>
          <cell r="T334">
            <v>59.25</v>
          </cell>
          <cell r="U334">
            <v>58.779967142857139</v>
          </cell>
          <cell r="V334">
            <v>60.206537142857144</v>
          </cell>
          <cell r="W334">
            <v>61.618091428571425</v>
          </cell>
          <cell r="Z334">
            <v>59.992251428571429</v>
          </cell>
          <cell r="AC334">
            <v>6.3</v>
          </cell>
          <cell r="AD334">
            <v>6.5084</v>
          </cell>
          <cell r="AE334">
            <v>6.3642000000000003</v>
          </cell>
          <cell r="AF334">
            <v>6.1878000000000002</v>
          </cell>
          <cell r="AG334">
            <v>6.2679999999999998</v>
          </cell>
          <cell r="AH334">
            <v>5.9153000000000002</v>
          </cell>
          <cell r="AI334">
            <v>6.4923999999999999</v>
          </cell>
          <cell r="AJ334">
            <v>6.4565999999999999</v>
          </cell>
          <cell r="AK334">
            <v>6.5877999999999997</v>
          </cell>
          <cell r="AL334">
            <v>6.3983999999999996</v>
          </cell>
          <cell r="AM334">
            <v>6.6378000000000004</v>
          </cell>
          <cell r="AN334">
            <v>6.4179000000000004</v>
          </cell>
          <cell r="AO334">
            <v>6.2868998896003525</v>
          </cell>
          <cell r="AP334">
            <v>6.3916554330307047</v>
          </cell>
          <cell r="AQ334">
            <v>6.673740053898733</v>
          </cell>
          <cell r="AR334">
            <v>6.430674100785474</v>
          </cell>
          <cell r="AS334">
            <v>6.6157043934561166</v>
          </cell>
          <cell r="AT334">
            <v>6.428706445332514</v>
          </cell>
          <cell r="AU334">
            <v>6.3969271428571419</v>
          </cell>
          <cell r="AV334">
            <v>6.3792</v>
          </cell>
          <cell r="AW334">
            <v>6.6221848101265808</v>
          </cell>
          <cell r="AX334">
            <v>6.7927</v>
          </cell>
          <cell r="AZ334">
            <v>238</v>
          </cell>
          <cell r="BA334">
            <v>238</v>
          </cell>
          <cell r="BC334">
            <v>2035</v>
          </cell>
        </row>
        <row r="335">
          <cell r="D335">
            <v>49369</v>
          </cell>
          <cell r="E335">
            <v>55.648240000000001</v>
          </cell>
          <cell r="F335">
            <v>59.447609999999997</v>
          </cell>
          <cell r="G335">
            <v>56.248620000000003</v>
          </cell>
          <cell r="H335">
            <v>60.04712</v>
          </cell>
          <cell r="J335">
            <v>59.447609999999997</v>
          </cell>
          <cell r="K335">
            <v>58.447609999999997</v>
          </cell>
          <cell r="L335">
            <v>61.697609999999997</v>
          </cell>
          <cell r="M335">
            <v>50.6342</v>
          </cell>
          <cell r="N335">
            <v>55.744439999999997</v>
          </cell>
          <cell r="O335">
            <v>49.260339999999999</v>
          </cell>
          <cell r="P335">
            <v>52.455840000000002</v>
          </cell>
          <cell r="R335">
            <v>55.244439999999997</v>
          </cell>
          <cell r="S335">
            <v>54.244439999999997</v>
          </cell>
          <cell r="T335">
            <v>57.744439999999997</v>
          </cell>
          <cell r="U335">
            <v>53.549496473755049</v>
          </cell>
          <cell r="V335">
            <v>57.897561722745614</v>
          </cell>
          <cell r="W335">
            <v>53.323512220726784</v>
          </cell>
          <cell r="Z335">
            <v>57.688275047106323</v>
          </cell>
          <cell r="AC335">
            <v>6.1077000000000004</v>
          </cell>
          <cell r="AD335">
            <v>6.1558000000000002</v>
          </cell>
          <cell r="AE335">
            <v>6.0755999999999997</v>
          </cell>
          <cell r="AF335">
            <v>5.8993000000000002</v>
          </cell>
          <cell r="AG335">
            <v>6.0755999999999997</v>
          </cell>
          <cell r="AH335">
            <v>5.7709999999999999</v>
          </cell>
          <cell r="AI335">
            <v>6.3</v>
          </cell>
          <cell r="AJ335">
            <v>6.2622</v>
          </cell>
          <cell r="AK335">
            <v>6.3932000000000002</v>
          </cell>
          <cell r="AL335">
            <v>6.2050999999999998</v>
          </cell>
          <cell r="AM335">
            <v>6.4432</v>
          </cell>
          <cell r="AN335">
            <v>6.2240000000000002</v>
          </cell>
          <cell r="AO335">
            <v>6.0939012344687766</v>
          </cell>
          <cell r="AP335">
            <v>6.1954909935733964</v>
          </cell>
          <cell r="AQ335">
            <v>6.3429070700506314</v>
          </cell>
          <cell r="AR335">
            <v>6.2345096613281656</v>
          </cell>
          <cell r="AS335">
            <v>6.3188631546455394</v>
          </cell>
          <cell r="AT335">
            <v>6.0292802746183014</v>
          </cell>
          <cell r="AU335">
            <v>6.2007026530612244</v>
          </cell>
          <cell r="AV335">
            <v>6.0906000000000002</v>
          </cell>
          <cell r="AW335">
            <v>6.2651215189873408</v>
          </cell>
          <cell r="AX335">
            <v>6.4360999999999997</v>
          </cell>
          <cell r="AZ335">
            <v>239</v>
          </cell>
          <cell r="BA335">
            <v>239</v>
          </cell>
          <cell r="BC335">
            <v>2035</v>
          </cell>
        </row>
        <row r="336">
          <cell r="D336">
            <v>49400</v>
          </cell>
          <cell r="E336">
            <v>54.600140000000003</v>
          </cell>
          <cell r="F336">
            <v>56.893520000000002</v>
          </cell>
          <cell r="G336">
            <v>53.798020000000001</v>
          </cell>
          <cell r="H336">
            <v>55.296619999999997</v>
          </cell>
          <cell r="J336">
            <v>55.393520000000002</v>
          </cell>
          <cell r="K336">
            <v>55.393520000000002</v>
          </cell>
          <cell r="L336">
            <v>58.893520000000002</v>
          </cell>
          <cell r="M336">
            <v>49.146610000000003</v>
          </cell>
          <cell r="N336">
            <v>53.608969999999999</v>
          </cell>
          <cell r="O336">
            <v>47.694589999999998</v>
          </cell>
          <cell r="P336">
            <v>54.370190000000001</v>
          </cell>
          <cell r="R336">
            <v>52.858969999999999</v>
          </cell>
          <cell r="S336">
            <v>52.608969999999999</v>
          </cell>
          <cell r="T336">
            <v>55.608969999999999</v>
          </cell>
          <cell r="U336">
            <v>52.176348888888889</v>
          </cell>
          <cell r="V336">
            <v>55.433720000000001</v>
          </cell>
          <cell r="W336">
            <v>51.085384444444443</v>
          </cell>
          <cell r="Z336">
            <v>54.26705333333333</v>
          </cell>
          <cell r="AC336">
            <v>5.8832000000000004</v>
          </cell>
          <cell r="AD336">
            <v>5.8512000000000004</v>
          </cell>
          <cell r="AE336">
            <v>5.8030999999999997</v>
          </cell>
          <cell r="AF336">
            <v>5.6588000000000003</v>
          </cell>
          <cell r="AG336">
            <v>5.8832000000000004</v>
          </cell>
          <cell r="AH336">
            <v>5.4664000000000001</v>
          </cell>
          <cell r="AI336">
            <v>6.0915999999999997</v>
          </cell>
          <cell r="AJ336">
            <v>6.0255999999999998</v>
          </cell>
          <cell r="AK336">
            <v>6.1558999999999999</v>
          </cell>
          <cell r="AL336">
            <v>5.9756</v>
          </cell>
          <cell r="AM336">
            <v>6.2058999999999997</v>
          </cell>
          <cell r="AN336">
            <v>5.9912000000000001</v>
          </cell>
          <cell r="AO336">
            <v>5.8685855918424696</v>
          </cell>
          <cell r="AP336">
            <v>5.9664794664898499</v>
          </cell>
          <cell r="AQ336">
            <v>6.0451470654050627</v>
          </cell>
          <cell r="AR336">
            <v>6.0054981342446201</v>
          </cell>
          <cell r="AS336">
            <v>6.0714097129334297</v>
          </cell>
          <cell r="AT336">
            <v>5.6967666974075213</v>
          </cell>
          <cell r="AU336">
            <v>5.971621020408163</v>
          </cell>
          <cell r="AV336">
            <v>5.8181000000000003</v>
          </cell>
          <cell r="AW336">
            <v>5.9566658227848093</v>
          </cell>
          <cell r="AX336">
            <v>6.077</v>
          </cell>
          <cell r="AZ336">
            <v>240</v>
          </cell>
          <cell r="BA336">
            <v>240</v>
          </cell>
          <cell r="BC336">
            <v>2035</v>
          </cell>
        </row>
        <row r="337">
          <cell r="D337">
            <v>49430</v>
          </cell>
          <cell r="E337">
            <v>51.477989999999998</v>
          </cell>
          <cell r="F337">
            <v>53.805819999999997</v>
          </cell>
          <cell r="G337">
            <v>47.26014</v>
          </cell>
          <cell r="H337">
            <v>52.493839999999999</v>
          </cell>
          <cell r="J337">
            <v>53.805819999999997</v>
          </cell>
          <cell r="K337">
            <v>53.805819999999997</v>
          </cell>
          <cell r="L337">
            <v>55.805819999999997</v>
          </cell>
          <cell r="M337">
            <v>42.909379999999999</v>
          </cell>
          <cell r="N337">
            <v>50.339010000000002</v>
          </cell>
          <cell r="O337">
            <v>38.95205</v>
          </cell>
          <cell r="P337">
            <v>43.597949999999997</v>
          </cell>
          <cell r="R337">
            <v>50.339010000000002</v>
          </cell>
          <cell r="S337">
            <v>49.839010000000002</v>
          </cell>
          <cell r="T337">
            <v>52.089010000000002</v>
          </cell>
          <cell r="U337">
            <v>47.700430752688177</v>
          </cell>
          <cell r="V337">
            <v>52.277441397849458</v>
          </cell>
          <cell r="W337">
            <v>43.597433655913974</v>
          </cell>
          <cell r="Z337">
            <v>52.277441397849458</v>
          </cell>
          <cell r="AC337">
            <v>5.8512000000000004</v>
          </cell>
          <cell r="AD337">
            <v>5.7549999999999999</v>
          </cell>
          <cell r="AE337">
            <v>5.8350999999999997</v>
          </cell>
          <cell r="AF337">
            <v>5.7229000000000001</v>
          </cell>
          <cell r="AG337">
            <v>5.8993000000000002</v>
          </cell>
          <cell r="AH337">
            <v>5.4184000000000001</v>
          </cell>
          <cell r="AI337">
            <v>6.0755999999999997</v>
          </cell>
          <cell r="AJ337">
            <v>5.9871999999999996</v>
          </cell>
          <cell r="AK337">
            <v>6.1170999999999998</v>
          </cell>
          <cell r="AL337">
            <v>5.9408000000000003</v>
          </cell>
          <cell r="AM337">
            <v>6.1670999999999996</v>
          </cell>
          <cell r="AN337">
            <v>5.9546999999999999</v>
          </cell>
          <cell r="AO337">
            <v>5.836469330978141</v>
          </cell>
          <cell r="AP337">
            <v>5.9338363980414162</v>
          </cell>
          <cell r="AQ337">
            <v>6.0120224902911383</v>
          </cell>
          <cell r="AR337">
            <v>5.9728550657961854</v>
          </cell>
          <cell r="AS337">
            <v>6.1373630003086737</v>
          </cell>
          <cell r="AT337">
            <v>5.8151189876011884</v>
          </cell>
          <cell r="AU337">
            <v>5.9389679591836737</v>
          </cell>
          <cell r="AV337">
            <v>5.8501000000000003</v>
          </cell>
          <cell r="AW337">
            <v>5.8592481012658215</v>
          </cell>
          <cell r="AX337">
            <v>5.9737999999999998</v>
          </cell>
          <cell r="AZ337">
            <v>241</v>
          </cell>
          <cell r="BA337">
            <v>241</v>
          </cell>
          <cell r="BC337">
            <v>2035</v>
          </cell>
        </row>
        <row r="338">
          <cell r="D338">
            <v>49461</v>
          </cell>
          <cell r="E338">
            <v>55.359769999999997</v>
          </cell>
          <cell r="F338">
            <v>57.39423</v>
          </cell>
          <cell r="G338">
            <v>51.014449999999997</v>
          </cell>
          <cell r="H338">
            <v>57.665950000000002</v>
          </cell>
          <cell r="J338">
            <v>56.64423</v>
          </cell>
          <cell r="K338">
            <v>57.39423</v>
          </cell>
          <cell r="L338">
            <v>59.89423</v>
          </cell>
          <cell r="M338">
            <v>44.097110000000001</v>
          </cell>
          <cell r="N338">
            <v>50.63297</v>
          </cell>
          <cell r="O338">
            <v>40.089950000000002</v>
          </cell>
          <cell r="P338">
            <v>46.929650000000002</v>
          </cell>
          <cell r="R338">
            <v>50.13297</v>
          </cell>
          <cell r="S338">
            <v>50.13297</v>
          </cell>
          <cell r="T338">
            <v>52.88297</v>
          </cell>
          <cell r="U338">
            <v>50.604424666666667</v>
          </cell>
          <cell r="V338">
            <v>54.539475777777774</v>
          </cell>
          <cell r="W338">
            <v>46.40188333333333</v>
          </cell>
          <cell r="Z338">
            <v>53.895031333333328</v>
          </cell>
          <cell r="AC338">
            <v>5.7389999999999999</v>
          </cell>
          <cell r="AD338">
            <v>5.6588000000000003</v>
          </cell>
          <cell r="AE338">
            <v>5.7870999999999997</v>
          </cell>
          <cell r="AF338">
            <v>5.7870999999999997</v>
          </cell>
          <cell r="AG338">
            <v>5.9313000000000002</v>
          </cell>
          <cell r="AH338">
            <v>5.226</v>
          </cell>
          <cell r="AI338">
            <v>6.0434999999999999</v>
          </cell>
          <cell r="AJ338">
            <v>5.8760000000000003</v>
          </cell>
          <cell r="AK338">
            <v>6.0058999999999996</v>
          </cell>
          <cell r="AL338">
            <v>5.8289999999999997</v>
          </cell>
          <cell r="AM338">
            <v>6.0559000000000003</v>
          </cell>
          <cell r="AN338">
            <v>5.8432000000000004</v>
          </cell>
          <cell r="AO338">
            <v>5.723861691322587</v>
          </cell>
          <cell r="AP338">
            <v>5.8193816392940931</v>
          </cell>
          <cell r="AQ338">
            <v>5.9376211860632901</v>
          </cell>
          <cell r="AR338">
            <v>5.8584003070488624</v>
          </cell>
          <cell r="AS338">
            <v>6.2034191789278728</v>
          </cell>
          <cell r="AT338">
            <v>5.6873395019981556</v>
          </cell>
          <cell r="AU338">
            <v>5.8244781632653053</v>
          </cell>
          <cell r="AV338">
            <v>5.8021000000000003</v>
          </cell>
          <cell r="AW338">
            <v>5.7618303797468347</v>
          </cell>
          <cell r="AX338">
            <v>5.8795000000000002</v>
          </cell>
          <cell r="AZ338">
            <v>242</v>
          </cell>
          <cell r="BA338">
            <v>242</v>
          </cell>
          <cell r="BC338">
            <v>2035</v>
          </cell>
        </row>
        <row r="339">
          <cell r="D339">
            <v>49491</v>
          </cell>
          <cell r="E339">
            <v>62.860959999999999</v>
          </cell>
          <cell r="F339">
            <v>64.256259999999997</v>
          </cell>
          <cell r="G339">
            <v>58.209580000000003</v>
          </cell>
          <cell r="H339">
            <v>63.819879999999998</v>
          </cell>
          <cell r="J339">
            <v>69.256259999999997</v>
          </cell>
          <cell r="K339">
            <v>69.756259999999997</v>
          </cell>
          <cell r="L339">
            <v>68.506259999999997</v>
          </cell>
          <cell r="M339">
            <v>51.599989999999998</v>
          </cell>
          <cell r="N339">
            <v>54.555419999999998</v>
          </cell>
          <cell r="O339">
            <v>47.368029999999997</v>
          </cell>
          <cell r="P339">
            <v>52.507330000000003</v>
          </cell>
          <cell r="R339">
            <v>55.555419999999998</v>
          </cell>
          <cell r="S339">
            <v>55.555419999999998</v>
          </cell>
          <cell r="T339">
            <v>57.055419999999998</v>
          </cell>
          <cell r="U339">
            <v>57.654274946236562</v>
          </cell>
          <cell r="V339">
            <v>59.770925376344081</v>
          </cell>
          <cell r="W339">
            <v>53.196820322580649</v>
          </cell>
          <cell r="Z339">
            <v>62.921463010752689</v>
          </cell>
          <cell r="AC339">
            <v>5.8672000000000004</v>
          </cell>
          <cell r="AD339">
            <v>5.7549999999999999</v>
          </cell>
          <cell r="AE339">
            <v>5.8832000000000004</v>
          </cell>
          <cell r="AF339">
            <v>5.8672000000000004</v>
          </cell>
          <cell r="AG339">
            <v>6.0274999999999999</v>
          </cell>
          <cell r="AH339">
            <v>5.3060999999999998</v>
          </cell>
          <cell r="AI339">
            <v>6.1558000000000002</v>
          </cell>
          <cell r="AJ339">
            <v>6.0054999999999996</v>
          </cell>
          <cell r="AK339">
            <v>6.1355000000000004</v>
          </cell>
          <cell r="AL339">
            <v>5.9577999999999998</v>
          </cell>
          <cell r="AM339">
            <v>6.1855000000000002</v>
          </cell>
          <cell r="AN339">
            <v>5.9722999999999997</v>
          </cell>
          <cell r="AO339">
            <v>5.8525274614103049</v>
          </cell>
          <cell r="AP339">
            <v>5.9501579322656335</v>
          </cell>
          <cell r="AQ339">
            <v>6.0368401236708849</v>
          </cell>
          <cell r="AR339">
            <v>5.9891766000204028</v>
          </cell>
          <cell r="AS339">
            <v>6.2858350653359398</v>
          </cell>
          <cell r="AT339">
            <v>5.839199323701199</v>
          </cell>
          <cell r="AU339">
            <v>5.9552944897959179</v>
          </cell>
          <cell r="AV339">
            <v>5.8982000000000001</v>
          </cell>
          <cell r="AW339">
            <v>5.8592481012658215</v>
          </cell>
          <cell r="AX339">
            <v>5.9781000000000004</v>
          </cell>
          <cell r="AZ339">
            <v>243</v>
          </cell>
          <cell r="BA339">
            <v>243</v>
          </cell>
          <cell r="BC339">
            <v>2035</v>
          </cell>
        </row>
        <row r="340">
          <cell r="D340">
            <v>49522</v>
          </cell>
          <cell r="E340">
            <v>70.202619999999996</v>
          </cell>
          <cell r="F340">
            <v>68.685230000000004</v>
          </cell>
          <cell r="G340">
            <v>66.207859999999997</v>
          </cell>
          <cell r="H340">
            <v>68.270759999999996</v>
          </cell>
          <cell r="J340">
            <v>73.185230000000004</v>
          </cell>
          <cell r="K340">
            <v>74.185230000000004</v>
          </cell>
          <cell r="L340">
            <v>72.435230000000004</v>
          </cell>
          <cell r="M340">
            <v>54.992759999999997</v>
          </cell>
          <cell r="N340">
            <v>56.129199999999997</v>
          </cell>
          <cell r="O340">
            <v>51.116300000000003</v>
          </cell>
          <cell r="P340">
            <v>55.9133</v>
          </cell>
          <cell r="R340">
            <v>57.129199999999997</v>
          </cell>
          <cell r="S340">
            <v>57.129199999999997</v>
          </cell>
          <cell r="T340">
            <v>58.629199999999997</v>
          </cell>
          <cell r="U340">
            <v>63.824291612903224</v>
          </cell>
          <cell r="V340">
            <v>63.419798064516129</v>
          </cell>
          <cell r="W340">
            <v>59.879141290322579</v>
          </cell>
          <cell r="Z340">
            <v>66.452056129032258</v>
          </cell>
          <cell r="AC340">
            <v>5.9954999999999998</v>
          </cell>
          <cell r="AD340">
            <v>5.9313000000000002</v>
          </cell>
          <cell r="AE340">
            <v>5.9474</v>
          </cell>
          <cell r="AF340">
            <v>5.8672000000000004</v>
          </cell>
          <cell r="AG340">
            <v>6.0755999999999997</v>
          </cell>
          <cell r="AH340">
            <v>5.4824999999999999</v>
          </cell>
          <cell r="AI340">
            <v>6.2679999999999998</v>
          </cell>
          <cell r="AJ340">
            <v>6.1349</v>
          </cell>
          <cell r="AK340">
            <v>6.2651000000000003</v>
          </cell>
          <cell r="AL340">
            <v>6.0865999999999998</v>
          </cell>
          <cell r="AM340">
            <v>6.3151000000000002</v>
          </cell>
          <cell r="AN340">
            <v>6.1013999999999999</v>
          </cell>
          <cell r="AO340">
            <v>5.9812935948132235</v>
          </cell>
          <cell r="AP340">
            <v>6.0810362348260734</v>
          </cell>
          <cell r="AQ340">
            <v>6.1609282905696201</v>
          </cell>
          <cell r="AR340">
            <v>6.1200549025808426</v>
          </cell>
          <cell r="AS340">
            <v>6.2858350653359398</v>
          </cell>
          <cell r="AT340">
            <v>5.9706677118557234</v>
          </cell>
          <cell r="AU340">
            <v>6.0862128571428569</v>
          </cell>
          <cell r="AV340">
            <v>5.9623999999999997</v>
          </cell>
          <cell r="AW340">
            <v>6.0377797468354419</v>
          </cell>
          <cell r="AX340">
            <v>6.1566000000000001</v>
          </cell>
          <cell r="AZ340">
            <v>244</v>
          </cell>
          <cell r="BA340">
            <v>244</v>
          </cell>
          <cell r="BC340">
            <v>2035</v>
          </cell>
        </row>
        <row r="341">
          <cell r="D341">
            <v>49553</v>
          </cell>
          <cell r="E341">
            <v>65.125910000000005</v>
          </cell>
          <cell r="F341">
            <v>63.046729999999997</v>
          </cell>
          <cell r="G341">
            <v>65.022589999999994</v>
          </cell>
          <cell r="H341">
            <v>66.608189999999993</v>
          </cell>
          <cell r="J341">
            <v>66.046729999999997</v>
          </cell>
          <cell r="K341">
            <v>67.046729999999997</v>
          </cell>
          <cell r="L341">
            <v>66.046729999999997</v>
          </cell>
          <cell r="M341">
            <v>53.871740000000003</v>
          </cell>
          <cell r="N341">
            <v>54.241500000000002</v>
          </cell>
          <cell r="O341">
            <v>54.226990000000001</v>
          </cell>
          <cell r="P341">
            <v>53.95449</v>
          </cell>
          <cell r="R341">
            <v>52.741500000000002</v>
          </cell>
          <cell r="S341">
            <v>52.741500000000002</v>
          </cell>
          <cell r="T341">
            <v>56.491500000000002</v>
          </cell>
          <cell r="U341">
            <v>59.873964000000008</v>
          </cell>
          <cell r="V341">
            <v>58.937622666666662</v>
          </cell>
          <cell r="W341">
            <v>59.984643333333324</v>
          </cell>
          <cell r="Z341">
            <v>59.837622666666668</v>
          </cell>
          <cell r="AC341">
            <v>5.9153000000000002</v>
          </cell>
          <cell r="AD341">
            <v>5.8512000000000004</v>
          </cell>
          <cell r="AE341">
            <v>5.8190999999999997</v>
          </cell>
          <cell r="AF341">
            <v>5.7229000000000001</v>
          </cell>
          <cell r="AG341">
            <v>5.8832000000000004</v>
          </cell>
          <cell r="AH341">
            <v>5.4984999999999999</v>
          </cell>
          <cell r="AI341">
            <v>6.1237000000000004</v>
          </cell>
          <cell r="AJ341">
            <v>6.0548999999999999</v>
          </cell>
          <cell r="AK341">
            <v>6.1851000000000003</v>
          </cell>
          <cell r="AL341">
            <v>6.0065</v>
          </cell>
          <cell r="AM341">
            <v>6.2351000000000001</v>
          </cell>
          <cell r="AN341">
            <v>6.0213000000000001</v>
          </cell>
          <cell r="AO341">
            <v>5.9008022160219991</v>
          </cell>
          <cell r="AP341">
            <v>5.9992245445271859</v>
          </cell>
          <cell r="AQ341">
            <v>6.0534024112278466</v>
          </cell>
          <cell r="AR341">
            <v>6.0382432122819552</v>
          </cell>
          <cell r="AS341">
            <v>6.1373630003086737</v>
          </cell>
          <cell r="AT341">
            <v>5.8833636848037711</v>
          </cell>
          <cell r="AU341">
            <v>6.0043761224489796</v>
          </cell>
          <cell r="AV341">
            <v>5.8341000000000003</v>
          </cell>
          <cell r="AW341">
            <v>5.9566658227848093</v>
          </cell>
          <cell r="AX341">
            <v>6.0766999999999998</v>
          </cell>
          <cell r="AZ341">
            <v>245</v>
          </cell>
          <cell r="BA341">
            <v>245</v>
          </cell>
          <cell r="BC341">
            <v>2035</v>
          </cell>
        </row>
        <row r="342">
          <cell r="D342">
            <v>49583</v>
          </cell>
          <cell r="E342">
            <v>58.452719999999999</v>
          </cell>
          <cell r="F342">
            <v>60.027700000000003</v>
          </cell>
          <cell r="G342">
            <v>57.036540000000002</v>
          </cell>
          <cell r="H342">
            <v>58.823740000000001</v>
          </cell>
          <cell r="J342">
            <v>59.527700000000003</v>
          </cell>
          <cell r="K342">
            <v>60.027700000000003</v>
          </cell>
          <cell r="L342">
            <v>62.027700000000003</v>
          </cell>
          <cell r="M342">
            <v>48.262479999999996</v>
          </cell>
          <cell r="N342">
            <v>53.441789999999997</v>
          </cell>
          <cell r="O342">
            <v>48.743040000000001</v>
          </cell>
          <cell r="P342">
            <v>52.14714</v>
          </cell>
          <cell r="R342">
            <v>52.441789999999997</v>
          </cell>
          <cell r="S342">
            <v>51.941789999999997</v>
          </cell>
          <cell r="T342">
            <v>55.191789999999997</v>
          </cell>
          <cell r="U342">
            <v>54.179393548387097</v>
          </cell>
          <cell r="V342">
            <v>57.265866774193547</v>
          </cell>
          <cell r="W342">
            <v>53.558620645161291</v>
          </cell>
          <cell r="Z342">
            <v>56.556189354838708</v>
          </cell>
          <cell r="AC342">
            <v>5.9313000000000002</v>
          </cell>
          <cell r="AD342">
            <v>5.9313000000000002</v>
          </cell>
          <cell r="AE342">
            <v>5.8993000000000002</v>
          </cell>
          <cell r="AF342">
            <v>5.7389999999999999</v>
          </cell>
          <cell r="AG342">
            <v>5.9153000000000002</v>
          </cell>
          <cell r="AH342">
            <v>5.4984999999999999</v>
          </cell>
          <cell r="AI342">
            <v>6.1558000000000002</v>
          </cell>
          <cell r="AJ342">
            <v>6.0723000000000003</v>
          </cell>
          <cell r="AK342">
            <v>6.2024999999999997</v>
          </cell>
          <cell r="AL342">
            <v>6.0231000000000003</v>
          </cell>
          <cell r="AM342">
            <v>6.2525000000000004</v>
          </cell>
          <cell r="AN342">
            <v>6.0382999999999996</v>
          </cell>
          <cell r="AO342">
            <v>5.9168603464541638</v>
          </cell>
          <cell r="AP342">
            <v>6.0155460787514023</v>
          </cell>
          <cell r="AQ342">
            <v>6.1361106571898727</v>
          </cell>
          <cell r="AR342">
            <v>6.0545647465061725</v>
          </cell>
          <cell r="AS342">
            <v>6.153928490585451</v>
          </cell>
          <cell r="AT342">
            <v>5.9023205451378224</v>
          </cell>
          <cell r="AU342">
            <v>6.0207026530612247</v>
          </cell>
          <cell r="AV342">
            <v>5.9142999999999999</v>
          </cell>
          <cell r="AW342">
            <v>6.0377797468354419</v>
          </cell>
          <cell r="AX342">
            <v>6.1593999999999998</v>
          </cell>
          <cell r="AZ342">
            <v>246</v>
          </cell>
          <cell r="BA342">
            <v>246</v>
          </cell>
          <cell r="BC342">
            <v>2035</v>
          </cell>
        </row>
        <row r="343">
          <cell r="D343">
            <v>49614</v>
          </cell>
          <cell r="E343">
            <v>61.445149999999998</v>
          </cell>
          <cell r="F343">
            <v>61.816690000000001</v>
          </cell>
          <cell r="G343">
            <v>58.476100000000002</v>
          </cell>
          <cell r="H343">
            <v>60.913600000000002</v>
          </cell>
          <cell r="J343">
            <v>61.316690000000001</v>
          </cell>
          <cell r="K343">
            <v>60.316690000000001</v>
          </cell>
          <cell r="L343">
            <v>63.816690000000001</v>
          </cell>
          <cell r="M343">
            <v>50.165730000000003</v>
          </cell>
          <cell r="N343">
            <v>54.510680000000001</v>
          </cell>
          <cell r="O343">
            <v>48.832850000000001</v>
          </cell>
          <cell r="P343">
            <v>49.521749999999997</v>
          </cell>
          <cell r="R343">
            <v>54.010680000000001</v>
          </cell>
          <cell r="S343">
            <v>53.010680000000001</v>
          </cell>
          <cell r="T343">
            <v>56.260680000000001</v>
          </cell>
          <cell r="U343">
            <v>56.423383259361998</v>
          </cell>
          <cell r="V343">
            <v>58.563944909847436</v>
          </cell>
          <cell r="W343">
            <v>54.182780651872399</v>
          </cell>
          <cell r="Z343">
            <v>58.063944909847436</v>
          </cell>
          <cell r="AC343">
            <v>6.0274999999999999</v>
          </cell>
          <cell r="AD343">
            <v>6.2039</v>
          </cell>
          <cell r="AE343">
            <v>6.0755999999999997</v>
          </cell>
          <cell r="AF343">
            <v>5.8832000000000004</v>
          </cell>
          <cell r="AG343">
            <v>5.9794</v>
          </cell>
          <cell r="AH343">
            <v>5.5946999999999996</v>
          </cell>
          <cell r="AI343">
            <v>6.2839999999999998</v>
          </cell>
          <cell r="AJ343">
            <v>6.1749000000000001</v>
          </cell>
          <cell r="AK343">
            <v>6.3056000000000001</v>
          </cell>
          <cell r="AL343">
            <v>6.1219999999999999</v>
          </cell>
          <cell r="AM343">
            <v>6.3555999999999999</v>
          </cell>
          <cell r="AN343">
            <v>6.1390000000000002</v>
          </cell>
          <cell r="AO343">
            <v>6.0134098556775522</v>
          </cell>
          <cell r="AP343">
            <v>6.1136793032745071</v>
          </cell>
          <cell r="AQ343">
            <v>6.3677247034303779</v>
          </cell>
          <cell r="AR343">
            <v>6.1526979710292773</v>
          </cell>
          <cell r="AS343">
            <v>6.3022976643687629</v>
          </cell>
          <cell r="AT343">
            <v>6.0777483553642799</v>
          </cell>
          <cell r="AU343">
            <v>6.1188659183673462</v>
          </cell>
          <cell r="AV343">
            <v>6.0906000000000002</v>
          </cell>
          <cell r="AW343">
            <v>6.3138303797468343</v>
          </cell>
          <cell r="AX343">
            <v>6.4709000000000003</v>
          </cell>
          <cell r="AZ343">
            <v>247</v>
          </cell>
          <cell r="BA343">
            <v>247</v>
          </cell>
          <cell r="BC343">
            <v>2035</v>
          </cell>
        </row>
        <row r="344">
          <cell r="D344">
            <v>49644</v>
          </cell>
          <cell r="E344">
            <v>65.158230000000003</v>
          </cell>
          <cell r="F344">
            <v>63.560720000000003</v>
          </cell>
          <cell r="G344">
            <v>65.319760000000002</v>
          </cell>
          <cell r="H344">
            <v>68.047560000000004</v>
          </cell>
          <cell r="J344">
            <v>63.060720000000003</v>
          </cell>
          <cell r="K344">
            <v>62.810720000000003</v>
          </cell>
          <cell r="L344">
            <v>65.560720000000003</v>
          </cell>
          <cell r="M344">
            <v>55.028939999999999</v>
          </cell>
          <cell r="N344">
            <v>57.418990000000001</v>
          </cell>
          <cell r="O344">
            <v>54.376449999999998</v>
          </cell>
          <cell r="P344">
            <v>57.190950000000001</v>
          </cell>
          <cell r="R344">
            <v>56.918990000000001</v>
          </cell>
          <cell r="S344">
            <v>56.418990000000001</v>
          </cell>
          <cell r="T344">
            <v>59.168990000000001</v>
          </cell>
          <cell r="U344">
            <v>60.474794838709677</v>
          </cell>
          <cell r="V344">
            <v>60.720995376344092</v>
          </cell>
          <cell r="W344">
            <v>60.259949999999996</v>
          </cell>
          <cell r="Z344">
            <v>60.220995376344092</v>
          </cell>
          <cell r="AC344">
            <v>6.3</v>
          </cell>
          <cell r="AD344">
            <v>6.5084</v>
          </cell>
          <cell r="AE344">
            <v>6.3802000000000003</v>
          </cell>
          <cell r="AF344">
            <v>6.2519</v>
          </cell>
          <cell r="AG344">
            <v>6.3</v>
          </cell>
          <cell r="AH344">
            <v>5.8512000000000004</v>
          </cell>
          <cell r="AI344">
            <v>6.5404999999999998</v>
          </cell>
          <cell r="AJ344">
            <v>6.4527999999999999</v>
          </cell>
          <cell r="AK344">
            <v>6.5838000000000001</v>
          </cell>
          <cell r="AL344">
            <v>6.3967999999999998</v>
          </cell>
          <cell r="AM344">
            <v>6.6337999999999999</v>
          </cell>
          <cell r="AN344">
            <v>6.4151999999999996</v>
          </cell>
          <cell r="AO344">
            <v>6.2868998896003525</v>
          </cell>
          <cell r="AP344">
            <v>6.3916554330307047</v>
          </cell>
          <cell r="AQ344">
            <v>6.6819953997215187</v>
          </cell>
          <cell r="AR344">
            <v>6.430674100785474</v>
          </cell>
          <cell r="AS344">
            <v>6.6816576808313615</v>
          </cell>
          <cell r="AT344">
            <v>6.3390456194282203</v>
          </cell>
          <cell r="AU344">
            <v>6.3969271428571419</v>
          </cell>
          <cell r="AV344">
            <v>6.3952</v>
          </cell>
          <cell r="AW344">
            <v>6.6221848101265808</v>
          </cell>
          <cell r="AX344">
            <v>6.7854999999999999</v>
          </cell>
          <cell r="AZ344">
            <v>248</v>
          </cell>
          <cell r="BA344">
            <v>248</v>
          </cell>
          <cell r="BC344">
            <v>2035</v>
          </cell>
        </row>
        <row r="345">
          <cell r="D345">
            <v>49675</v>
          </cell>
          <cell r="E345">
            <v>65.299620000000004</v>
          </cell>
          <cell r="F345">
            <v>65.646709999999999</v>
          </cell>
          <cell r="G345">
            <v>63.802750000000003</v>
          </cell>
          <cell r="H345">
            <v>67.611249999999998</v>
          </cell>
          <cell r="J345">
            <v>65.146709999999999</v>
          </cell>
          <cell r="K345">
            <v>65.146709999999999</v>
          </cell>
          <cell r="L345">
            <v>67.896709999999999</v>
          </cell>
          <cell r="M345">
            <v>55.675240000000002</v>
          </cell>
          <cell r="N345">
            <v>59.173630000000003</v>
          </cell>
          <cell r="O345">
            <v>53.375309999999999</v>
          </cell>
          <cell r="P345">
            <v>56.619810000000001</v>
          </cell>
          <cell r="R345">
            <v>58.673630000000003</v>
          </cell>
          <cell r="S345">
            <v>58.673630000000003</v>
          </cell>
          <cell r="T345">
            <v>61.423630000000003</v>
          </cell>
          <cell r="U345">
            <v>61.056613763440865</v>
          </cell>
          <cell r="V345">
            <v>62.792986559139784</v>
          </cell>
          <cell r="W345">
            <v>59.205706559139784</v>
          </cell>
          <cell r="Z345">
            <v>62.292986559139777</v>
          </cell>
          <cell r="AC345">
            <v>6.5533000000000001</v>
          </cell>
          <cell r="AD345">
            <v>6.7991000000000001</v>
          </cell>
          <cell r="AE345">
            <v>6.6680000000000001</v>
          </cell>
          <cell r="AF345">
            <v>6.4386000000000001</v>
          </cell>
          <cell r="AG345">
            <v>6.4550000000000001</v>
          </cell>
          <cell r="AH345">
            <v>5.8487999999999998</v>
          </cell>
          <cell r="AI345">
            <v>6.7991000000000001</v>
          </cell>
          <cell r="AJ345">
            <v>6.7104999999999997</v>
          </cell>
          <cell r="AK345">
            <v>6.8417000000000003</v>
          </cell>
          <cell r="AL345">
            <v>6.6519000000000004</v>
          </cell>
          <cell r="AM345">
            <v>6.8917000000000002</v>
          </cell>
          <cell r="AN345">
            <v>6.6715</v>
          </cell>
          <cell r="AO345">
            <v>6.5411201670045562</v>
          </cell>
          <cell r="AP345">
            <v>6.6500457217178415</v>
          </cell>
          <cell r="AQ345">
            <v>6.9804777471265815</v>
          </cell>
          <cell r="AR345">
            <v>6.6890643894726107</v>
          </cell>
          <cell r="AS345">
            <v>6.8737556332956062</v>
          </cell>
          <cell r="AT345">
            <v>6.6728913003381498</v>
          </cell>
          <cell r="AU345">
            <v>6.6553965306122445</v>
          </cell>
          <cell r="AV345">
            <v>6.6829999999999998</v>
          </cell>
          <cell r="AW345">
            <v>6.9165645569620242</v>
          </cell>
          <cell r="AX345">
            <v>7.0842999999999998</v>
          </cell>
          <cell r="AZ345">
            <v>249</v>
          </cell>
          <cell r="BA345">
            <v>249</v>
          </cell>
          <cell r="BC345">
            <v>2036</v>
          </cell>
        </row>
        <row r="346">
          <cell r="D346">
            <v>49706</v>
          </cell>
          <cell r="E346">
            <v>65.826790000000003</v>
          </cell>
          <cell r="F346">
            <v>64.834370000000007</v>
          </cell>
          <cell r="G346">
            <v>68.251289999999997</v>
          </cell>
          <cell r="H346">
            <v>72.209289999999996</v>
          </cell>
          <cell r="J346">
            <v>64.834370000000007</v>
          </cell>
          <cell r="K346">
            <v>63.83437</v>
          </cell>
          <cell r="L346">
            <v>67.084370000000007</v>
          </cell>
          <cell r="M346">
            <v>53.64555</v>
          </cell>
          <cell r="N346">
            <v>59.532620000000001</v>
          </cell>
          <cell r="O346">
            <v>56.08202</v>
          </cell>
          <cell r="P346">
            <v>58.968220000000002</v>
          </cell>
          <cell r="R346">
            <v>59.032620000000001</v>
          </cell>
          <cell r="S346">
            <v>58.282620000000001</v>
          </cell>
          <cell r="T346">
            <v>61.532620000000001</v>
          </cell>
          <cell r="U346">
            <v>60.646262643678163</v>
          </cell>
          <cell r="V346">
            <v>62.579602758620688</v>
          </cell>
          <cell r="W346">
            <v>63.075853333333335</v>
          </cell>
          <cell r="Z346">
            <v>62.366959080459779</v>
          </cell>
          <cell r="AC346">
            <v>6.5206</v>
          </cell>
          <cell r="AD346">
            <v>6.6680000000000001</v>
          </cell>
          <cell r="AE346">
            <v>6.5533000000000001</v>
          </cell>
          <cell r="AF346">
            <v>6.4386000000000001</v>
          </cell>
          <cell r="AG346">
            <v>6.5206</v>
          </cell>
          <cell r="AH346">
            <v>6.1600999999999999</v>
          </cell>
          <cell r="AI346">
            <v>6.7335000000000003</v>
          </cell>
          <cell r="AJ346">
            <v>6.6771000000000003</v>
          </cell>
          <cell r="AK346">
            <v>6.8083999999999998</v>
          </cell>
          <cell r="AL346">
            <v>6.6189</v>
          </cell>
          <cell r="AM346">
            <v>6.8583999999999996</v>
          </cell>
          <cell r="AN346">
            <v>6.6383999999999999</v>
          </cell>
          <cell r="AO346">
            <v>6.5083013629338202</v>
          </cell>
          <cell r="AP346">
            <v>6.6166885861470979</v>
          </cell>
          <cell r="AQ346">
            <v>6.8536549969240497</v>
          </cell>
          <cell r="AR346">
            <v>6.6557072539018671</v>
          </cell>
          <cell r="AS346">
            <v>6.8737556332956062</v>
          </cell>
          <cell r="AT346">
            <v>6.6547541961266523</v>
          </cell>
          <cell r="AU346">
            <v>6.6220291836734688</v>
          </cell>
          <cell r="AV346">
            <v>6.5682999999999998</v>
          </cell>
          <cell r="AW346">
            <v>6.7838050632911377</v>
          </cell>
          <cell r="AX346">
            <v>6.9523000000000001</v>
          </cell>
          <cell r="AZ346">
            <v>250</v>
          </cell>
          <cell r="BA346">
            <v>250</v>
          </cell>
          <cell r="BC346">
            <v>2036</v>
          </cell>
        </row>
        <row r="347">
          <cell r="D347">
            <v>49735</v>
          </cell>
          <cell r="E347">
            <v>57.700040000000001</v>
          </cell>
          <cell r="F347">
            <v>61.406799999999997</v>
          </cell>
          <cell r="G347">
            <v>57.55265</v>
          </cell>
          <cell r="H347">
            <v>61.351149999999997</v>
          </cell>
          <cell r="J347">
            <v>61.406799999999997</v>
          </cell>
          <cell r="K347">
            <v>60.406799999999997</v>
          </cell>
          <cell r="L347">
            <v>63.656799999999997</v>
          </cell>
          <cell r="M347">
            <v>53.099200000000003</v>
          </cell>
          <cell r="N347">
            <v>57.692700000000002</v>
          </cell>
          <cell r="O347">
            <v>51.099989999999998</v>
          </cell>
          <cell r="P347">
            <v>54.295490000000001</v>
          </cell>
          <cell r="R347">
            <v>57.192700000000002</v>
          </cell>
          <cell r="S347">
            <v>56.192700000000002</v>
          </cell>
          <cell r="T347">
            <v>59.692700000000002</v>
          </cell>
          <cell r="U347">
            <v>55.675175020188433</v>
          </cell>
          <cell r="V347">
            <v>59.772196096904437</v>
          </cell>
          <cell r="W347">
            <v>54.712784831763123</v>
          </cell>
          <cell r="Z347">
            <v>59.552142261103633</v>
          </cell>
          <cell r="AC347">
            <v>6.3403</v>
          </cell>
          <cell r="AD347">
            <v>6.4058999999999999</v>
          </cell>
          <cell r="AE347">
            <v>6.3075999999999999</v>
          </cell>
          <cell r="AF347">
            <v>6.1600999999999999</v>
          </cell>
          <cell r="AG347">
            <v>6.3075999999999999</v>
          </cell>
          <cell r="AH347">
            <v>6.0290999999999997</v>
          </cell>
          <cell r="AI347">
            <v>6.5206</v>
          </cell>
          <cell r="AJ347">
            <v>6.4947999999999997</v>
          </cell>
          <cell r="AK347">
            <v>6.6258999999999997</v>
          </cell>
          <cell r="AL347">
            <v>6.4378000000000002</v>
          </cell>
          <cell r="AM347">
            <v>6.6759000000000004</v>
          </cell>
          <cell r="AN347">
            <v>6.4566999999999997</v>
          </cell>
          <cell r="AO347">
            <v>6.3273463056263672</v>
          </cell>
          <cell r="AP347">
            <v>6.4327652973579514</v>
          </cell>
          <cell r="AQ347">
            <v>6.5916509588734167</v>
          </cell>
          <cell r="AR347">
            <v>6.4717839651127207</v>
          </cell>
          <cell r="AS347">
            <v>6.5872035188805427</v>
          </cell>
          <cell r="AT347">
            <v>6.2676243672507432</v>
          </cell>
          <cell r="AU347">
            <v>6.4380495918367346</v>
          </cell>
          <cell r="AV347">
            <v>6.3226000000000004</v>
          </cell>
          <cell r="AW347">
            <v>6.5183873417721507</v>
          </cell>
          <cell r="AX347">
            <v>6.6862000000000004</v>
          </cell>
          <cell r="AZ347">
            <v>251</v>
          </cell>
          <cell r="BA347">
            <v>251</v>
          </cell>
          <cell r="BC347">
            <v>2036</v>
          </cell>
        </row>
        <row r="348">
          <cell r="D348">
            <v>49766</v>
          </cell>
          <cell r="E348">
            <v>56.478639999999999</v>
          </cell>
          <cell r="F348">
            <v>58.572420000000001</v>
          </cell>
          <cell r="G348">
            <v>55.023650000000004</v>
          </cell>
          <cell r="H348">
            <v>56.52225</v>
          </cell>
          <cell r="J348">
            <v>57.072420000000001</v>
          </cell>
          <cell r="K348">
            <v>57.072420000000001</v>
          </cell>
          <cell r="L348">
            <v>60.572420000000001</v>
          </cell>
          <cell r="M348">
            <v>50.703659999999999</v>
          </cell>
          <cell r="N348">
            <v>55.374189999999999</v>
          </cell>
          <cell r="O348">
            <v>48.586280000000002</v>
          </cell>
          <cell r="P348">
            <v>55.261879999999998</v>
          </cell>
          <cell r="R348">
            <v>54.624189999999999</v>
          </cell>
          <cell r="S348">
            <v>54.374189999999999</v>
          </cell>
          <cell r="T348">
            <v>57.374189999999999</v>
          </cell>
          <cell r="U348">
            <v>54.040315111111106</v>
          </cell>
          <cell r="V348">
            <v>57.222056222222214</v>
          </cell>
          <cell r="W348">
            <v>52.305649333333335</v>
          </cell>
          <cell r="Z348">
            <v>56.038722888888891</v>
          </cell>
          <cell r="AC348">
            <v>6.0945999999999998</v>
          </cell>
          <cell r="AD348">
            <v>6.0290999999999997</v>
          </cell>
          <cell r="AE348">
            <v>6.0453999999999999</v>
          </cell>
          <cell r="AF348">
            <v>5.9143999999999997</v>
          </cell>
          <cell r="AG348">
            <v>6.1109999999999998</v>
          </cell>
          <cell r="AH348">
            <v>5.6849999999999996</v>
          </cell>
          <cell r="AI348">
            <v>6.2911999999999999</v>
          </cell>
          <cell r="AJ348">
            <v>6.2370000000000001</v>
          </cell>
          <cell r="AK348">
            <v>6.3673000000000002</v>
          </cell>
          <cell r="AL348">
            <v>6.1868999999999996</v>
          </cell>
          <cell r="AM348">
            <v>6.4173</v>
          </cell>
          <cell r="AN348">
            <v>6.2024999999999997</v>
          </cell>
          <cell r="AO348">
            <v>6.0807536401774414</v>
          </cell>
          <cell r="AP348">
            <v>6.1821277374273178</v>
          </cell>
          <cell r="AQ348">
            <v>6.2619530850759482</v>
          </cell>
          <cell r="AR348">
            <v>6.2211464051820871</v>
          </cell>
          <cell r="AS348">
            <v>6.3343997324827654</v>
          </cell>
          <cell r="AT348">
            <v>5.9133872527922948</v>
          </cell>
          <cell r="AU348">
            <v>6.1873353061224483</v>
          </cell>
          <cell r="AV348">
            <v>6.0603999999999996</v>
          </cell>
          <cell r="AW348">
            <v>6.1368177215189856</v>
          </cell>
          <cell r="AX348">
            <v>6.2548000000000004</v>
          </cell>
          <cell r="AZ348">
            <v>252</v>
          </cell>
          <cell r="BA348">
            <v>252</v>
          </cell>
          <cell r="BC348">
            <v>2036</v>
          </cell>
        </row>
        <row r="349">
          <cell r="D349">
            <v>49796</v>
          </cell>
          <cell r="E349">
            <v>52.605080000000001</v>
          </cell>
          <cell r="F349">
            <v>55.448590000000003</v>
          </cell>
          <cell r="G349">
            <v>48.185310000000001</v>
          </cell>
          <cell r="H349">
            <v>53.41901</v>
          </cell>
          <cell r="J349">
            <v>55.448590000000003</v>
          </cell>
          <cell r="K349">
            <v>55.448590000000003</v>
          </cell>
          <cell r="L349">
            <v>57.448590000000003</v>
          </cell>
          <cell r="M349">
            <v>43.352699999999999</v>
          </cell>
          <cell r="N349">
            <v>51.93253</v>
          </cell>
          <cell r="O349">
            <v>39.284520000000001</v>
          </cell>
          <cell r="P349">
            <v>43.930419999999998</v>
          </cell>
          <cell r="R349">
            <v>51.93253</v>
          </cell>
          <cell r="S349">
            <v>51.43253</v>
          </cell>
          <cell r="T349">
            <v>53.68253</v>
          </cell>
          <cell r="U349">
            <v>48.526073763440863</v>
          </cell>
          <cell r="V349">
            <v>53.898499032258066</v>
          </cell>
          <cell r="W349">
            <v>44.261305806451617</v>
          </cell>
          <cell r="Z349">
            <v>53.898499032258066</v>
          </cell>
          <cell r="AC349">
            <v>6.0617999999999999</v>
          </cell>
          <cell r="AD349">
            <v>5.9798999999999998</v>
          </cell>
          <cell r="AE349">
            <v>6.0290999999999997</v>
          </cell>
          <cell r="AF349">
            <v>5.9634999999999998</v>
          </cell>
          <cell r="AG349">
            <v>6.1273999999999997</v>
          </cell>
          <cell r="AH349">
            <v>5.6521999999999997</v>
          </cell>
          <cell r="AI349">
            <v>6.2911999999999999</v>
          </cell>
          <cell r="AJ349">
            <v>6.1978</v>
          </cell>
          <cell r="AK349">
            <v>6.3277000000000001</v>
          </cell>
          <cell r="AL349">
            <v>6.1515000000000004</v>
          </cell>
          <cell r="AM349">
            <v>6.3776999999999999</v>
          </cell>
          <cell r="AN349">
            <v>6.1653000000000002</v>
          </cell>
          <cell r="AO349">
            <v>6.0478344727915045</v>
          </cell>
          <cell r="AP349">
            <v>6.1486685922676729</v>
          </cell>
          <cell r="AQ349">
            <v>6.2281577631139227</v>
          </cell>
          <cell r="AR349">
            <v>6.1876872600224422</v>
          </cell>
          <cell r="AS349">
            <v>6.3849193332647385</v>
          </cell>
          <cell r="AT349">
            <v>6.030919786863409</v>
          </cell>
          <cell r="AU349">
            <v>6.1538659183673463</v>
          </cell>
          <cell r="AV349">
            <v>6.0441000000000003</v>
          </cell>
          <cell r="AW349">
            <v>6.0869949367088596</v>
          </cell>
          <cell r="AX349">
            <v>6.1986999999999997</v>
          </cell>
          <cell r="AZ349">
            <v>253</v>
          </cell>
          <cell r="BA349">
            <v>253</v>
          </cell>
          <cell r="BC349">
            <v>2036</v>
          </cell>
        </row>
        <row r="350">
          <cell r="D350">
            <v>49827</v>
          </cell>
          <cell r="E350">
            <v>57.89631</v>
          </cell>
          <cell r="F350">
            <v>59.753630000000001</v>
          </cell>
          <cell r="G350">
            <v>53.325200000000002</v>
          </cell>
          <cell r="H350">
            <v>59.976700000000001</v>
          </cell>
          <cell r="J350">
            <v>59.003630000000001</v>
          </cell>
          <cell r="K350">
            <v>59.753630000000001</v>
          </cell>
          <cell r="L350">
            <v>62.253630000000001</v>
          </cell>
          <cell r="M350">
            <v>46.443129999999996</v>
          </cell>
          <cell r="N350">
            <v>52.651470000000003</v>
          </cell>
          <cell r="O350">
            <v>42.277709999999999</v>
          </cell>
          <cell r="P350">
            <v>49.11741</v>
          </cell>
          <cell r="R350">
            <v>52.151470000000003</v>
          </cell>
          <cell r="S350">
            <v>52.151470000000003</v>
          </cell>
          <cell r="T350">
            <v>54.901470000000003</v>
          </cell>
          <cell r="U350">
            <v>52.806007777777779</v>
          </cell>
          <cell r="V350">
            <v>56.59711444444445</v>
          </cell>
          <cell r="W350">
            <v>48.415204444444441</v>
          </cell>
          <cell r="Z350">
            <v>55.958225555555551</v>
          </cell>
          <cell r="AC350">
            <v>5.9307999999999996</v>
          </cell>
          <cell r="AD350">
            <v>5.8487999999999998</v>
          </cell>
          <cell r="AE350">
            <v>6.0126999999999997</v>
          </cell>
          <cell r="AF350">
            <v>6.0453999999999999</v>
          </cell>
          <cell r="AG350">
            <v>6.1764999999999999</v>
          </cell>
          <cell r="AH350">
            <v>5.4065000000000003</v>
          </cell>
          <cell r="AI350">
            <v>6.2584</v>
          </cell>
          <cell r="AJ350">
            <v>6.0678000000000001</v>
          </cell>
          <cell r="AK350">
            <v>6.1977000000000002</v>
          </cell>
          <cell r="AL350">
            <v>6.0208000000000004</v>
          </cell>
          <cell r="AM350">
            <v>6.2477</v>
          </cell>
          <cell r="AN350">
            <v>6.0350000000000001</v>
          </cell>
          <cell r="AO350">
            <v>5.9163585298781589</v>
          </cell>
          <cell r="AP350">
            <v>6.015036030806896</v>
          </cell>
          <cell r="AQ350">
            <v>6.1520537938101256</v>
          </cell>
          <cell r="AR350">
            <v>6.0540546985616643</v>
          </cell>
          <cell r="AS350">
            <v>6.4691872620639979</v>
          </cell>
          <cell r="AT350">
            <v>5.8838760323803667</v>
          </cell>
          <cell r="AU350">
            <v>6.0201924489795919</v>
          </cell>
          <cell r="AV350">
            <v>6.0277000000000003</v>
          </cell>
          <cell r="AW350">
            <v>5.9542354430379731</v>
          </cell>
          <cell r="AX350">
            <v>6.0694999999999997</v>
          </cell>
          <cell r="AZ350">
            <v>254</v>
          </cell>
          <cell r="BA350">
            <v>254</v>
          </cell>
          <cell r="BC350">
            <v>2036</v>
          </cell>
        </row>
        <row r="351">
          <cell r="D351">
            <v>49857</v>
          </cell>
          <cell r="E351">
            <v>65.046170000000004</v>
          </cell>
          <cell r="F351">
            <v>66.529110000000003</v>
          </cell>
          <cell r="G351">
            <v>60.12285</v>
          </cell>
          <cell r="H351">
            <v>65.733050000000006</v>
          </cell>
          <cell r="J351">
            <v>71.529110000000003</v>
          </cell>
          <cell r="K351">
            <v>72.029110000000003</v>
          </cell>
          <cell r="L351">
            <v>70.779110000000003</v>
          </cell>
          <cell r="M351">
            <v>52.655889999999999</v>
          </cell>
          <cell r="N351">
            <v>55.68336</v>
          </cell>
          <cell r="O351">
            <v>48.276040000000002</v>
          </cell>
          <cell r="P351">
            <v>53.415239999999997</v>
          </cell>
          <cell r="R351">
            <v>56.68336</v>
          </cell>
          <cell r="S351">
            <v>56.68336</v>
          </cell>
          <cell r="T351">
            <v>58.18336</v>
          </cell>
          <cell r="U351">
            <v>59.583788494623661</v>
          </cell>
          <cell r="V351">
            <v>61.747650322580647</v>
          </cell>
          <cell r="W351">
            <v>54.900062795698929</v>
          </cell>
          <cell r="Z351">
            <v>64.984209462365598</v>
          </cell>
          <cell r="AC351">
            <v>6.0290999999999997</v>
          </cell>
          <cell r="AD351">
            <v>5.9143999999999997</v>
          </cell>
          <cell r="AE351">
            <v>6.0617999999999999</v>
          </cell>
          <cell r="AF351">
            <v>6.1273999999999997</v>
          </cell>
          <cell r="AG351">
            <v>6.2747999999999999</v>
          </cell>
          <cell r="AH351">
            <v>5.4229000000000003</v>
          </cell>
          <cell r="AI351">
            <v>6.3567</v>
          </cell>
          <cell r="AJ351">
            <v>6.1673</v>
          </cell>
          <cell r="AK351">
            <v>6.2973999999999997</v>
          </cell>
          <cell r="AL351">
            <v>6.1196999999999999</v>
          </cell>
          <cell r="AM351">
            <v>6.3474000000000004</v>
          </cell>
          <cell r="AN351">
            <v>6.1341999999999999</v>
          </cell>
          <cell r="AO351">
            <v>6.0150156687207694</v>
          </cell>
          <cell r="AP351">
            <v>6.1153114566969302</v>
          </cell>
          <cell r="AQ351">
            <v>6.2112343041772142</v>
          </cell>
          <cell r="AR351">
            <v>6.1543301244516986</v>
          </cell>
          <cell r="AS351">
            <v>6.5535580821072124</v>
          </cell>
          <cell r="AT351">
            <v>6.0050974690029726</v>
          </cell>
          <cell r="AU351">
            <v>6.1204985714285716</v>
          </cell>
          <cell r="AV351">
            <v>6.0768000000000004</v>
          </cell>
          <cell r="AW351">
            <v>6.0206658227848084</v>
          </cell>
          <cell r="AX351">
            <v>6.1374000000000004</v>
          </cell>
          <cell r="AZ351">
            <v>255</v>
          </cell>
          <cell r="BA351">
            <v>255</v>
          </cell>
          <cell r="BC351">
            <v>2036</v>
          </cell>
        </row>
        <row r="352">
          <cell r="D352">
            <v>49888</v>
          </cell>
          <cell r="E352">
            <v>72.052800000000005</v>
          </cell>
          <cell r="F352">
            <v>70.693129999999996</v>
          </cell>
          <cell r="G352">
            <v>67.798439999999999</v>
          </cell>
          <cell r="H352">
            <v>69.861339999999998</v>
          </cell>
          <cell r="J352">
            <v>75.193129999999996</v>
          </cell>
          <cell r="K352">
            <v>76.193129999999996</v>
          </cell>
          <cell r="L352">
            <v>74.443129999999996</v>
          </cell>
          <cell r="M352">
            <v>57.08811</v>
          </cell>
          <cell r="N352">
            <v>58.289160000000003</v>
          </cell>
          <cell r="O352">
            <v>53.187910000000002</v>
          </cell>
          <cell r="P352">
            <v>57.984909999999999</v>
          </cell>
          <cell r="R352">
            <v>59.289160000000003</v>
          </cell>
          <cell r="S352">
            <v>59.289160000000003</v>
          </cell>
          <cell r="T352">
            <v>60.789160000000003</v>
          </cell>
          <cell r="U352">
            <v>65.455463548387087</v>
          </cell>
          <cell r="V352">
            <v>65.224713118279567</v>
          </cell>
          <cell r="W352">
            <v>61.357238602150538</v>
          </cell>
          <cell r="Z352">
            <v>68.181702365591391</v>
          </cell>
          <cell r="AC352">
            <v>6.242</v>
          </cell>
          <cell r="AD352">
            <v>6.1764999999999999</v>
          </cell>
          <cell r="AE352">
            <v>6.2092999999999998</v>
          </cell>
          <cell r="AF352">
            <v>6.1109999999999998</v>
          </cell>
          <cell r="AG352">
            <v>6.3239999999999998</v>
          </cell>
          <cell r="AH352">
            <v>5.7342000000000004</v>
          </cell>
          <cell r="AI352">
            <v>6.5206</v>
          </cell>
          <cell r="AJ352">
            <v>6.3815</v>
          </cell>
          <cell r="AK352">
            <v>6.5115999999999996</v>
          </cell>
          <cell r="AL352">
            <v>6.3331999999999997</v>
          </cell>
          <cell r="AM352">
            <v>6.5616000000000003</v>
          </cell>
          <cell r="AN352">
            <v>6.3479999999999999</v>
          </cell>
          <cell r="AO352">
            <v>6.2286891667837567</v>
          </cell>
          <cell r="AP352">
            <v>6.3324898714679181</v>
          </cell>
          <cell r="AQ352">
            <v>6.4225711572405055</v>
          </cell>
          <cell r="AR352">
            <v>6.3715085392226873</v>
          </cell>
          <cell r="AS352">
            <v>6.5366839180985696</v>
          </cell>
          <cell r="AT352">
            <v>6.2232550671175328</v>
          </cell>
          <cell r="AU352">
            <v>6.337743469387755</v>
          </cell>
          <cell r="AV352">
            <v>6.2243000000000004</v>
          </cell>
          <cell r="AW352">
            <v>6.2860835443037963</v>
          </cell>
          <cell r="AX352">
            <v>6.4017999999999997</v>
          </cell>
          <cell r="AZ352">
            <v>256</v>
          </cell>
          <cell r="BA352">
            <v>256</v>
          </cell>
          <cell r="BC352">
            <v>2036</v>
          </cell>
        </row>
        <row r="353">
          <cell r="D353">
            <v>49919</v>
          </cell>
          <cell r="E353">
            <v>68.120570000000001</v>
          </cell>
          <cell r="F353">
            <v>65.72072</v>
          </cell>
          <cell r="G353">
            <v>67.998729999999995</v>
          </cell>
          <cell r="H353">
            <v>69.584329999999994</v>
          </cell>
          <cell r="J353">
            <v>68.72072</v>
          </cell>
          <cell r="K353">
            <v>69.72072</v>
          </cell>
          <cell r="L353">
            <v>68.72072</v>
          </cell>
          <cell r="M353">
            <v>55.189900000000002</v>
          </cell>
          <cell r="N353">
            <v>55.555709999999998</v>
          </cell>
          <cell r="O353">
            <v>55.84516</v>
          </cell>
          <cell r="P353">
            <v>55.572659999999999</v>
          </cell>
          <cell r="R353">
            <v>54.055709999999998</v>
          </cell>
          <cell r="S353">
            <v>54.055709999999998</v>
          </cell>
          <cell r="T353">
            <v>57.805709999999998</v>
          </cell>
          <cell r="U353">
            <v>62.373605555555557</v>
          </cell>
          <cell r="V353">
            <v>61.202937777777777</v>
          </cell>
          <cell r="W353">
            <v>62.597143333333328</v>
          </cell>
          <cell r="Z353">
            <v>62.202937777777784</v>
          </cell>
          <cell r="AC353">
            <v>6.1273999999999997</v>
          </cell>
          <cell r="AD353">
            <v>6.0945999999999998</v>
          </cell>
          <cell r="AE353">
            <v>6.0290999999999997</v>
          </cell>
          <cell r="AF353">
            <v>5.9634999999999998</v>
          </cell>
          <cell r="AG353">
            <v>6.1273999999999997</v>
          </cell>
          <cell r="AH353">
            <v>5.7342000000000004</v>
          </cell>
          <cell r="AI353">
            <v>6.3567</v>
          </cell>
          <cell r="AJ353">
            <v>6.2670000000000003</v>
          </cell>
          <cell r="AK353">
            <v>6.3971</v>
          </cell>
          <cell r="AL353">
            <v>6.2184999999999997</v>
          </cell>
          <cell r="AM353">
            <v>6.4470999999999998</v>
          </cell>
          <cell r="AN353">
            <v>6.2333999999999996</v>
          </cell>
          <cell r="AO353">
            <v>6.1136728075633791</v>
          </cell>
          <cell r="AP353">
            <v>6.2155868825869627</v>
          </cell>
          <cell r="AQ353">
            <v>6.2873382734810122</v>
          </cell>
          <cell r="AR353">
            <v>6.2546055503417319</v>
          </cell>
          <cell r="AS353">
            <v>6.3849193332647385</v>
          </cell>
          <cell r="AT353">
            <v>6.1007015267957794</v>
          </cell>
          <cell r="AU353">
            <v>6.2208046938775503</v>
          </cell>
          <cell r="AV353">
            <v>6.0441000000000003</v>
          </cell>
          <cell r="AW353">
            <v>6.2031468354430368</v>
          </cell>
          <cell r="AX353">
            <v>6.3201999999999998</v>
          </cell>
          <cell r="AZ353">
            <v>257</v>
          </cell>
          <cell r="BA353">
            <v>257</v>
          </cell>
          <cell r="BC353">
            <v>2036</v>
          </cell>
        </row>
        <row r="354">
          <cell r="D354">
            <v>49949</v>
          </cell>
          <cell r="E354">
            <v>61.537399999999998</v>
          </cell>
          <cell r="F354">
            <v>62.993780000000001</v>
          </cell>
          <cell r="G354">
            <v>59.998370000000001</v>
          </cell>
          <cell r="H354">
            <v>61.78557</v>
          </cell>
          <cell r="J354">
            <v>62.493780000000001</v>
          </cell>
          <cell r="K354">
            <v>62.993780000000001</v>
          </cell>
          <cell r="L354">
            <v>64.993780000000001</v>
          </cell>
          <cell r="M354">
            <v>50.424480000000003</v>
          </cell>
          <cell r="N354">
            <v>55.436500000000002</v>
          </cell>
          <cell r="O354">
            <v>50.57978</v>
          </cell>
          <cell r="P354">
            <v>53.983879999999999</v>
          </cell>
          <cell r="R354">
            <v>54.436500000000002</v>
          </cell>
          <cell r="S354">
            <v>53.936500000000002</v>
          </cell>
          <cell r="T354">
            <v>57.186500000000002</v>
          </cell>
          <cell r="U354">
            <v>56.877143225806449</v>
          </cell>
          <cell r="V354">
            <v>59.824598064516131</v>
          </cell>
          <cell r="W354">
            <v>56.048638709677419</v>
          </cell>
          <cell r="Z354">
            <v>59.114920645161298</v>
          </cell>
          <cell r="AC354">
            <v>6.1436999999999999</v>
          </cell>
          <cell r="AD354">
            <v>6.1928999999999998</v>
          </cell>
          <cell r="AE354">
            <v>6.1273999999999997</v>
          </cell>
          <cell r="AF354">
            <v>5.9798999999999998</v>
          </cell>
          <cell r="AG354">
            <v>6.1436999999999999</v>
          </cell>
          <cell r="AH354">
            <v>5.7504999999999997</v>
          </cell>
          <cell r="AI354">
            <v>6.4222999999999999</v>
          </cell>
          <cell r="AJ354">
            <v>6.2847</v>
          </cell>
          <cell r="AK354">
            <v>6.4149000000000003</v>
          </cell>
          <cell r="AL354">
            <v>6.2355</v>
          </cell>
          <cell r="AM354">
            <v>6.4649000000000001</v>
          </cell>
          <cell r="AN354">
            <v>6.2507000000000001</v>
          </cell>
          <cell r="AO354">
            <v>6.1300320279411462</v>
          </cell>
          <cell r="AP354">
            <v>6.2322144455778838</v>
          </cell>
          <cell r="AQ354">
            <v>6.38877583527848</v>
          </cell>
          <cell r="AR354">
            <v>6.271233113332654</v>
          </cell>
          <cell r="AS354">
            <v>6.4017934972733821</v>
          </cell>
          <cell r="AT354">
            <v>6.1199657956757871</v>
          </cell>
          <cell r="AU354">
            <v>6.2374373469387754</v>
          </cell>
          <cell r="AV354">
            <v>6.1424000000000003</v>
          </cell>
          <cell r="AW354">
            <v>6.3026911392405047</v>
          </cell>
          <cell r="AX354">
            <v>6.4210000000000003</v>
          </cell>
          <cell r="AZ354">
            <v>258</v>
          </cell>
          <cell r="BA354">
            <v>258</v>
          </cell>
          <cell r="BC354">
            <v>2036</v>
          </cell>
        </row>
        <row r="355">
          <cell r="D355">
            <v>49980</v>
          </cell>
          <cell r="E355">
            <v>65.080619999999996</v>
          </cell>
          <cell r="F355">
            <v>64.352779999999996</v>
          </cell>
          <cell r="G355">
            <v>62.649450000000002</v>
          </cell>
          <cell r="H355">
            <v>65.086950000000002</v>
          </cell>
          <cell r="J355">
            <v>63.852780000000003</v>
          </cell>
          <cell r="K355">
            <v>62.852780000000003</v>
          </cell>
          <cell r="L355">
            <v>66.352779999999996</v>
          </cell>
          <cell r="M355">
            <v>52.554160000000003</v>
          </cell>
          <cell r="N355">
            <v>56.63935</v>
          </cell>
          <cell r="O355">
            <v>51.922559999999997</v>
          </cell>
          <cell r="P355">
            <v>52.611460000000001</v>
          </cell>
          <cell r="R355">
            <v>56.13935</v>
          </cell>
          <cell r="S355">
            <v>55.13935</v>
          </cell>
          <cell r="T355">
            <v>58.38935</v>
          </cell>
          <cell r="U355">
            <v>59.225672676837725</v>
          </cell>
          <cell r="V355">
            <v>60.747473606102631</v>
          </cell>
          <cell r="W355">
            <v>57.635633176144239</v>
          </cell>
          <cell r="Z355">
            <v>60.247473606102631</v>
          </cell>
          <cell r="AC355">
            <v>6.2584</v>
          </cell>
          <cell r="AD355">
            <v>6.4386000000000001</v>
          </cell>
          <cell r="AE355">
            <v>6.3239999999999998</v>
          </cell>
          <cell r="AF355">
            <v>6.1109999999999998</v>
          </cell>
          <cell r="AG355">
            <v>6.2092999999999998</v>
          </cell>
          <cell r="AH355">
            <v>5.8487999999999998</v>
          </cell>
          <cell r="AI355">
            <v>6.5206</v>
          </cell>
          <cell r="AJ355">
            <v>6.4058000000000002</v>
          </cell>
          <cell r="AK355">
            <v>6.5365000000000002</v>
          </cell>
          <cell r="AL355">
            <v>6.3529</v>
          </cell>
          <cell r="AM355">
            <v>6.5865</v>
          </cell>
          <cell r="AN355">
            <v>6.3699000000000003</v>
          </cell>
          <cell r="AO355">
            <v>6.2451487504767256</v>
          </cell>
          <cell r="AP355">
            <v>6.3492194440477405</v>
          </cell>
          <cell r="AQ355">
            <v>6.6169845513670884</v>
          </cell>
          <cell r="AR355">
            <v>6.3882381118025098</v>
          </cell>
          <cell r="AS355">
            <v>6.5366839180985696</v>
          </cell>
          <cell r="AT355">
            <v>6.314350466236295</v>
          </cell>
          <cell r="AU355">
            <v>6.3544781632653056</v>
          </cell>
          <cell r="AV355">
            <v>6.3390000000000004</v>
          </cell>
          <cell r="AW355">
            <v>6.5515012658227834</v>
          </cell>
          <cell r="AX355">
            <v>6.7057000000000002</v>
          </cell>
          <cell r="AZ355">
            <v>259</v>
          </cell>
          <cell r="BA355">
            <v>259</v>
          </cell>
          <cell r="BC355">
            <v>2036</v>
          </cell>
        </row>
        <row r="356">
          <cell r="D356">
            <v>50010</v>
          </cell>
          <cell r="E356">
            <v>67.646929999999998</v>
          </cell>
          <cell r="F356">
            <v>65.649230000000003</v>
          </cell>
          <cell r="G356">
            <v>67.477779999999996</v>
          </cell>
          <cell r="H356">
            <v>70.205579999999998</v>
          </cell>
          <cell r="J356">
            <v>65.149230000000003</v>
          </cell>
          <cell r="K356">
            <v>64.899230000000003</v>
          </cell>
          <cell r="L356">
            <v>67.649230000000003</v>
          </cell>
          <cell r="M356">
            <v>56.801549999999999</v>
          </cell>
          <cell r="N356">
            <v>59.19218</v>
          </cell>
          <cell r="O356">
            <v>55.387770000000003</v>
          </cell>
          <cell r="P356">
            <v>58.202269999999999</v>
          </cell>
          <cell r="R356">
            <v>58.69218</v>
          </cell>
          <cell r="S356">
            <v>58.19218</v>
          </cell>
          <cell r="T356">
            <v>60.94218</v>
          </cell>
          <cell r="U356">
            <v>62.865633440860208</v>
          </cell>
          <cell r="V356">
            <v>62.802573548387102</v>
          </cell>
          <cell r="W356">
            <v>62.147775591397846</v>
          </cell>
          <cell r="Z356">
            <v>62.302573548387095</v>
          </cell>
          <cell r="AC356">
            <v>6.5206</v>
          </cell>
          <cell r="AD356">
            <v>6.7335000000000003</v>
          </cell>
          <cell r="AE356">
            <v>6.6025</v>
          </cell>
          <cell r="AF356">
            <v>6.5206</v>
          </cell>
          <cell r="AG356">
            <v>6.5533000000000001</v>
          </cell>
          <cell r="AH356">
            <v>6.0126999999999997</v>
          </cell>
          <cell r="AI356">
            <v>6.7663000000000002</v>
          </cell>
          <cell r="AJ356">
            <v>6.6733000000000002</v>
          </cell>
          <cell r="AK356">
            <v>6.8042999999999996</v>
          </cell>
          <cell r="AL356">
            <v>6.6173000000000002</v>
          </cell>
          <cell r="AM356">
            <v>6.8543000000000003</v>
          </cell>
          <cell r="AN356">
            <v>6.6356999999999999</v>
          </cell>
          <cell r="AO356">
            <v>6.5083013629338202</v>
          </cell>
          <cell r="AP356">
            <v>6.6166885861470979</v>
          </cell>
          <cell r="AQ356">
            <v>6.9128355072911392</v>
          </cell>
          <cell r="AR356">
            <v>6.6557072539018671</v>
          </cell>
          <cell r="AS356">
            <v>6.9581264533388207</v>
          </cell>
          <cell r="AT356">
            <v>6.5650933702223595</v>
          </cell>
          <cell r="AU356">
            <v>6.6220291836734688</v>
          </cell>
          <cell r="AV356">
            <v>6.6174999999999997</v>
          </cell>
          <cell r="AW356">
            <v>6.8501341772151889</v>
          </cell>
          <cell r="AX356">
            <v>7.0106000000000002</v>
          </cell>
          <cell r="AZ356">
            <v>260</v>
          </cell>
          <cell r="BA356">
            <v>260</v>
          </cell>
          <cell r="BC356">
            <v>2036</v>
          </cell>
        </row>
        <row r="357">
          <cell r="D357">
            <v>50041</v>
          </cell>
          <cell r="E357">
            <v>67.094380000000001</v>
          </cell>
          <cell r="F357">
            <v>67.035470000000004</v>
          </cell>
          <cell r="G357">
            <v>66.388040000000004</v>
          </cell>
          <cell r="H357">
            <v>70.196539999999999</v>
          </cell>
          <cell r="J357">
            <v>66.535470000000004</v>
          </cell>
          <cell r="K357">
            <v>66.535470000000004</v>
          </cell>
          <cell r="L357">
            <v>69.285470000000004</v>
          </cell>
          <cell r="M357">
            <v>58.638809999999999</v>
          </cell>
          <cell r="N357">
            <v>61.061210000000003</v>
          </cell>
          <cell r="O357">
            <v>55.543529999999997</v>
          </cell>
          <cell r="P357">
            <v>58.788029999999999</v>
          </cell>
          <cell r="R357">
            <v>60.561210000000003</v>
          </cell>
          <cell r="S357">
            <v>60.561210000000003</v>
          </cell>
          <cell r="T357">
            <v>63.311210000000003</v>
          </cell>
          <cell r="U357">
            <v>63.366655591397851</v>
          </cell>
          <cell r="V357">
            <v>64.401656451612908</v>
          </cell>
          <cell r="W357">
            <v>61.607126989247313</v>
          </cell>
          <cell r="Z357">
            <v>63.901656451612908</v>
          </cell>
          <cell r="AC357">
            <v>6.6639999999999997</v>
          </cell>
          <cell r="AD357">
            <v>6.9653999999999998</v>
          </cell>
          <cell r="AE357">
            <v>6.8147000000000002</v>
          </cell>
          <cell r="AF357">
            <v>6.5803000000000003</v>
          </cell>
          <cell r="AG357">
            <v>6.6138000000000003</v>
          </cell>
          <cell r="AH357">
            <v>6.0110000000000001</v>
          </cell>
          <cell r="AI357">
            <v>6.9653999999999998</v>
          </cell>
          <cell r="AJ357">
            <v>6.8211000000000004</v>
          </cell>
          <cell r="AK357">
            <v>6.9523999999999999</v>
          </cell>
          <cell r="AL357">
            <v>6.7625999999999999</v>
          </cell>
          <cell r="AM357">
            <v>7.0023999999999997</v>
          </cell>
          <cell r="AN357">
            <v>6.7821999999999996</v>
          </cell>
          <cell r="AO357">
            <v>6.6522223569320937</v>
          </cell>
          <cell r="AP357">
            <v>6.7629703366316427</v>
          </cell>
          <cell r="AQ357">
            <v>7.1419729497848081</v>
          </cell>
          <cell r="AR357">
            <v>6.8019890043864129</v>
          </cell>
          <cell r="AS357">
            <v>7.0195525259800391</v>
          </cell>
          <cell r="AT357">
            <v>6.7863250537964959</v>
          </cell>
          <cell r="AU357">
            <v>6.7683557142857138</v>
          </cell>
          <cell r="AV357">
            <v>6.8296999999999999</v>
          </cell>
          <cell r="AW357">
            <v>7.0849696202531627</v>
          </cell>
          <cell r="AX357">
            <v>7.2506000000000004</v>
          </cell>
          <cell r="AZ357">
            <v>261</v>
          </cell>
          <cell r="BA357">
            <v>261</v>
          </cell>
          <cell r="BC357">
            <v>2037</v>
          </cell>
        </row>
        <row r="358">
          <cell r="D358">
            <v>50072</v>
          </cell>
          <cell r="E358">
            <v>67.506839999999997</v>
          </cell>
          <cell r="F358">
            <v>66.644660000000002</v>
          </cell>
          <cell r="G358">
            <v>70.298919999999995</v>
          </cell>
          <cell r="H358">
            <v>74.256919999999994</v>
          </cell>
          <cell r="J358">
            <v>66.644660000000002</v>
          </cell>
          <cell r="K358">
            <v>65.644660000000002</v>
          </cell>
          <cell r="L358">
            <v>68.894660000000002</v>
          </cell>
          <cell r="M358">
            <v>58.407989999999998</v>
          </cell>
          <cell r="N358">
            <v>61.767760000000003</v>
          </cell>
          <cell r="O358">
            <v>58.77702</v>
          </cell>
          <cell r="P358">
            <v>61.663220000000003</v>
          </cell>
          <cell r="R358">
            <v>61.267760000000003</v>
          </cell>
          <cell r="S358">
            <v>60.517760000000003</v>
          </cell>
          <cell r="T358">
            <v>63.767760000000003</v>
          </cell>
          <cell r="U358">
            <v>63.607332857142858</v>
          </cell>
          <cell r="V358">
            <v>64.554559999999995</v>
          </cell>
          <cell r="W358">
            <v>65.360962857142852</v>
          </cell>
          <cell r="Z358">
            <v>64.340274285714287</v>
          </cell>
          <cell r="AC358">
            <v>6.6473000000000004</v>
          </cell>
          <cell r="AD358">
            <v>6.9486999999999997</v>
          </cell>
          <cell r="AE358">
            <v>6.8147000000000002</v>
          </cell>
          <cell r="AF358">
            <v>6.5970000000000004</v>
          </cell>
          <cell r="AG358">
            <v>6.6639999999999997</v>
          </cell>
          <cell r="AH358">
            <v>6.1281999999999996</v>
          </cell>
          <cell r="AI358">
            <v>6.9151999999999996</v>
          </cell>
          <cell r="AJ358">
            <v>6.8038999999999996</v>
          </cell>
          <cell r="AK358">
            <v>6.9351000000000003</v>
          </cell>
          <cell r="AL358">
            <v>6.7455999999999996</v>
          </cell>
          <cell r="AM358">
            <v>6.9851000000000001</v>
          </cell>
          <cell r="AN358">
            <v>6.7651000000000003</v>
          </cell>
          <cell r="AO358">
            <v>6.6354616832935225</v>
          </cell>
          <cell r="AP358">
            <v>6.7459347352851173</v>
          </cell>
          <cell r="AQ358">
            <v>7.1333564325822767</v>
          </cell>
          <cell r="AR358">
            <v>6.7849534030398866</v>
          </cell>
          <cell r="AS358">
            <v>7.0367353637205481</v>
          </cell>
          <cell r="AT358">
            <v>6.78458307203607</v>
          </cell>
          <cell r="AU358">
            <v>6.7513148979591833</v>
          </cell>
          <cell r="AV358">
            <v>6.8296999999999999</v>
          </cell>
          <cell r="AW358">
            <v>7.0680582278480992</v>
          </cell>
          <cell r="AX358">
            <v>7.2328999999999999</v>
          </cell>
          <cell r="AZ358">
            <v>262</v>
          </cell>
          <cell r="BA358">
            <v>262</v>
          </cell>
          <cell r="BC358">
            <v>2037</v>
          </cell>
        </row>
        <row r="359">
          <cell r="D359">
            <v>50100</v>
          </cell>
          <cell r="E359">
            <v>59.812240000000003</v>
          </cell>
          <cell r="F359">
            <v>63.081009999999999</v>
          </cell>
          <cell r="G359">
            <v>58.499000000000002</v>
          </cell>
          <cell r="H359">
            <v>62.297499999999999</v>
          </cell>
          <cell r="J359">
            <v>63.081009999999999</v>
          </cell>
          <cell r="K359">
            <v>62.081009999999999</v>
          </cell>
          <cell r="L359">
            <v>65.331010000000006</v>
          </cell>
          <cell r="M359">
            <v>55.183839999999996</v>
          </cell>
          <cell r="N359">
            <v>59.228439999999999</v>
          </cell>
          <cell r="O359">
            <v>52.082749999999997</v>
          </cell>
          <cell r="P359">
            <v>55.27825</v>
          </cell>
          <cell r="R359">
            <v>58.728439999999999</v>
          </cell>
          <cell r="S359">
            <v>57.728439999999999</v>
          </cell>
          <cell r="T359">
            <v>61.228439999999999</v>
          </cell>
          <cell r="U359">
            <v>57.775245652759097</v>
          </cell>
          <cell r="V359">
            <v>61.385464387617759</v>
          </cell>
          <cell r="W359">
            <v>55.675159152086131</v>
          </cell>
          <cell r="Z359">
            <v>61.165410551816947</v>
          </cell>
          <cell r="AC359">
            <v>6.4798</v>
          </cell>
          <cell r="AD359">
            <v>6.5468000000000002</v>
          </cell>
          <cell r="AE359">
            <v>6.4462999999999999</v>
          </cell>
          <cell r="AF359">
            <v>6.2956000000000003</v>
          </cell>
          <cell r="AG359">
            <v>6.4462999999999999</v>
          </cell>
          <cell r="AH359">
            <v>6.1783999999999999</v>
          </cell>
          <cell r="AI359">
            <v>6.6639999999999997</v>
          </cell>
          <cell r="AJ359">
            <v>6.6342999999999996</v>
          </cell>
          <cell r="AK359">
            <v>6.7653999999999996</v>
          </cell>
          <cell r="AL359">
            <v>6.5773000000000001</v>
          </cell>
          <cell r="AM359">
            <v>6.8154000000000003</v>
          </cell>
          <cell r="AN359">
            <v>6.5961999999999996</v>
          </cell>
          <cell r="AO359">
            <v>6.4673531303318006</v>
          </cell>
          <cell r="AP359">
            <v>6.5750686738753439</v>
          </cell>
          <cell r="AQ359">
            <v>6.7359131271265822</v>
          </cell>
          <cell r="AR359">
            <v>6.614087341630114</v>
          </cell>
          <cell r="AS359">
            <v>6.7266211544397576</v>
          </cell>
          <cell r="AT359">
            <v>6.4105693411210165</v>
          </cell>
          <cell r="AU359">
            <v>6.5803965306122443</v>
          </cell>
          <cell r="AV359">
            <v>6.4612999999999996</v>
          </cell>
          <cell r="AW359">
            <v>6.6610708860759482</v>
          </cell>
          <cell r="AX359">
            <v>6.8270999999999997</v>
          </cell>
          <cell r="AZ359">
            <v>263</v>
          </cell>
          <cell r="BA359">
            <v>263</v>
          </cell>
          <cell r="BC359">
            <v>2037</v>
          </cell>
        </row>
        <row r="360">
          <cell r="D360">
            <v>50131</v>
          </cell>
          <cell r="E360">
            <v>58.183439999999997</v>
          </cell>
          <cell r="F360">
            <v>60.297620000000002</v>
          </cell>
          <cell r="G360">
            <v>55.739139999999999</v>
          </cell>
          <cell r="H360">
            <v>57.237740000000002</v>
          </cell>
          <cell r="J360">
            <v>58.797620000000002</v>
          </cell>
          <cell r="K360">
            <v>58.797620000000002</v>
          </cell>
          <cell r="L360">
            <v>62.297620000000002</v>
          </cell>
          <cell r="M360">
            <v>52.682690000000001</v>
          </cell>
          <cell r="N360">
            <v>57.056710000000002</v>
          </cell>
          <cell r="O360">
            <v>49.605640000000001</v>
          </cell>
          <cell r="P360">
            <v>56.281239999999997</v>
          </cell>
          <cell r="R360">
            <v>56.306710000000002</v>
          </cell>
          <cell r="S360">
            <v>56.056710000000002</v>
          </cell>
          <cell r="T360">
            <v>59.056710000000002</v>
          </cell>
          <cell r="U360">
            <v>55.860901111111112</v>
          </cell>
          <cell r="V360">
            <v>58.929235777777777</v>
          </cell>
          <cell r="W360">
            <v>53.149439999999998</v>
          </cell>
          <cell r="Z360">
            <v>57.745902444444447</v>
          </cell>
          <cell r="AC360">
            <v>6.2454000000000001</v>
          </cell>
          <cell r="AD360">
            <v>6.1951999999999998</v>
          </cell>
          <cell r="AE360">
            <v>6.1449999999999996</v>
          </cell>
          <cell r="AF360">
            <v>6.0612000000000004</v>
          </cell>
          <cell r="AG360">
            <v>6.2454000000000001</v>
          </cell>
          <cell r="AH360">
            <v>5.8436000000000003</v>
          </cell>
          <cell r="AI360">
            <v>6.4462999999999999</v>
          </cell>
          <cell r="AJ360">
            <v>6.3878000000000004</v>
          </cell>
          <cell r="AK360">
            <v>6.5180999999999996</v>
          </cell>
          <cell r="AL360">
            <v>6.3376999999999999</v>
          </cell>
          <cell r="AM360">
            <v>6.5681000000000003</v>
          </cell>
          <cell r="AN360">
            <v>6.3533999999999997</v>
          </cell>
          <cell r="AO360">
            <v>6.232101519500592</v>
          </cell>
          <cell r="AP360">
            <v>6.3359581974905641</v>
          </cell>
          <cell r="AQ360">
            <v>6.3990434216455689</v>
          </cell>
          <cell r="AR360">
            <v>6.3749768652453334</v>
          </cell>
          <cell r="AS360">
            <v>6.4854440786089107</v>
          </cell>
          <cell r="AT360">
            <v>6.0679112818936369</v>
          </cell>
          <cell r="AU360">
            <v>6.3412128571428568</v>
          </cell>
          <cell r="AV360">
            <v>6.16</v>
          </cell>
          <cell r="AW360">
            <v>6.3050202531645558</v>
          </cell>
          <cell r="AX360">
            <v>6.4210000000000003</v>
          </cell>
          <cell r="AZ360">
            <v>264</v>
          </cell>
          <cell r="BA360">
            <v>264</v>
          </cell>
          <cell r="BC360">
            <v>2037</v>
          </cell>
        </row>
        <row r="361">
          <cell r="D361">
            <v>50161</v>
          </cell>
          <cell r="E361">
            <v>54.607170000000004</v>
          </cell>
          <cell r="F361">
            <v>57.561349999999997</v>
          </cell>
          <cell r="G361">
            <v>50.030529999999999</v>
          </cell>
          <cell r="H361">
            <v>55.264229999999998</v>
          </cell>
          <cell r="J361">
            <v>57.561349999999997</v>
          </cell>
          <cell r="K361">
            <v>57.561349999999997</v>
          </cell>
          <cell r="L361">
            <v>59.561349999999997</v>
          </cell>
          <cell r="M361">
            <v>45.297739999999997</v>
          </cell>
          <cell r="N361">
            <v>53.596420000000002</v>
          </cell>
          <cell r="O361">
            <v>41.103259999999999</v>
          </cell>
          <cell r="P361">
            <v>45.749160000000003</v>
          </cell>
          <cell r="R361">
            <v>53.596420000000002</v>
          </cell>
          <cell r="S361">
            <v>53.096420000000002</v>
          </cell>
          <cell r="T361">
            <v>55.346420000000002</v>
          </cell>
          <cell r="U361">
            <v>50.302809892473121</v>
          </cell>
          <cell r="V361">
            <v>55.728102795698923</v>
          </cell>
          <cell r="W361">
            <v>45.902867526881714</v>
          </cell>
          <cell r="Z361">
            <v>55.728102795698923</v>
          </cell>
          <cell r="AC361">
            <v>6.2286999999999999</v>
          </cell>
          <cell r="AD361">
            <v>6.1281999999999996</v>
          </cell>
          <cell r="AE361">
            <v>6.1449999999999996</v>
          </cell>
          <cell r="AF361">
            <v>6.1115000000000004</v>
          </cell>
          <cell r="AG361">
            <v>6.2622</v>
          </cell>
          <cell r="AH361">
            <v>5.8268000000000004</v>
          </cell>
          <cell r="AI361">
            <v>6.4295999999999998</v>
          </cell>
          <cell r="AJ361">
            <v>6.3647</v>
          </cell>
          <cell r="AK361">
            <v>6.4946000000000002</v>
          </cell>
          <cell r="AL361">
            <v>6.3182999999999998</v>
          </cell>
          <cell r="AM361">
            <v>6.5446</v>
          </cell>
          <cell r="AN361">
            <v>6.3322000000000003</v>
          </cell>
          <cell r="AO361">
            <v>6.2153408458620198</v>
          </cell>
          <cell r="AP361">
            <v>6.318922596144037</v>
          </cell>
          <cell r="AQ361">
            <v>6.3644741610126569</v>
          </cell>
          <cell r="AR361">
            <v>6.3579412638988071</v>
          </cell>
          <cell r="AS361">
            <v>6.5371983743183462</v>
          </cell>
          <cell r="AT361">
            <v>6.201941407931141</v>
          </cell>
          <cell r="AU361">
            <v>6.3241720408163262</v>
          </cell>
          <cell r="AV361">
            <v>6.16</v>
          </cell>
          <cell r="AW361">
            <v>6.2371721518987329</v>
          </cell>
          <cell r="AX361">
            <v>6.3470000000000004</v>
          </cell>
          <cell r="AZ361">
            <v>265</v>
          </cell>
          <cell r="BA361">
            <v>265</v>
          </cell>
          <cell r="BC361">
            <v>2037</v>
          </cell>
        </row>
        <row r="362">
          <cell r="D362">
            <v>50192</v>
          </cell>
          <cell r="E362">
            <v>60.14969</v>
          </cell>
          <cell r="F362">
            <v>62.20973</v>
          </cell>
          <cell r="G362">
            <v>55.434150000000002</v>
          </cell>
          <cell r="H362">
            <v>62.085650000000001</v>
          </cell>
          <cell r="J362">
            <v>61.45973</v>
          </cell>
          <cell r="K362">
            <v>62.20973</v>
          </cell>
          <cell r="L362">
            <v>64.709729999999993</v>
          </cell>
          <cell r="M362">
            <v>48.438699999999997</v>
          </cell>
          <cell r="N362">
            <v>54.600490000000001</v>
          </cell>
          <cell r="O362">
            <v>44.09722</v>
          </cell>
          <cell r="P362">
            <v>50.936920000000001</v>
          </cell>
          <cell r="R362">
            <v>54.100490000000001</v>
          </cell>
          <cell r="S362">
            <v>54.100490000000001</v>
          </cell>
          <cell r="T362">
            <v>56.850490000000001</v>
          </cell>
          <cell r="U362">
            <v>55.205049777777774</v>
          </cell>
          <cell r="V362">
            <v>58.996939777777783</v>
          </cell>
          <cell r="W362">
            <v>50.647446222222221</v>
          </cell>
          <cell r="Z362">
            <v>58.35249533333333</v>
          </cell>
          <cell r="AC362">
            <v>6.1281999999999996</v>
          </cell>
          <cell r="AD362">
            <v>6.0110000000000001</v>
          </cell>
          <cell r="AE362">
            <v>6.1616999999999997</v>
          </cell>
          <cell r="AF362">
            <v>6.2286999999999999</v>
          </cell>
          <cell r="AG362">
            <v>6.3124000000000002</v>
          </cell>
          <cell r="AH362">
            <v>5.5757000000000003</v>
          </cell>
          <cell r="AI362">
            <v>6.4295999999999998</v>
          </cell>
          <cell r="AJ362">
            <v>6.2652000000000001</v>
          </cell>
          <cell r="AK362">
            <v>6.3952</v>
          </cell>
          <cell r="AL362">
            <v>6.2183000000000002</v>
          </cell>
          <cell r="AM362">
            <v>6.4451999999999998</v>
          </cell>
          <cell r="AN362">
            <v>6.2324000000000002</v>
          </cell>
          <cell r="AO362">
            <v>6.1144757140849872</v>
          </cell>
          <cell r="AP362">
            <v>6.2164029592981747</v>
          </cell>
          <cell r="AQ362">
            <v>6.3126202700632899</v>
          </cell>
          <cell r="AR362">
            <v>6.255421627052943</v>
          </cell>
          <cell r="AS362">
            <v>6.6577869122337692</v>
          </cell>
          <cell r="AT362">
            <v>6.0861508556204527</v>
          </cell>
          <cell r="AU362">
            <v>6.221621020408163</v>
          </cell>
          <cell r="AV362">
            <v>6.1767000000000003</v>
          </cell>
          <cell r="AW362">
            <v>6.1184886075949354</v>
          </cell>
          <cell r="AX362">
            <v>6.2317</v>
          </cell>
          <cell r="AZ362">
            <v>266</v>
          </cell>
          <cell r="BA362">
            <v>266</v>
          </cell>
          <cell r="BC362">
            <v>2037</v>
          </cell>
        </row>
        <row r="363">
          <cell r="D363">
            <v>50222</v>
          </cell>
          <cell r="E363">
            <v>66.563199999999995</v>
          </cell>
          <cell r="F363">
            <v>68.200839999999999</v>
          </cell>
          <cell r="G363">
            <v>61.472969999999997</v>
          </cell>
          <cell r="H363">
            <v>67.083269999999999</v>
          </cell>
          <cell r="J363">
            <v>73.200839999999999</v>
          </cell>
          <cell r="K363">
            <v>73.700839999999999</v>
          </cell>
          <cell r="L363">
            <v>72.450839999999999</v>
          </cell>
          <cell r="M363">
            <v>54.284120000000001</v>
          </cell>
          <cell r="N363">
            <v>57.316859999999998</v>
          </cell>
          <cell r="O363">
            <v>49.688099999999999</v>
          </cell>
          <cell r="P363">
            <v>54.827399999999997</v>
          </cell>
          <cell r="R363">
            <v>58.316859999999998</v>
          </cell>
          <cell r="S363">
            <v>58.316859999999998</v>
          </cell>
          <cell r="T363">
            <v>59.816859999999998</v>
          </cell>
          <cell r="U363">
            <v>61.14984215053763</v>
          </cell>
          <cell r="V363">
            <v>63.40252623655914</v>
          </cell>
          <cell r="W363">
            <v>56.277489677419354</v>
          </cell>
          <cell r="Z363">
            <v>66.639085376344084</v>
          </cell>
          <cell r="AC363">
            <v>6.2119</v>
          </cell>
          <cell r="AD363">
            <v>6.0780000000000003</v>
          </cell>
          <cell r="AE363">
            <v>6.1951999999999998</v>
          </cell>
          <cell r="AF363">
            <v>6.2789000000000001</v>
          </cell>
          <cell r="AG363">
            <v>6.4128999999999996</v>
          </cell>
          <cell r="AH363">
            <v>5.5422000000000002</v>
          </cell>
          <cell r="AI363">
            <v>6.5301</v>
          </cell>
          <cell r="AJ363">
            <v>6.3502000000000001</v>
          </cell>
          <cell r="AK363">
            <v>6.4802999999999997</v>
          </cell>
          <cell r="AL363">
            <v>6.3025000000000002</v>
          </cell>
          <cell r="AM363">
            <v>6.5303000000000004</v>
          </cell>
          <cell r="AN363">
            <v>6.3170000000000002</v>
          </cell>
          <cell r="AO363">
            <v>6.1984798089082469</v>
          </cell>
          <cell r="AP363">
            <v>6.3017849852086094</v>
          </cell>
          <cell r="AQ363">
            <v>6.3644741610126578</v>
          </cell>
          <cell r="AR363">
            <v>6.3408036529633787</v>
          </cell>
          <cell r="AS363">
            <v>6.7094383166992486</v>
          </cell>
          <cell r="AT363">
            <v>6.1924117430064554</v>
          </cell>
          <cell r="AU363">
            <v>6.3070291836734693</v>
          </cell>
          <cell r="AV363">
            <v>6.2102000000000004</v>
          </cell>
          <cell r="AW363">
            <v>6.1863367088607584</v>
          </cell>
          <cell r="AX363">
            <v>6.3010000000000002</v>
          </cell>
          <cell r="AZ363">
            <v>267</v>
          </cell>
          <cell r="BA363">
            <v>267</v>
          </cell>
          <cell r="BC363">
            <v>2037</v>
          </cell>
        </row>
        <row r="364">
          <cell r="D364">
            <v>50253</v>
          </cell>
          <cell r="E364">
            <v>73.005750000000006</v>
          </cell>
          <cell r="F364">
            <v>72.233059999999995</v>
          </cell>
          <cell r="G364">
            <v>68.656880000000001</v>
          </cell>
          <cell r="H364">
            <v>70.71978</v>
          </cell>
          <cell r="J364">
            <v>76.733059999999995</v>
          </cell>
          <cell r="K364">
            <v>77.733059999999995</v>
          </cell>
          <cell r="L364">
            <v>75.983059999999995</v>
          </cell>
          <cell r="M364">
            <v>58.572279999999999</v>
          </cell>
          <cell r="N364">
            <v>60.038159999999998</v>
          </cell>
          <cell r="O364">
            <v>54.341659999999997</v>
          </cell>
          <cell r="P364">
            <v>59.138660000000002</v>
          </cell>
          <cell r="R364">
            <v>61.038159999999998</v>
          </cell>
          <cell r="S364">
            <v>61.038159999999998</v>
          </cell>
          <cell r="T364">
            <v>62.538159999999998</v>
          </cell>
          <cell r="U364">
            <v>66.642607311827959</v>
          </cell>
          <cell r="V364">
            <v>66.856813763440854</v>
          </cell>
          <cell r="W364">
            <v>62.345869032258065</v>
          </cell>
          <cell r="Z364">
            <v>69.813803010752679</v>
          </cell>
          <cell r="AC364">
            <v>6.4295999999999998</v>
          </cell>
          <cell r="AD364">
            <v>6.3459000000000003</v>
          </cell>
          <cell r="AE364">
            <v>6.3625999999999996</v>
          </cell>
          <cell r="AF364">
            <v>6.2622</v>
          </cell>
          <cell r="AG364">
            <v>6.4630999999999998</v>
          </cell>
          <cell r="AH364">
            <v>5.9607999999999999</v>
          </cell>
          <cell r="AI364">
            <v>6.6807999999999996</v>
          </cell>
          <cell r="AJ364">
            <v>6.5690999999999997</v>
          </cell>
          <cell r="AK364">
            <v>6.6992000000000003</v>
          </cell>
          <cell r="AL364">
            <v>6.5206999999999997</v>
          </cell>
          <cell r="AM364">
            <v>6.7492000000000001</v>
          </cell>
          <cell r="AN364">
            <v>6.5354999999999999</v>
          </cell>
          <cell r="AO364">
            <v>6.4169707461008842</v>
          </cell>
          <cell r="AP364">
            <v>6.5238598602468629</v>
          </cell>
          <cell r="AQ364">
            <v>6.5890711633037959</v>
          </cell>
          <cell r="AR364">
            <v>6.5628785280016322</v>
          </cell>
          <cell r="AS364">
            <v>6.6922554789587405</v>
          </cell>
          <cell r="AT364">
            <v>6.4154878778563385</v>
          </cell>
          <cell r="AU364">
            <v>6.5291720408163263</v>
          </cell>
          <cell r="AV364">
            <v>6.3776000000000002</v>
          </cell>
          <cell r="AW364">
            <v>6.4576278481012652</v>
          </cell>
          <cell r="AX364">
            <v>6.5712000000000002</v>
          </cell>
          <cell r="AZ364">
            <v>268</v>
          </cell>
          <cell r="BA364">
            <v>268</v>
          </cell>
          <cell r="BC364">
            <v>2037</v>
          </cell>
        </row>
        <row r="365">
          <cell r="D365">
            <v>50284</v>
          </cell>
          <cell r="E365">
            <v>68.813000000000002</v>
          </cell>
          <cell r="F365">
            <v>67.610230000000001</v>
          </cell>
          <cell r="G365">
            <v>68.354489999999998</v>
          </cell>
          <cell r="H365">
            <v>69.940089999999998</v>
          </cell>
          <cell r="J365">
            <v>70.610230000000001</v>
          </cell>
          <cell r="K365">
            <v>71.610230000000001</v>
          </cell>
          <cell r="L365">
            <v>70.610230000000001</v>
          </cell>
          <cell r="M365">
            <v>56.382730000000002</v>
          </cell>
          <cell r="N365">
            <v>57.364660000000001</v>
          </cell>
          <cell r="O365">
            <v>56.053350000000002</v>
          </cell>
          <cell r="P365">
            <v>55.780850000000001</v>
          </cell>
          <cell r="R365">
            <v>55.864660000000001</v>
          </cell>
          <cell r="S365">
            <v>55.864660000000001</v>
          </cell>
          <cell r="T365">
            <v>59.614660000000001</v>
          </cell>
          <cell r="U365">
            <v>63.288435555555566</v>
          </cell>
          <cell r="V365">
            <v>63.056643333333334</v>
          </cell>
          <cell r="W365">
            <v>62.887316666666671</v>
          </cell>
          <cell r="Z365">
            <v>64.056643333333341</v>
          </cell>
          <cell r="AC365">
            <v>6.2454000000000001</v>
          </cell>
          <cell r="AD365">
            <v>6.2454000000000001</v>
          </cell>
          <cell r="AE365">
            <v>6.1951999999999998</v>
          </cell>
          <cell r="AF365">
            <v>6.1281999999999996</v>
          </cell>
          <cell r="AG365">
            <v>6.2622</v>
          </cell>
          <cell r="AH365">
            <v>5.8436000000000003</v>
          </cell>
          <cell r="AI365">
            <v>6.5301</v>
          </cell>
          <cell r="AJ365">
            <v>6.3849999999999998</v>
          </cell>
          <cell r="AK365">
            <v>6.5152000000000001</v>
          </cell>
          <cell r="AL365">
            <v>6.3365999999999998</v>
          </cell>
          <cell r="AM365">
            <v>6.5651999999999999</v>
          </cell>
          <cell r="AN365">
            <v>6.3513999999999999</v>
          </cell>
          <cell r="AO365">
            <v>6.232101519500592</v>
          </cell>
          <cell r="AP365">
            <v>6.3359581974905641</v>
          </cell>
          <cell r="AQ365">
            <v>6.4508457166835438</v>
          </cell>
          <cell r="AR365">
            <v>6.3749768652453334</v>
          </cell>
          <cell r="AS365">
            <v>6.5543812120588534</v>
          </cell>
          <cell r="AT365">
            <v>6.2216155548724252</v>
          </cell>
          <cell r="AU365">
            <v>6.3412128571428568</v>
          </cell>
          <cell r="AV365">
            <v>6.2102000000000004</v>
          </cell>
          <cell r="AW365">
            <v>6.3558556962025303</v>
          </cell>
          <cell r="AX365">
            <v>6.4710000000000001</v>
          </cell>
          <cell r="AZ365">
            <v>269</v>
          </cell>
          <cell r="BA365">
            <v>269</v>
          </cell>
          <cell r="BC365">
            <v>2037</v>
          </cell>
        </row>
        <row r="366">
          <cell r="D366">
            <v>50314</v>
          </cell>
          <cell r="E366">
            <v>62.452719999999999</v>
          </cell>
          <cell r="F366">
            <v>64.325339999999997</v>
          </cell>
          <cell r="G366">
            <v>60.305970000000002</v>
          </cell>
          <cell r="H366">
            <v>62.093170000000001</v>
          </cell>
          <cell r="J366">
            <v>63.825339999999997</v>
          </cell>
          <cell r="K366">
            <v>64.325339999999997</v>
          </cell>
          <cell r="L366">
            <v>66.325339999999997</v>
          </cell>
          <cell r="M366">
            <v>52.172339999999998</v>
          </cell>
          <cell r="N366">
            <v>57.182810000000003</v>
          </cell>
          <cell r="O366">
            <v>51.25732</v>
          </cell>
          <cell r="P366">
            <v>54.66142</v>
          </cell>
          <cell r="R366">
            <v>56.182810000000003</v>
          </cell>
          <cell r="S366">
            <v>55.682810000000003</v>
          </cell>
          <cell r="T366">
            <v>58.932810000000003</v>
          </cell>
          <cell r="U366">
            <v>58.141592903225806</v>
          </cell>
          <cell r="V366">
            <v>61.330085483870967</v>
          </cell>
          <cell r="W366">
            <v>56.511374838709678</v>
          </cell>
          <cell r="Z366">
            <v>60.620408064516134</v>
          </cell>
          <cell r="AC366">
            <v>6.2789000000000001</v>
          </cell>
          <cell r="AD366">
            <v>6.3124000000000002</v>
          </cell>
          <cell r="AE366">
            <v>6.2454000000000001</v>
          </cell>
          <cell r="AF366">
            <v>6.0946999999999996</v>
          </cell>
          <cell r="AG366">
            <v>6.2789000000000001</v>
          </cell>
          <cell r="AH366">
            <v>5.8771000000000004</v>
          </cell>
          <cell r="AI366">
            <v>6.5635000000000003</v>
          </cell>
          <cell r="AJ366">
            <v>6.4199000000000002</v>
          </cell>
          <cell r="AK366">
            <v>6.5500999999999996</v>
          </cell>
          <cell r="AL366">
            <v>6.3705999999999996</v>
          </cell>
          <cell r="AM366">
            <v>6.6001000000000003</v>
          </cell>
          <cell r="AN366">
            <v>6.3859000000000004</v>
          </cell>
          <cell r="AO366">
            <v>6.2657232300929362</v>
          </cell>
          <cell r="AP366">
            <v>6.3701314097725188</v>
          </cell>
          <cell r="AQ366">
            <v>6.5113161248354423</v>
          </cell>
          <cell r="AR366">
            <v>6.409150077527288</v>
          </cell>
          <cell r="AS366">
            <v>6.5199126453338812</v>
          </cell>
          <cell r="AT366">
            <v>6.2585045803873358</v>
          </cell>
          <cell r="AU366">
            <v>6.3753965306122442</v>
          </cell>
          <cell r="AV366">
            <v>6.2603999999999997</v>
          </cell>
          <cell r="AW366">
            <v>6.4237037974683533</v>
          </cell>
          <cell r="AX366">
            <v>6.5404999999999998</v>
          </cell>
          <cell r="AZ366">
            <v>270</v>
          </cell>
          <cell r="BA366">
            <v>270</v>
          </cell>
          <cell r="BC366">
            <v>2037</v>
          </cell>
        </row>
        <row r="367">
          <cell r="D367">
            <v>50345</v>
          </cell>
          <cell r="E367">
            <v>66.280609999999996</v>
          </cell>
          <cell r="F367">
            <v>65.811769999999996</v>
          </cell>
          <cell r="G367">
            <v>64.647980000000004</v>
          </cell>
          <cell r="H367">
            <v>67.085480000000004</v>
          </cell>
          <cell r="J367">
            <v>65.311769999999996</v>
          </cell>
          <cell r="K367">
            <v>64.311769999999996</v>
          </cell>
          <cell r="L367">
            <v>67.811769999999996</v>
          </cell>
          <cell r="M367">
            <v>55.151020000000003</v>
          </cell>
          <cell r="N367">
            <v>58.459180000000003</v>
          </cell>
          <cell r="O367">
            <v>53.028709999999997</v>
          </cell>
          <cell r="P367">
            <v>53.717610000000001</v>
          </cell>
          <cell r="R367">
            <v>57.959180000000003</v>
          </cell>
          <cell r="S367">
            <v>56.959180000000003</v>
          </cell>
          <cell r="T367">
            <v>60.209180000000003</v>
          </cell>
          <cell r="U367">
            <v>61.078568626907071</v>
          </cell>
          <cell r="V367">
            <v>62.375122524271845</v>
          </cell>
          <cell r="W367">
            <v>59.21705907073509</v>
          </cell>
          <cell r="Z367">
            <v>61.875122524271845</v>
          </cell>
          <cell r="AC367">
            <v>6.3794000000000004</v>
          </cell>
          <cell r="AD367">
            <v>6.6473000000000004</v>
          </cell>
          <cell r="AE367">
            <v>6.4965999999999999</v>
          </cell>
          <cell r="AF367">
            <v>6.2454000000000001</v>
          </cell>
          <cell r="AG367">
            <v>6.3459000000000003</v>
          </cell>
          <cell r="AH367">
            <v>6.0110000000000001</v>
          </cell>
          <cell r="AI367">
            <v>6.6639999999999997</v>
          </cell>
          <cell r="AJ367">
            <v>6.5267999999999997</v>
          </cell>
          <cell r="AK367">
            <v>6.6574</v>
          </cell>
          <cell r="AL367">
            <v>6.4737999999999998</v>
          </cell>
          <cell r="AM367">
            <v>6.7073999999999998</v>
          </cell>
          <cell r="AN367">
            <v>6.4908000000000001</v>
          </cell>
          <cell r="AO367">
            <v>6.3665883618699688</v>
          </cell>
          <cell r="AP367">
            <v>6.472651046618382</v>
          </cell>
          <cell r="AQ367">
            <v>6.8137197615063281</v>
          </cell>
          <cell r="AR367">
            <v>6.5116697143731521</v>
          </cell>
          <cell r="AS367">
            <v>6.6749697499742773</v>
          </cell>
          <cell r="AT367">
            <v>6.4383385797725179</v>
          </cell>
          <cell r="AU367">
            <v>6.4779475510204083</v>
          </cell>
          <cell r="AV367">
            <v>6.5115999999999996</v>
          </cell>
          <cell r="AW367">
            <v>6.7628430379746822</v>
          </cell>
          <cell r="AX367">
            <v>6.9143999999999997</v>
          </cell>
          <cell r="AZ367">
            <v>271</v>
          </cell>
          <cell r="BA367">
            <v>271</v>
          </cell>
          <cell r="BC367">
            <v>2037</v>
          </cell>
        </row>
        <row r="368">
          <cell r="D368">
            <v>50375</v>
          </cell>
          <cell r="E368">
            <v>69.620850000000004</v>
          </cell>
          <cell r="F368">
            <v>67.500219999999999</v>
          </cell>
          <cell r="G368">
            <v>71.031840000000003</v>
          </cell>
          <cell r="H368">
            <v>73.759640000000005</v>
          </cell>
          <cell r="J368">
            <v>67.000219999999999</v>
          </cell>
          <cell r="K368">
            <v>66.750219999999999</v>
          </cell>
          <cell r="L368">
            <v>69.500219999999999</v>
          </cell>
          <cell r="M368">
            <v>61.093600000000002</v>
          </cell>
          <cell r="N368">
            <v>61.187959999999997</v>
          </cell>
          <cell r="O368">
            <v>58.73057</v>
          </cell>
          <cell r="P368">
            <v>61.545070000000003</v>
          </cell>
          <cell r="R368">
            <v>60.687959999999997</v>
          </cell>
          <cell r="S368">
            <v>60.187959999999997</v>
          </cell>
          <cell r="T368">
            <v>62.937959999999997</v>
          </cell>
          <cell r="U368">
            <v>65.861524731182797</v>
          </cell>
          <cell r="V368">
            <v>64.717395698924733</v>
          </cell>
          <cell r="W368">
            <v>65.608699462365593</v>
          </cell>
          <cell r="Z368">
            <v>64.217395698924719</v>
          </cell>
          <cell r="AC368">
            <v>6.6974999999999998</v>
          </cell>
          <cell r="AD368">
            <v>6.9988999999999999</v>
          </cell>
          <cell r="AE368">
            <v>6.8147000000000002</v>
          </cell>
          <cell r="AF368">
            <v>6.6639999999999997</v>
          </cell>
          <cell r="AG368">
            <v>6.6974999999999998</v>
          </cell>
          <cell r="AH368">
            <v>6.2119</v>
          </cell>
          <cell r="AI368">
            <v>6.9486999999999997</v>
          </cell>
          <cell r="AJ368">
            <v>6.8502999999999998</v>
          </cell>
          <cell r="AK368">
            <v>6.9812000000000003</v>
          </cell>
          <cell r="AL368">
            <v>6.7942</v>
          </cell>
          <cell r="AM368">
            <v>7.0312000000000001</v>
          </cell>
          <cell r="AN368">
            <v>6.8127000000000004</v>
          </cell>
          <cell r="AO368">
            <v>6.6858440675244379</v>
          </cell>
          <cell r="AP368">
            <v>6.7971435489135974</v>
          </cell>
          <cell r="AQ368">
            <v>7.159257580101265</v>
          </cell>
          <cell r="AR368">
            <v>6.8361622166683667</v>
          </cell>
          <cell r="AS368">
            <v>7.1056724971704908</v>
          </cell>
          <cell r="AT368">
            <v>6.746361942822011</v>
          </cell>
          <cell r="AU368">
            <v>6.8025393877551013</v>
          </cell>
          <cell r="AV368">
            <v>6.8296999999999999</v>
          </cell>
          <cell r="AW368">
            <v>7.1188936708860746</v>
          </cell>
          <cell r="AX368">
            <v>7.2759999999999998</v>
          </cell>
          <cell r="AZ368">
            <v>272</v>
          </cell>
          <cell r="BA368">
            <v>272</v>
          </cell>
          <cell r="BC368">
            <v>2037</v>
          </cell>
        </row>
        <row r="369">
          <cell r="D369">
            <v>50406</v>
          </cell>
          <cell r="E369">
            <v>70.149870000000007</v>
          </cell>
          <cell r="F369">
            <v>69.809200000000004</v>
          </cell>
          <cell r="G369">
            <v>69.50976</v>
          </cell>
          <cell r="H369">
            <v>73.318259999999995</v>
          </cell>
          <cell r="J369">
            <v>69.309200000000004</v>
          </cell>
          <cell r="K369">
            <v>69.309200000000004</v>
          </cell>
          <cell r="L369">
            <v>72.059200000000004</v>
          </cell>
          <cell r="M369">
            <v>62.43383</v>
          </cell>
          <cell r="N369">
            <v>64.171850000000006</v>
          </cell>
          <cell r="O369">
            <v>59.77176</v>
          </cell>
          <cell r="P369">
            <v>63.016260000000003</v>
          </cell>
          <cell r="R369">
            <v>63.671849999999999</v>
          </cell>
          <cell r="S369">
            <v>63.671849999999999</v>
          </cell>
          <cell r="T369">
            <v>66.421850000000006</v>
          </cell>
          <cell r="U369">
            <v>66.582238602150539</v>
          </cell>
          <cell r="V369">
            <v>67.20268333333334</v>
          </cell>
          <cell r="W369">
            <v>65.007243870967741</v>
          </cell>
          <cell r="Z369">
            <v>66.702683333333326</v>
          </cell>
          <cell r="AC369">
            <v>6.9542999999999999</v>
          </cell>
          <cell r="AD369">
            <v>7.3311000000000002</v>
          </cell>
          <cell r="AE369">
            <v>7.1599000000000004</v>
          </cell>
          <cell r="AF369">
            <v>6.8857999999999997</v>
          </cell>
          <cell r="AG369">
            <v>6.9028999999999998</v>
          </cell>
          <cell r="AH369">
            <v>6.2862999999999998</v>
          </cell>
          <cell r="AI369">
            <v>7.3140000000000001</v>
          </cell>
          <cell r="AJ369">
            <v>7.1113999999999997</v>
          </cell>
          <cell r="AK369">
            <v>7.2427000000000001</v>
          </cell>
          <cell r="AL369">
            <v>7.0529000000000002</v>
          </cell>
          <cell r="AM369">
            <v>7.2927</v>
          </cell>
          <cell r="AN369">
            <v>7.0724999999999998</v>
          </cell>
          <cell r="AO369">
            <v>6.9435770609606768</v>
          </cell>
          <cell r="AP369">
            <v>7.0591041732122815</v>
          </cell>
          <cell r="AQ369">
            <v>7.5087682838734171</v>
          </cell>
          <cell r="AR369">
            <v>7.0981228409670516</v>
          </cell>
          <cell r="AS369">
            <v>7.3338852762629898</v>
          </cell>
          <cell r="AT369">
            <v>7.0837940567681121</v>
          </cell>
          <cell r="AU369">
            <v>7.0645802040816319</v>
          </cell>
          <cell r="AV369">
            <v>7.1749000000000001</v>
          </cell>
          <cell r="AW369">
            <v>7.4552987341772141</v>
          </cell>
          <cell r="AX369">
            <v>7.6163999999999996</v>
          </cell>
          <cell r="AZ369">
            <v>273</v>
          </cell>
          <cell r="BA369">
            <v>273</v>
          </cell>
          <cell r="BC369">
            <v>2038</v>
          </cell>
        </row>
        <row r="370">
          <cell r="D370">
            <v>50437</v>
          </cell>
          <cell r="E370">
            <v>71.256379999999993</v>
          </cell>
          <cell r="F370">
            <v>69.524709999999999</v>
          </cell>
          <cell r="G370">
            <v>74.743129999999994</v>
          </cell>
          <cell r="H370">
            <v>78.701130000000006</v>
          </cell>
          <cell r="J370">
            <v>69.524709999999999</v>
          </cell>
          <cell r="K370">
            <v>68.524709999999999</v>
          </cell>
          <cell r="L370">
            <v>71.774709999999999</v>
          </cell>
          <cell r="M370">
            <v>60.620199999999997</v>
          </cell>
          <cell r="N370">
            <v>64.600009999999997</v>
          </cell>
          <cell r="O370">
            <v>62.577710000000003</v>
          </cell>
          <cell r="P370">
            <v>65.463909999999998</v>
          </cell>
          <cell r="R370">
            <v>64.100009999999997</v>
          </cell>
          <cell r="S370">
            <v>63.350009999999997</v>
          </cell>
          <cell r="T370">
            <v>66.600009999999997</v>
          </cell>
          <cell r="U370">
            <v>66.69801714285714</v>
          </cell>
          <cell r="V370">
            <v>67.41412428571428</v>
          </cell>
          <cell r="W370">
            <v>69.529378571428566</v>
          </cell>
          <cell r="Z370">
            <v>67.199838571428572</v>
          </cell>
          <cell r="AC370">
            <v>6.9542999999999999</v>
          </cell>
          <cell r="AD370">
            <v>7.3483000000000001</v>
          </cell>
          <cell r="AE370">
            <v>7.1256000000000004</v>
          </cell>
          <cell r="AF370">
            <v>6.9200999999999997</v>
          </cell>
          <cell r="AG370">
            <v>6.9714</v>
          </cell>
          <cell r="AH370">
            <v>6.4576000000000002</v>
          </cell>
          <cell r="AI370">
            <v>7.2283999999999997</v>
          </cell>
          <cell r="AJ370">
            <v>7.1109</v>
          </cell>
          <cell r="AK370">
            <v>7.2420999999999998</v>
          </cell>
          <cell r="AL370">
            <v>7.0526</v>
          </cell>
          <cell r="AM370">
            <v>7.2920999999999996</v>
          </cell>
          <cell r="AN370">
            <v>7.0720999999999998</v>
          </cell>
          <cell r="AO370">
            <v>6.9435770609606768</v>
          </cell>
          <cell r="AP370">
            <v>7.0591041732122815</v>
          </cell>
          <cell r="AQ370">
            <v>7.4999453830253149</v>
          </cell>
          <cell r="AR370">
            <v>7.0981228409670516</v>
          </cell>
          <cell r="AS370">
            <v>7.3691769729396022</v>
          </cell>
          <cell r="AT370">
            <v>7.0991644840659909</v>
          </cell>
          <cell r="AU370">
            <v>7.0645802040816319</v>
          </cell>
          <cell r="AV370">
            <v>7.1406000000000001</v>
          </cell>
          <cell r="AW370">
            <v>7.4727164556962009</v>
          </cell>
          <cell r="AX370">
            <v>7.6325000000000003</v>
          </cell>
          <cell r="AZ370">
            <v>274</v>
          </cell>
          <cell r="BA370">
            <v>274</v>
          </cell>
          <cell r="BC370">
            <v>2038</v>
          </cell>
        </row>
        <row r="371">
          <cell r="D371">
            <v>50465</v>
          </cell>
          <cell r="E371">
            <v>62.403289999999998</v>
          </cell>
          <cell r="F371">
            <v>65.520240000000001</v>
          </cell>
          <cell r="G371">
            <v>61.150910000000003</v>
          </cell>
          <cell r="H371">
            <v>64.94941</v>
          </cell>
          <cell r="J371">
            <v>65.520240000000001</v>
          </cell>
          <cell r="K371">
            <v>64.520240000000001</v>
          </cell>
          <cell r="L371">
            <v>67.770240000000001</v>
          </cell>
          <cell r="M371">
            <v>57.194290000000002</v>
          </cell>
          <cell r="N371">
            <v>61.181690000000003</v>
          </cell>
          <cell r="O371">
            <v>54.055140000000002</v>
          </cell>
          <cell r="P371">
            <v>57.250639999999997</v>
          </cell>
          <cell r="R371">
            <v>60.681690000000003</v>
          </cell>
          <cell r="S371">
            <v>59.681690000000003</v>
          </cell>
          <cell r="T371">
            <v>63.181690000000003</v>
          </cell>
          <cell r="U371">
            <v>60.222941413189773</v>
          </cell>
          <cell r="V371">
            <v>63.704238586810234</v>
          </cell>
          <cell r="W371">
            <v>58.18080977119785</v>
          </cell>
          <cell r="Z371">
            <v>63.494951911170936</v>
          </cell>
          <cell r="AC371">
            <v>6.7659000000000002</v>
          </cell>
          <cell r="AD371">
            <v>6.8514999999999997</v>
          </cell>
          <cell r="AE371">
            <v>6.7488000000000001</v>
          </cell>
          <cell r="AF371">
            <v>6.5945999999999998</v>
          </cell>
          <cell r="AG371">
            <v>6.7488000000000001</v>
          </cell>
          <cell r="AH371">
            <v>6.4747000000000003</v>
          </cell>
          <cell r="AI371">
            <v>6.9714</v>
          </cell>
          <cell r="AJ371">
            <v>6.9203999999999999</v>
          </cell>
          <cell r="AK371">
            <v>7.0514999999999999</v>
          </cell>
          <cell r="AL371">
            <v>6.8632999999999997</v>
          </cell>
          <cell r="AM371">
            <v>7.1014999999999997</v>
          </cell>
          <cell r="AN371">
            <v>6.8822000000000001</v>
          </cell>
          <cell r="AO371">
            <v>6.7544925751219411</v>
          </cell>
          <cell r="AP371">
            <v>6.8669181077221264</v>
          </cell>
          <cell r="AQ371">
            <v>7.0492035011012648</v>
          </cell>
          <cell r="AR371">
            <v>6.9059367754768957</v>
          </cell>
          <cell r="AS371">
            <v>7.0342659738656241</v>
          </cell>
          <cell r="AT371">
            <v>6.7037346244492273</v>
          </cell>
          <cell r="AU371">
            <v>6.8723353061224488</v>
          </cell>
          <cell r="AV371">
            <v>6.7637999999999998</v>
          </cell>
          <cell r="AW371">
            <v>6.9696278481012639</v>
          </cell>
          <cell r="AX371">
            <v>7.1318000000000001</v>
          </cell>
          <cell r="AZ371">
            <v>275</v>
          </cell>
          <cell r="BA371">
            <v>275</v>
          </cell>
          <cell r="BC371">
            <v>2038</v>
          </cell>
        </row>
        <row r="372">
          <cell r="D372">
            <v>50496</v>
          </cell>
          <cell r="E372">
            <v>61.015149999999998</v>
          </cell>
          <cell r="F372">
            <v>63.090130000000002</v>
          </cell>
          <cell r="G372">
            <v>58.971269999999997</v>
          </cell>
          <cell r="H372">
            <v>60.46987</v>
          </cell>
          <cell r="J372">
            <v>61.590130000000002</v>
          </cell>
          <cell r="K372">
            <v>61.590130000000002</v>
          </cell>
          <cell r="L372">
            <v>65.090130000000002</v>
          </cell>
          <cell r="M372">
            <v>55.367359999999998</v>
          </cell>
          <cell r="N372">
            <v>59.785910000000001</v>
          </cell>
          <cell r="O372">
            <v>52.844149999999999</v>
          </cell>
          <cell r="P372">
            <v>59.519750000000002</v>
          </cell>
          <cell r="R372">
            <v>59.035910000000001</v>
          </cell>
          <cell r="S372">
            <v>58.785910000000001</v>
          </cell>
          <cell r="T372">
            <v>61.785910000000001</v>
          </cell>
          <cell r="U372">
            <v>58.630527555555553</v>
          </cell>
          <cell r="V372">
            <v>61.695014888888892</v>
          </cell>
          <cell r="W372">
            <v>56.384263777777775</v>
          </cell>
          <cell r="Z372">
            <v>60.511681555555555</v>
          </cell>
          <cell r="AC372">
            <v>6.5260999999999996</v>
          </cell>
          <cell r="AD372">
            <v>6.5260999999999996</v>
          </cell>
          <cell r="AE372">
            <v>6.4747000000000003</v>
          </cell>
          <cell r="AF372">
            <v>6.3033999999999999</v>
          </cell>
          <cell r="AG372">
            <v>6.5431999999999997</v>
          </cell>
          <cell r="AH372">
            <v>6.1664000000000003</v>
          </cell>
          <cell r="AI372">
            <v>6.7316000000000003</v>
          </cell>
          <cell r="AJ372">
            <v>6.6684999999999999</v>
          </cell>
          <cell r="AK372">
            <v>6.7988</v>
          </cell>
          <cell r="AL372">
            <v>6.6184000000000003</v>
          </cell>
          <cell r="AM372">
            <v>6.8487999999999998</v>
          </cell>
          <cell r="AN372">
            <v>6.6340000000000003</v>
          </cell>
          <cell r="AO372">
            <v>6.5138213452698768</v>
          </cell>
          <cell r="AP372">
            <v>6.6222991135366724</v>
          </cell>
          <cell r="AQ372">
            <v>6.7398860123037965</v>
          </cell>
          <cell r="AR372">
            <v>6.6613177812914417</v>
          </cell>
          <cell r="AS372">
            <v>6.7346466714682576</v>
          </cell>
          <cell r="AT372">
            <v>6.3555432113946102</v>
          </cell>
          <cell r="AU372">
            <v>6.6276414285714287</v>
          </cell>
          <cell r="AV372">
            <v>6.4897</v>
          </cell>
          <cell r="AW372">
            <v>6.6401088607594918</v>
          </cell>
          <cell r="AX372">
            <v>6.7519</v>
          </cell>
          <cell r="AZ372">
            <v>276</v>
          </cell>
          <cell r="BA372">
            <v>276</v>
          </cell>
          <cell r="BC372">
            <v>2038</v>
          </cell>
        </row>
        <row r="373">
          <cell r="D373">
            <v>50526</v>
          </cell>
          <cell r="E373">
            <v>57.91581</v>
          </cell>
          <cell r="F373">
            <v>60.259970000000003</v>
          </cell>
          <cell r="G373">
            <v>53.158079999999998</v>
          </cell>
          <cell r="H373">
            <v>58.391779999999997</v>
          </cell>
          <cell r="J373">
            <v>60.259970000000003</v>
          </cell>
          <cell r="K373">
            <v>60.259970000000003</v>
          </cell>
          <cell r="L373">
            <v>62.259970000000003</v>
          </cell>
          <cell r="M373">
            <v>49.027290000000001</v>
          </cell>
          <cell r="N373">
            <v>56.061059999999998</v>
          </cell>
          <cell r="O373">
            <v>44.62041</v>
          </cell>
          <cell r="P373">
            <v>49.266309999999997</v>
          </cell>
          <cell r="R373">
            <v>56.061059999999998</v>
          </cell>
          <cell r="S373">
            <v>55.561059999999998</v>
          </cell>
          <cell r="T373">
            <v>57.811059999999998</v>
          </cell>
          <cell r="U373">
            <v>53.806064193548387</v>
          </cell>
          <cell r="V373">
            <v>58.318538494623652</v>
          </cell>
          <cell r="W373">
            <v>49.210555161290316</v>
          </cell>
          <cell r="Z373">
            <v>58.31853849462366</v>
          </cell>
          <cell r="AC373">
            <v>6.4917999999999996</v>
          </cell>
          <cell r="AD373">
            <v>6.3891</v>
          </cell>
          <cell r="AE373">
            <v>6.4062000000000001</v>
          </cell>
          <cell r="AF373">
            <v>6.3891</v>
          </cell>
          <cell r="AG373">
            <v>6.5602999999999998</v>
          </cell>
          <cell r="AH373">
            <v>6.0465</v>
          </cell>
          <cell r="AI373">
            <v>6.7316000000000003</v>
          </cell>
          <cell r="AJ373">
            <v>6.6277999999999997</v>
          </cell>
          <cell r="AK373">
            <v>6.7576999999999998</v>
          </cell>
          <cell r="AL373">
            <v>6.5815000000000001</v>
          </cell>
          <cell r="AM373">
            <v>6.8076999999999996</v>
          </cell>
          <cell r="AN373">
            <v>6.5952999999999999</v>
          </cell>
          <cell r="AO373">
            <v>6.4793967281559244</v>
          </cell>
          <cell r="AP373">
            <v>6.5873098245435076</v>
          </cell>
          <cell r="AQ373">
            <v>6.6338564143924037</v>
          </cell>
          <cell r="AR373">
            <v>6.6263284922982759</v>
          </cell>
          <cell r="AS373">
            <v>6.8228244675378127</v>
          </cell>
          <cell r="AT373">
            <v>6.4715387027359359</v>
          </cell>
          <cell r="AU373">
            <v>6.5926414285714285</v>
          </cell>
          <cell r="AV373">
            <v>6.4211999999999998</v>
          </cell>
          <cell r="AW373">
            <v>6.5013746835443023</v>
          </cell>
          <cell r="AX373">
            <v>6.6078999999999999</v>
          </cell>
          <cell r="AZ373">
            <v>277</v>
          </cell>
          <cell r="BA373">
            <v>277</v>
          </cell>
          <cell r="BC373">
            <v>2038</v>
          </cell>
        </row>
        <row r="374">
          <cell r="D374">
            <v>50557</v>
          </cell>
          <cell r="E374">
            <v>63.11365</v>
          </cell>
          <cell r="F374">
            <v>64.565029999999993</v>
          </cell>
          <cell r="G374">
            <v>58.248660000000001</v>
          </cell>
          <cell r="H374">
            <v>64.90016</v>
          </cell>
          <cell r="J374">
            <v>63.81503</v>
          </cell>
          <cell r="K374">
            <v>64.565029999999993</v>
          </cell>
          <cell r="L374">
            <v>67.065029999999993</v>
          </cell>
          <cell r="M374">
            <v>51.213760000000001</v>
          </cell>
          <cell r="N374">
            <v>56.956429999999997</v>
          </cell>
          <cell r="O374">
            <v>46.699339999999999</v>
          </cell>
          <cell r="P374">
            <v>53.53904</v>
          </cell>
          <cell r="R374">
            <v>56.456429999999997</v>
          </cell>
          <cell r="S374">
            <v>56.456429999999997</v>
          </cell>
          <cell r="T374">
            <v>59.206429999999997</v>
          </cell>
          <cell r="U374">
            <v>58.089251999999995</v>
          </cell>
          <cell r="V374">
            <v>61.352509999999995</v>
          </cell>
          <cell r="W374">
            <v>53.372280444444442</v>
          </cell>
          <cell r="Z374">
            <v>60.70806555555555</v>
          </cell>
          <cell r="AC374">
            <v>6.4233000000000002</v>
          </cell>
          <cell r="AD374">
            <v>6.3205</v>
          </cell>
          <cell r="AE374">
            <v>6.4233000000000002</v>
          </cell>
          <cell r="AF374">
            <v>6.4917999999999996</v>
          </cell>
          <cell r="AG374">
            <v>6.5945999999999998</v>
          </cell>
          <cell r="AH374">
            <v>5.8752000000000004</v>
          </cell>
          <cell r="AI374">
            <v>6.7316000000000003</v>
          </cell>
          <cell r="AJ374">
            <v>6.5602999999999998</v>
          </cell>
          <cell r="AK374">
            <v>6.6902999999999997</v>
          </cell>
          <cell r="AL374">
            <v>6.5133999999999999</v>
          </cell>
          <cell r="AM374">
            <v>6.7403000000000004</v>
          </cell>
          <cell r="AN374">
            <v>6.5274999999999999</v>
          </cell>
          <cell r="AO374">
            <v>6.4106478572432204</v>
          </cell>
          <cell r="AP374">
            <v>6.5174332561460782</v>
          </cell>
          <cell r="AQ374">
            <v>6.6072845200253161</v>
          </cell>
          <cell r="AR374">
            <v>6.5564519239008474</v>
          </cell>
          <cell r="AS374">
            <v>6.9284937750797404</v>
          </cell>
          <cell r="AT374">
            <v>6.3885383953273909</v>
          </cell>
          <cell r="AU374">
            <v>6.5227434693877546</v>
          </cell>
          <cell r="AV374">
            <v>6.4382999999999999</v>
          </cell>
          <cell r="AW374">
            <v>6.4319063291139225</v>
          </cell>
          <cell r="AX374">
            <v>6.5411999999999999</v>
          </cell>
          <cell r="AZ374">
            <v>278</v>
          </cell>
          <cell r="BA374">
            <v>278</v>
          </cell>
          <cell r="BC374">
            <v>2038</v>
          </cell>
        </row>
        <row r="375">
          <cell r="D375">
            <v>50587</v>
          </cell>
          <cell r="E375">
            <v>69.974729999999994</v>
          </cell>
          <cell r="F375">
            <v>71.342669999999998</v>
          </cell>
          <cell r="G375">
            <v>64.724930000000001</v>
          </cell>
          <cell r="H375">
            <v>70.335130000000007</v>
          </cell>
          <cell r="J375">
            <v>76.342669999999998</v>
          </cell>
          <cell r="K375">
            <v>76.842669999999998</v>
          </cell>
          <cell r="L375">
            <v>75.592669999999998</v>
          </cell>
          <cell r="M375">
            <v>57.117280000000001</v>
          </cell>
          <cell r="N375">
            <v>59.775709999999997</v>
          </cell>
          <cell r="O375">
            <v>52.386510000000001</v>
          </cell>
          <cell r="P375">
            <v>57.525709999999997</v>
          </cell>
          <cell r="R375">
            <v>60.775709999999997</v>
          </cell>
          <cell r="S375">
            <v>60.775709999999997</v>
          </cell>
          <cell r="T375">
            <v>62.275709999999997</v>
          </cell>
          <cell r="U375">
            <v>64.306391827956986</v>
          </cell>
          <cell r="V375">
            <v>66.24325752688172</v>
          </cell>
          <cell r="W375">
            <v>59.285411505376338</v>
          </cell>
          <cell r="Z375">
            <v>69.479816666666665</v>
          </cell>
          <cell r="AC375">
            <v>6.5090000000000003</v>
          </cell>
          <cell r="AD375">
            <v>6.4062000000000001</v>
          </cell>
          <cell r="AE375">
            <v>6.5260999999999996</v>
          </cell>
          <cell r="AF375">
            <v>6.5602999999999998</v>
          </cell>
          <cell r="AG375">
            <v>6.6974</v>
          </cell>
          <cell r="AH375">
            <v>5.8581000000000003</v>
          </cell>
          <cell r="AI375">
            <v>6.8343999999999996</v>
          </cell>
          <cell r="AJ375">
            <v>6.6471999999999998</v>
          </cell>
          <cell r="AK375">
            <v>6.7773000000000003</v>
          </cell>
          <cell r="AL375">
            <v>6.5995999999999997</v>
          </cell>
          <cell r="AM375">
            <v>6.8273000000000001</v>
          </cell>
          <cell r="AN375">
            <v>6.6140999999999996</v>
          </cell>
          <cell r="AO375">
            <v>6.4966592183705014</v>
          </cell>
          <cell r="AP375">
            <v>6.6048554738345402</v>
          </cell>
          <cell r="AQ375">
            <v>6.704542812999998</v>
          </cell>
          <cell r="AR375">
            <v>6.6438741415893103</v>
          </cell>
          <cell r="AS375">
            <v>6.9989742771890109</v>
          </cell>
          <cell r="AT375">
            <v>6.4968486730197768</v>
          </cell>
          <cell r="AU375">
            <v>6.6101924489795918</v>
          </cell>
          <cell r="AV375">
            <v>6.5411000000000001</v>
          </cell>
          <cell r="AW375">
            <v>6.5186911392405049</v>
          </cell>
          <cell r="AX375">
            <v>6.6292</v>
          </cell>
          <cell r="AZ375">
            <v>279</v>
          </cell>
          <cell r="BA375">
            <v>279</v>
          </cell>
          <cell r="BC375">
            <v>2038</v>
          </cell>
        </row>
        <row r="376">
          <cell r="D376">
            <v>50618</v>
          </cell>
          <cell r="E376">
            <v>76.679270000000002</v>
          </cell>
          <cell r="F376">
            <v>75.912809999999993</v>
          </cell>
          <cell r="G376">
            <v>72.285889999999995</v>
          </cell>
          <cell r="H376">
            <v>74.348789999999994</v>
          </cell>
          <cell r="J376">
            <v>80.412809999999993</v>
          </cell>
          <cell r="K376">
            <v>81.412809999999993</v>
          </cell>
          <cell r="L376">
            <v>79.662809999999993</v>
          </cell>
          <cell r="M376">
            <v>61.156410000000001</v>
          </cell>
          <cell r="N376">
            <v>62.57555</v>
          </cell>
          <cell r="O376">
            <v>56.84789</v>
          </cell>
          <cell r="P376">
            <v>61.644889999999997</v>
          </cell>
          <cell r="R376">
            <v>63.57555</v>
          </cell>
          <cell r="S376">
            <v>63.57555</v>
          </cell>
          <cell r="T376">
            <v>65.075550000000007</v>
          </cell>
          <cell r="U376">
            <v>69.835858602150537</v>
          </cell>
          <cell r="V376">
            <v>70.032942688172042</v>
          </cell>
          <cell r="W376">
            <v>65.479889999999997</v>
          </cell>
          <cell r="Z376">
            <v>72.989931935483867</v>
          </cell>
          <cell r="AC376">
            <v>6.7145000000000001</v>
          </cell>
          <cell r="AD376">
            <v>6.6631</v>
          </cell>
          <cell r="AE376">
            <v>6.6459999999999999</v>
          </cell>
          <cell r="AF376">
            <v>6.5602999999999998</v>
          </cell>
          <cell r="AG376">
            <v>6.7488000000000001</v>
          </cell>
          <cell r="AH376">
            <v>6.2519999999999998</v>
          </cell>
          <cell r="AI376">
            <v>7.04</v>
          </cell>
          <cell r="AJ376">
            <v>6.8540000000000001</v>
          </cell>
          <cell r="AK376">
            <v>6.9840999999999998</v>
          </cell>
          <cell r="AL376">
            <v>6.8056000000000001</v>
          </cell>
          <cell r="AM376">
            <v>7.0340999999999996</v>
          </cell>
          <cell r="AN376">
            <v>6.8204000000000002</v>
          </cell>
          <cell r="AO376">
            <v>6.7029058311086125</v>
          </cell>
          <cell r="AP376">
            <v>6.8144851790268284</v>
          </cell>
          <cell r="AQ376">
            <v>6.8989562071265809</v>
          </cell>
          <cell r="AR376">
            <v>6.8535038467815976</v>
          </cell>
          <cell r="AS376">
            <v>6.9989742771890109</v>
          </cell>
          <cell r="AT376">
            <v>6.7074235270007172</v>
          </cell>
          <cell r="AU376">
            <v>6.8198863265306118</v>
          </cell>
          <cell r="AV376">
            <v>6.6609999999999996</v>
          </cell>
          <cell r="AW376">
            <v>6.7788430379746822</v>
          </cell>
          <cell r="AX376">
            <v>6.8883999999999999</v>
          </cell>
          <cell r="AZ376">
            <v>280</v>
          </cell>
          <cell r="BA376">
            <v>280</v>
          </cell>
          <cell r="BC376">
            <v>2038</v>
          </cell>
        </row>
        <row r="377">
          <cell r="D377">
            <v>50649</v>
          </cell>
          <cell r="E377">
            <v>71.378780000000006</v>
          </cell>
          <cell r="F377">
            <v>69.622820000000004</v>
          </cell>
          <cell r="G377">
            <v>71.102090000000004</v>
          </cell>
          <cell r="H377">
            <v>72.687690000000003</v>
          </cell>
          <cell r="J377">
            <v>72.622820000000004</v>
          </cell>
          <cell r="K377">
            <v>73.622820000000004</v>
          </cell>
          <cell r="L377">
            <v>72.622820000000004</v>
          </cell>
          <cell r="M377">
            <v>59.144939999999998</v>
          </cell>
          <cell r="N377">
            <v>60.154980000000002</v>
          </cell>
          <cell r="O377">
            <v>58.900849999999998</v>
          </cell>
          <cell r="P377">
            <v>58.628349999999998</v>
          </cell>
          <cell r="R377">
            <v>58.654980000000002</v>
          </cell>
          <cell r="S377">
            <v>58.654980000000002</v>
          </cell>
          <cell r="T377">
            <v>62.404980000000002</v>
          </cell>
          <cell r="U377">
            <v>65.94151777777779</v>
          </cell>
          <cell r="V377">
            <v>65.414891111111118</v>
          </cell>
          <cell r="W377">
            <v>65.679316666666665</v>
          </cell>
          <cell r="Z377">
            <v>66.414891111111118</v>
          </cell>
          <cell r="AC377">
            <v>6.5431999999999997</v>
          </cell>
          <cell r="AD377">
            <v>6.5431999999999997</v>
          </cell>
          <cell r="AE377">
            <v>6.4917999999999996</v>
          </cell>
          <cell r="AF377">
            <v>6.3891</v>
          </cell>
          <cell r="AG377">
            <v>6.5431999999999997</v>
          </cell>
          <cell r="AH377">
            <v>6.1321000000000003</v>
          </cell>
          <cell r="AI377">
            <v>6.8686999999999996</v>
          </cell>
          <cell r="AJ377">
            <v>6.6828000000000003</v>
          </cell>
          <cell r="AK377">
            <v>6.8129999999999997</v>
          </cell>
          <cell r="AL377">
            <v>6.6344000000000003</v>
          </cell>
          <cell r="AM377">
            <v>6.8630000000000004</v>
          </cell>
          <cell r="AN377">
            <v>6.6492000000000004</v>
          </cell>
          <cell r="AO377">
            <v>6.530983472169253</v>
          </cell>
          <cell r="AP377">
            <v>6.6397427532388047</v>
          </cell>
          <cell r="AQ377">
            <v>6.7575318139999982</v>
          </cell>
          <cell r="AR377">
            <v>6.6787614209935731</v>
          </cell>
          <cell r="AS377">
            <v>6.8228244675378127</v>
          </cell>
          <cell r="AT377">
            <v>6.5267697714929813</v>
          </cell>
          <cell r="AU377">
            <v>6.6450904081632656</v>
          </cell>
          <cell r="AV377">
            <v>6.5068000000000001</v>
          </cell>
          <cell r="AW377">
            <v>6.6574253164556945</v>
          </cell>
          <cell r="AX377">
            <v>6.7687999999999997</v>
          </cell>
          <cell r="AZ377">
            <v>281</v>
          </cell>
          <cell r="BA377">
            <v>281</v>
          </cell>
          <cell r="BC377">
            <v>2038</v>
          </cell>
        </row>
        <row r="378">
          <cell r="D378">
            <v>50679</v>
          </cell>
          <cell r="E378">
            <v>65.187089999999998</v>
          </cell>
          <cell r="F378">
            <v>66.390360000000001</v>
          </cell>
          <cell r="G378">
            <v>63.301119999999997</v>
          </cell>
          <cell r="H378">
            <v>65.088319999999996</v>
          </cell>
          <cell r="J378">
            <v>65.890360000000001</v>
          </cell>
          <cell r="K378">
            <v>66.390360000000001</v>
          </cell>
          <cell r="L378">
            <v>68.390360000000001</v>
          </cell>
          <cell r="M378">
            <v>54.726419999999997</v>
          </cell>
          <cell r="N378">
            <v>59.784520000000001</v>
          </cell>
          <cell r="O378">
            <v>54.29768</v>
          </cell>
          <cell r="P378">
            <v>57.701779999999999</v>
          </cell>
          <cell r="R378">
            <v>58.784520000000001</v>
          </cell>
          <cell r="S378">
            <v>58.284520000000001</v>
          </cell>
          <cell r="T378">
            <v>61.534520000000001</v>
          </cell>
          <cell r="U378">
            <v>60.57539677419355</v>
          </cell>
          <cell r="V378">
            <v>63.478107956989248</v>
          </cell>
          <cell r="W378">
            <v>59.331861505376352</v>
          </cell>
          <cell r="Z378">
            <v>62.757677849462361</v>
          </cell>
          <cell r="AC378">
            <v>6.5602999999999998</v>
          </cell>
          <cell r="AD378">
            <v>6.7145000000000001</v>
          </cell>
          <cell r="AE378">
            <v>6.6116999999999999</v>
          </cell>
          <cell r="AF378">
            <v>6.4062000000000001</v>
          </cell>
          <cell r="AG378">
            <v>6.5774999999999997</v>
          </cell>
          <cell r="AH378">
            <v>6.1493000000000002</v>
          </cell>
          <cell r="AI378">
            <v>6.8857999999999997</v>
          </cell>
          <cell r="AJ378">
            <v>6.7012999999999998</v>
          </cell>
          <cell r="AK378">
            <v>6.8315000000000001</v>
          </cell>
          <cell r="AL378">
            <v>6.6520999999999999</v>
          </cell>
          <cell r="AM378">
            <v>6.8815</v>
          </cell>
          <cell r="AN378">
            <v>6.6673</v>
          </cell>
          <cell r="AO378">
            <v>6.5481455990686275</v>
          </cell>
          <cell r="AP378">
            <v>6.6571863929409361</v>
          </cell>
          <cell r="AQ378">
            <v>6.9077791079746822</v>
          </cell>
          <cell r="AR378">
            <v>6.6962050606957053</v>
          </cell>
          <cell r="AS378">
            <v>6.8404188702541413</v>
          </cell>
          <cell r="AT378">
            <v>6.5468537964955429</v>
          </cell>
          <cell r="AU378">
            <v>6.6625393877551016</v>
          </cell>
          <cell r="AV378">
            <v>6.6266999999999996</v>
          </cell>
          <cell r="AW378">
            <v>6.8308936708860744</v>
          </cell>
          <cell r="AX378">
            <v>6.9425999999999997</v>
          </cell>
          <cell r="AZ378">
            <v>282</v>
          </cell>
          <cell r="BA378">
            <v>282</v>
          </cell>
          <cell r="BC378">
            <v>2038</v>
          </cell>
        </row>
        <row r="379">
          <cell r="D379">
            <v>50710</v>
          </cell>
          <cell r="E379">
            <v>70.674750000000003</v>
          </cell>
          <cell r="F379">
            <v>69.172150000000002</v>
          </cell>
          <cell r="G379">
            <v>69.534390000000002</v>
          </cell>
          <cell r="H379">
            <v>71.971890000000002</v>
          </cell>
          <cell r="J379">
            <v>68.672150000000002</v>
          </cell>
          <cell r="K379">
            <v>67.672150000000002</v>
          </cell>
          <cell r="L379">
            <v>71.172150000000002</v>
          </cell>
          <cell r="M379">
            <v>57.565199999999997</v>
          </cell>
          <cell r="N379">
            <v>60.85136</v>
          </cell>
          <cell r="O379">
            <v>56.052509999999998</v>
          </cell>
          <cell r="P379">
            <v>56.741410000000002</v>
          </cell>
          <cell r="R379">
            <v>60.35136</v>
          </cell>
          <cell r="S379">
            <v>59.35136</v>
          </cell>
          <cell r="T379">
            <v>62.60136</v>
          </cell>
          <cell r="U379">
            <v>64.838181969486826</v>
          </cell>
          <cell r="V379">
            <v>65.467609653259373</v>
          </cell>
          <cell r="W379">
            <v>63.532055076282944</v>
          </cell>
          <cell r="Z379">
            <v>64.967609653259359</v>
          </cell>
          <cell r="AC379">
            <v>6.6631</v>
          </cell>
          <cell r="AD379">
            <v>7.0742000000000003</v>
          </cell>
          <cell r="AE379">
            <v>6.8686999999999996</v>
          </cell>
          <cell r="AF379">
            <v>6.5431999999999997</v>
          </cell>
          <cell r="AG379">
            <v>6.6459999999999999</v>
          </cell>
          <cell r="AH379">
            <v>6.2862999999999998</v>
          </cell>
          <cell r="AI379">
            <v>7.0228000000000002</v>
          </cell>
          <cell r="AJ379">
            <v>6.8105000000000002</v>
          </cell>
          <cell r="AK379">
            <v>6.9412000000000003</v>
          </cell>
          <cell r="AL379">
            <v>6.7576000000000001</v>
          </cell>
          <cell r="AM379">
            <v>6.9912000000000001</v>
          </cell>
          <cell r="AN379">
            <v>6.7746000000000004</v>
          </cell>
          <cell r="AO379">
            <v>6.6513190870952847</v>
          </cell>
          <cell r="AP379">
            <v>6.7620522503315312</v>
          </cell>
          <cell r="AQ379">
            <v>7.2259710935316441</v>
          </cell>
          <cell r="AR379">
            <v>6.8010709180863005</v>
          </cell>
          <cell r="AS379">
            <v>6.9813798744726823</v>
          </cell>
          <cell r="AT379">
            <v>6.7290445947330673</v>
          </cell>
          <cell r="AU379">
            <v>6.7674373469387747</v>
          </cell>
          <cell r="AV379">
            <v>6.8837000000000002</v>
          </cell>
          <cell r="AW379">
            <v>7.1951468354430368</v>
          </cell>
          <cell r="AX379">
            <v>7.3413000000000004</v>
          </cell>
          <cell r="AZ379">
            <v>283</v>
          </cell>
          <cell r="BA379">
            <v>283</v>
          </cell>
          <cell r="BC379">
            <v>2038</v>
          </cell>
        </row>
        <row r="380">
          <cell r="D380">
            <v>50740</v>
          </cell>
          <cell r="E380">
            <v>73.124529999999993</v>
          </cell>
          <cell r="F380">
            <v>70.261939999999996</v>
          </cell>
          <cell r="G380">
            <v>74.881860000000003</v>
          </cell>
          <cell r="H380">
            <v>77.609660000000005</v>
          </cell>
          <cell r="J380">
            <v>69.761939999999996</v>
          </cell>
          <cell r="K380">
            <v>69.511939999999996</v>
          </cell>
          <cell r="L380">
            <v>72.261939999999996</v>
          </cell>
          <cell r="M380">
            <v>63.734270000000002</v>
          </cell>
          <cell r="N380">
            <v>63.779890000000002</v>
          </cell>
          <cell r="O380">
            <v>62.373440000000002</v>
          </cell>
          <cell r="P380">
            <v>65.187939999999998</v>
          </cell>
          <cell r="R380">
            <v>63.279890000000002</v>
          </cell>
          <cell r="S380">
            <v>62.779890000000002</v>
          </cell>
          <cell r="T380">
            <v>65.529889999999995</v>
          </cell>
          <cell r="U380">
            <v>68.98473795698925</v>
          </cell>
          <cell r="V380">
            <v>67.404262043010746</v>
          </cell>
          <cell r="W380">
            <v>69.367395268817205</v>
          </cell>
          <cell r="Z380">
            <v>66.904262043010746</v>
          </cell>
          <cell r="AC380">
            <v>6.9885999999999999</v>
          </cell>
          <cell r="AD380">
            <v>7.3997000000000002</v>
          </cell>
          <cell r="AE380">
            <v>7.1940999999999997</v>
          </cell>
          <cell r="AF380">
            <v>6.9885999999999999</v>
          </cell>
          <cell r="AG380">
            <v>7.0057</v>
          </cell>
          <cell r="AH380">
            <v>6.5602999999999998</v>
          </cell>
          <cell r="AI380">
            <v>7.2968999999999999</v>
          </cell>
          <cell r="AJ380">
            <v>7.1413000000000002</v>
          </cell>
          <cell r="AK380">
            <v>7.2723000000000004</v>
          </cell>
          <cell r="AL380">
            <v>7.0853000000000002</v>
          </cell>
          <cell r="AM380">
            <v>7.3223000000000003</v>
          </cell>
          <cell r="AN380">
            <v>7.1036999999999999</v>
          </cell>
          <cell r="AO380">
            <v>6.9780016780746292</v>
          </cell>
          <cell r="AP380">
            <v>7.0940934622054472</v>
          </cell>
          <cell r="AQ380">
            <v>7.5618088807848096</v>
          </cell>
          <cell r="AR380">
            <v>7.1331121299602165</v>
          </cell>
          <cell r="AS380">
            <v>7.4396574750488735</v>
          </cell>
          <cell r="AT380">
            <v>7.0446507019161801</v>
          </cell>
          <cell r="AU380">
            <v>7.099580204081632</v>
          </cell>
          <cell r="AV380">
            <v>7.2091000000000003</v>
          </cell>
          <cell r="AW380">
            <v>7.5247670886075939</v>
          </cell>
          <cell r="AX380">
            <v>7.6768000000000001</v>
          </cell>
          <cell r="AZ380">
            <v>284</v>
          </cell>
          <cell r="BA380">
            <v>284</v>
          </cell>
          <cell r="BC380">
            <v>2038</v>
          </cell>
        </row>
        <row r="381">
          <cell r="D381">
            <v>50771</v>
          </cell>
          <cell r="E381">
            <v>72.531350000000003</v>
          </cell>
          <cell r="F381">
            <v>72.635739999999998</v>
          </cell>
          <cell r="G381">
            <v>71.307069999999996</v>
          </cell>
          <cell r="H381">
            <v>75.115570000000005</v>
          </cell>
          <cell r="J381">
            <v>72.135739999999998</v>
          </cell>
          <cell r="K381">
            <v>72.135739999999998</v>
          </cell>
          <cell r="L381">
            <v>74.885739999999998</v>
          </cell>
          <cell r="M381">
            <v>63.954459999999997</v>
          </cell>
          <cell r="N381">
            <v>66.160020000000003</v>
          </cell>
          <cell r="O381">
            <v>60.788829999999997</v>
          </cell>
          <cell r="P381">
            <v>64.033330000000007</v>
          </cell>
          <cell r="R381">
            <v>65.660020000000003</v>
          </cell>
          <cell r="S381">
            <v>65.660020000000003</v>
          </cell>
          <cell r="T381">
            <v>68.410020000000003</v>
          </cell>
          <cell r="U381">
            <v>68.565691182795703</v>
          </cell>
          <cell r="V381">
            <v>69.641589892473107</v>
          </cell>
          <cell r="W381">
            <v>66.443797741935484</v>
          </cell>
          <cell r="Z381">
            <v>69.141589892473121</v>
          </cell>
          <cell r="AC381">
            <v>7.1668000000000003</v>
          </cell>
          <cell r="AD381">
            <v>7.4120999999999997</v>
          </cell>
          <cell r="AE381">
            <v>7.3771000000000004</v>
          </cell>
          <cell r="AF381">
            <v>7.1318000000000001</v>
          </cell>
          <cell r="AG381">
            <v>7.1143000000000001</v>
          </cell>
          <cell r="AH381">
            <v>6.4833999999999996</v>
          </cell>
          <cell r="AI381">
            <v>7.5698999999999996</v>
          </cell>
          <cell r="AJ381">
            <v>7.3239999999999998</v>
          </cell>
          <cell r="AK381">
            <v>7.4551999999999996</v>
          </cell>
          <cell r="AL381">
            <v>7.2653999999999996</v>
          </cell>
          <cell r="AM381">
            <v>7.5052000000000003</v>
          </cell>
          <cell r="AN381">
            <v>7.2850000000000001</v>
          </cell>
          <cell r="AO381">
            <v>7.1568491057628609</v>
          </cell>
          <cell r="AP381">
            <v>7.2758745496276651</v>
          </cell>
          <cell r="AQ381">
            <v>7.6626272916455687</v>
          </cell>
          <cell r="AR381">
            <v>7.3148932173824344</v>
          </cell>
          <cell r="AS381">
            <v>7.5869977363926333</v>
          </cell>
          <cell r="AT381">
            <v>7.3015417768213968</v>
          </cell>
          <cell r="AU381">
            <v>7.2814169387755099</v>
          </cell>
          <cell r="AV381">
            <v>7.3921000000000001</v>
          </cell>
          <cell r="AW381">
            <v>7.5373240506329093</v>
          </cell>
          <cell r="AX381">
            <v>7.6974</v>
          </cell>
          <cell r="AZ381">
            <v>285</v>
          </cell>
          <cell r="BA381">
            <v>285</v>
          </cell>
          <cell r="BC381">
            <v>2039</v>
          </cell>
        </row>
        <row r="382">
          <cell r="D382">
            <v>50802</v>
          </cell>
          <cell r="E382">
            <v>73.852620000000002</v>
          </cell>
          <cell r="F382">
            <v>72.148619999999994</v>
          </cell>
          <cell r="G382">
            <v>77.057980000000001</v>
          </cell>
          <cell r="H382">
            <v>81.015979999999999</v>
          </cell>
          <cell r="J382">
            <v>72.148619999999994</v>
          </cell>
          <cell r="K382">
            <v>71.148619999999994</v>
          </cell>
          <cell r="L382">
            <v>74.398619999999994</v>
          </cell>
          <cell r="M382">
            <v>62.845170000000003</v>
          </cell>
          <cell r="N382">
            <v>67.455759999999998</v>
          </cell>
          <cell r="O382">
            <v>65.016559999999998</v>
          </cell>
          <cell r="P382">
            <v>67.902860000000004</v>
          </cell>
          <cell r="R382">
            <v>66.955759999999998</v>
          </cell>
          <cell r="S382">
            <v>66.205759999999998</v>
          </cell>
          <cell r="T382">
            <v>69.455759999999998</v>
          </cell>
          <cell r="U382">
            <v>69.13514142857143</v>
          </cell>
          <cell r="V382">
            <v>70.137394285714279</v>
          </cell>
          <cell r="W382">
            <v>71.897371428571432</v>
          </cell>
          <cell r="Z382">
            <v>69.923108571428571</v>
          </cell>
          <cell r="AC382">
            <v>7.1844000000000001</v>
          </cell>
          <cell r="AD382">
            <v>7.6223999999999998</v>
          </cell>
          <cell r="AE382">
            <v>7.4120999999999997</v>
          </cell>
          <cell r="AF382">
            <v>7.1143000000000001</v>
          </cell>
          <cell r="AG382">
            <v>7.1668000000000003</v>
          </cell>
          <cell r="AH382">
            <v>6.6936999999999998</v>
          </cell>
          <cell r="AI382">
            <v>7.4821999999999997</v>
          </cell>
          <cell r="AJ382">
            <v>7.3409000000000004</v>
          </cell>
          <cell r="AK382">
            <v>7.4722</v>
          </cell>
          <cell r="AL382">
            <v>7.2827000000000002</v>
          </cell>
          <cell r="AM382">
            <v>7.5221999999999998</v>
          </cell>
          <cell r="AN382">
            <v>7.3022</v>
          </cell>
          <cell r="AO382">
            <v>7.1745130492382421</v>
          </cell>
          <cell r="AP382">
            <v>7.2938282372743037</v>
          </cell>
          <cell r="AQ382">
            <v>7.7891920622911375</v>
          </cell>
          <cell r="AR382">
            <v>7.332846905029073</v>
          </cell>
          <cell r="AS382">
            <v>7.5689917687004833</v>
          </cell>
          <cell r="AT382">
            <v>7.3349468388154531</v>
          </cell>
          <cell r="AU382">
            <v>7.2993761224489795</v>
          </cell>
          <cell r="AV382">
            <v>7.4271000000000003</v>
          </cell>
          <cell r="AW382">
            <v>7.750286075949365</v>
          </cell>
          <cell r="AX382">
            <v>7.9066999999999998</v>
          </cell>
          <cell r="AZ382">
            <v>286</v>
          </cell>
          <cell r="BA382">
            <v>286</v>
          </cell>
          <cell r="BC382">
            <v>2039</v>
          </cell>
        </row>
        <row r="383">
          <cell r="D383">
            <v>50830</v>
          </cell>
          <cell r="E383">
            <v>64.910640000000001</v>
          </cell>
          <cell r="F383">
            <v>68.386679999999998</v>
          </cell>
          <cell r="G383">
            <v>63.887169999999998</v>
          </cell>
          <cell r="H383">
            <v>67.685670000000002</v>
          </cell>
          <cell r="J383">
            <v>68.386679999999998</v>
          </cell>
          <cell r="K383">
            <v>67.386679999999998</v>
          </cell>
          <cell r="L383">
            <v>70.636679999999998</v>
          </cell>
          <cell r="M383">
            <v>58.881839999999997</v>
          </cell>
          <cell r="N383">
            <v>63.399349999999998</v>
          </cell>
          <cell r="O383">
            <v>55.896999999999998</v>
          </cell>
          <cell r="P383">
            <v>59.092500000000001</v>
          </cell>
          <cell r="R383">
            <v>62.899349999999998</v>
          </cell>
          <cell r="S383">
            <v>61.899349999999998</v>
          </cell>
          <cell r="T383">
            <v>65.399349999999998</v>
          </cell>
          <cell r="U383">
            <v>62.387144979811573</v>
          </cell>
          <cell r="V383">
            <v>66.299116567967701</v>
          </cell>
          <cell r="W383">
            <v>60.54269776581426</v>
          </cell>
          <cell r="Z383">
            <v>66.089829892328396</v>
          </cell>
          <cell r="AC383">
            <v>6.9741</v>
          </cell>
          <cell r="AD383">
            <v>7.0442</v>
          </cell>
          <cell r="AE383">
            <v>6.9565999999999999</v>
          </cell>
          <cell r="AF383">
            <v>6.7812999999999999</v>
          </cell>
          <cell r="AG383">
            <v>6.9565999999999999</v>
          </cell>
          <cell r="AH383">
            <v>6.6761999999999997</v>
          </cell>
          <cell r="AI383">
            <v>7.1668000000000003</v>
          </cell>
          <cell r="AJ383">
            <v>7.1285999999999996</v>
          </cell>
          <cell r="AK383">
            <v>7.2595999999999998</v>
          </cell>
          <cell r="AL383">
            <v>7.0715000000000003</v>
          </cell>
          <cell r="AM383">
            <v>7.3095999999999997</v>
          </cell>
          <cell r="AN383">
            <v>7.0903999999999998</v>
          </cell>
          <cell r="AO383">
            <v>6.963448997370481</v>
          </cell>
          <cell r="AP383">
            <v>7.0793020718147508</v>
          </cell>
          <cell r="AQ383">
            <v>7.2558451262278476</v>
          </cell>
          <cell r="AR383">
            <v>7.1183207395695201</v>
          </cell>
          <cell r="AS383">
            <v>7.2263639263298689</v>
          </cell>
          <cell r="AT383">
            <v>6.9170761553437856</v>
          </cell>
          <cell r="AU383">
            <v>7.0847842857142851</v>
          </cell>
          <cell r="AV383">
            <v>6.9715999999999996</v>
          </cell>
          <cell r="AW383">
            <v>7.1647670886075936</v>
          </cell>
          <cell r="AX383">
            <v>7.3244999999999996</v>
          </cell>
          <cell r="AZ383">
            <v>287</v>
          </cell>
          <cell r="BA383">
            <v>287</v>
          </cell>
          <cell r="BC383">
            <v>2039</v>
          </cell>
        </row>
        <row r="384">
          <cell r="D384">
            <v>50861</v>
          </cell>
          <cell r="E384">
            <v>62.990630000000003</v>
          </cell>
          <cell r="F384">
            <v>65.145039999999995</v>
          </cell>
          <cell r="G384">
            <v>60.77617</v>
          </cell>
          <cell r="H384">
            <v>62.274769999999997</v>
          </cell>
          <cell r="J384">
            <v>63.645040000000002</v>
          </cell>
          <cell r="K384">
            <v>63.645040000000002</v>
          </cell>
          <cell r="L384">
            <v>67.145039999999995</v>
          </cell>
          <cell r="M384">
            <v>57.253920000000001</v>
          </cell>
          <cell r="N384">
            <v>62.07985</v>
          </cell>
          <cell r="O384">
            <v>54.56429</v>
          </cell>
          <cell r="P384">
            <v>61.239890000000003</v>
          </cell>
          <cell r="R384">
            <v>61.32985</v>
          </cell>
          <cell r="S384">
            <v>61.07985</v>
          </cell>
          <cell r="T384">
            <v>64.079849999999993</v>
          </cell>
          <cell r="U384">
            <v>60.568463555555546</v>
          </cell>
          <cell r="V384">
            <v>63.850848666666664</v>
          </cell>
          <cell r="W384">
            <v>58.153376222222228</v>
          </cell>
          <cell r="Z384">
            <v>62.667515333333334</v>
          </cell>
          <cell r="AC384">
            <v>6.7287999999999997</v>
          </cell>
          <cell r="AD384">
            <v>6.7287999999999997</v>
          </cell>
          <cell r="AE384">
            <v>6.6410999999999998</v>
          </cell>
          <cell r="AF384">
            <v>6.4484000000000004</v>
          </cell>
          <cell r="AG384">
            <v>6.7462999999999997</v>
          </cell>
          <cell r="AH384">
            <v>6.3783000000000003</v>
          </cell>
          <cell r="AI384">
            <v>6.9390000000000001</v>
          </cell>
          <cell r="AJ384">
            <v>6.8711000000000002</v>
          </cell>
          <cell r="AK384">
            <v>7.0014000000000003</v>
          </cell>
          <cell r="AL384">
            <v>6.8211000000000004</v>
          </cell>
          <cell r="AM384">
            <v>7.0514000000000001</v>
          </cell>
          <cell r="AN384">
            <v>6.8367000000000004</v>
          </cell>
          <cell r="AO384">
            <v>6.7172577851823601</v>
          </cell>
          <cell r="AP384">
            <v>6.8290725502397231</v>
          </cell>
          <cell r="AQ384">
            <v>6.9303265212531633</v>
          </cell>
          <cell r="AR384">
            <v>6.8680912179944915</v>
          </cell>
          <cell r="AS384">
            <v>6.8838389752032105</v>
          </cell>
          <cell r="AT384">
            <v>6.5632489189466137</v>
          </cell>
          <cell r="AU384">
            <v>6.834478163265306</v>
          </cell>
          <cell r="AV384">
            <v>6.6561000000000003</v>
          </cell>
          <cell r="AW384">
            <v>6.8453746835443017</v>
          </cell>
          <cell r="AX384">
            <v>6.9545000000000003</v>
          </cell>
          <cell r="AZ384">
            <v>288</v>
          </cell>
          <cell r="BA384">
            <v>288</v>
          </cell>
          <cell r="BC384">
            <v>2039</v>
          </cell>
        </row>
        <row r="385">
          <cell r="D385">
            <v>50891</v>
          </cell>
          <cell r="E385">
            <v>60.229599999999998</v>
          </cell>
          <cell r="F385">
            <v>62.796999999999997</v>
          </cell>
          <cell r="G385">
            <v>55.268059999999998</v>
          </cell>
          <cell r="H385">
            <v>60.501759999999997</v>
          </cell>
          <cell r="J385">
            <v>62.796999999999997</v>
          </cell>
          <cell r="K385">
            <v>62.796999999999997</v>
          </cell>
          <cell r="L385">
            <v>64.796999999999997</v>
          </cell>
          <cell r="M385">
            <v>49.98724</v>
          </cell>
          <cell r="N385">
            <v>58.210610000000003</v>
          </cell>
          <cell r="O385">
            <v>45.483020000000003</v>
          </cell>
          <cell r="P385">
            <v>50.128920000000001</v>
          </cell>
          <cell r="R385">
            <v>58.210610000000003</v>
          </cell>
          <cell r="S385">
            <v>57.710610000000003</v>
          </cell>
          <cell r="T385">
            <v>59.960610000000003</v>
          </cell>
          <cell r="U385">
            <v>55.493885161290322</v>
          </cell>
          <cell r="V385">
            <v>60.676411075268817</v>
          </cell>
          <cell r="W385">
            <v>50.743794193548389</v>
          </cell>
          <cell r="Z385">
            <v>60.676411075268817</v>
          </cell>
          <cell r="AC385">
            <v>6.7287999999999997</v>
          </cell>
          <cell r="AD385">
            <v>6.6410999999999998</v>
          </cell>
          <cell r="AE385">
            <v>6.6410999999999998</v>
          </cell>
          <cell r="AF385">
            <v>6.5711000000000004</v>
          </cell>
          <cell r="AG385">
            <v>6.7637999999999998</v>
          </cell>
          <cell r="AH385">
            <v>6.3433000000000002</v>
          </cell>
          <cell r="AI385">
            <v>6.9565999999999999</v>
          </cell>
          <cell r="AJ385">
            <v>6.8647999999999998</v>
          </cell>
          <cell r="AK385">
            <v>6.9946999999999999</v>
          </cell>
          <cell r="AL385">
            <v>6.8183999999999996</v>
          </cell>
          <cell r="AM385">
            <v>7.0446999999999997</v>
          </cell>
          <cell r="AN385">
            <v>6.8323</v>
          </cell>
          <cell r="AO385">
            <v>6.7172577851823601</v>
          </cell>
          <cell r="AP385">
            <v>6.8290725502397231</v>
          </cell>
          <cell r="AQ385">
            <v>6.8850769069620243</v>
          </cell>
          <cell r="AR385">
            <v>6.8680912179944915</v>
          </cell>
          <cell r="AS385">
            <v>7.0100865315361665</v>
          </cell>
          <cell r="AT385">
            <v>6.7143914540424223</v>
          </cell>
          <cell r="AU385">
            <v>6.834478163265306</v>
          </cell>
          <cell r="AV385">
            <v>6.6561000000000003</v>
          </cell>
          <cell r="AW385">
            <v>6.7565645569620241</v>
          </cell>
          <cell r="AX385">
            <v>6.8598999999999997</v>
          </cell>
          <cell r="AZ385">
            <v>289</v>
          </cell>
          <cell r="BA385">
            <v>289</v>
          </cell>
          <cell r="BC385">
            <v>2039</v>
          </cell>
        </row>
        <row r="386">
          <cell r="D386">
            <v>50922</v>
          </cell>
          <cell r="E386">
            <v>66.250720000000001</v>
          </cell>
          <cell r="F386">
            <v>67.914540000000002</v>
          </cell>
          <cell r="G386">
            <v>61.105519999999999</v>
          </cell>
          <cell r="H386">
            <v>67.757019999999997</v>
          </cell>
          <cell r="J386">
            <v>67.164540000000002</v>
          </cell>
          <cell r="K386">
            <v>67.914540000000002</v>
          </cell>
          <cell r="L386">
            <v>70.414540000000002</v>
          </cell>
          <cell r="M386">
            <v>53.613520000000001</v>
          </cell>
          <cell r="N386">
            <v>59.220370000000003</v>
          </cell>
          <cell r="O386">
            <v>48.941519999999997</v>
          </cell>
          <cell r="P386">
            <v>55.781219999999998</v>
          </cell>
          <cell r="R386">
            <v>58.720370000000003</v>
          </cell>
          <cell r="S386">
            <v>58.720370000000003</v>
          </cell>
          <cell r="T386">
            <v>61.470370000000003</v>
          </cell>
          <cell r="U386">
            <v>60.915013333333334</v>
          </cell>
          <cell r="V386">
            <v>64.243668222222226</v>
          </cell>
          <cell r="W386">
            <v>55.969608888888885</v>
          </cell>
          <cell r="Z386">
            <v>63.59922377777778</v>
          </cell>
          <cell r="AC386">
            <v>6.6235999999999997</v>
          </cell>
          <cell r="AD386">
            <v>6.5185000000000004</v>
          </cell>
          <cell r="AE386">
            <v>6.6235999999999997</v>
          </cell>
          <cell r="AF386">
            <v>6.7111999999999998</v>
          </cell>
          <cell r="AG386">
            <v>6.7988</v>
          </cell>
          <cell r="AH386">
            <v>6.0629</v>
          </cell>
          <cell r="AI386">
            <v>6.9565999999999999</v>
          </cell>
          <cell r="AJ386">
            <v>6.7606000000000002</v>
          </cell>
          <cell r="AK386">
            <v>6.8906000000000001</v>
          </cell>
          <cell r="AL386">
            <v>6.7137000000000002</v>
          </cell>
          <cell r="AM386">
            <v>6.9405999999999999</v>
          </cell>
          <cell r="AN386">
            <v>6.7278000000000002</v>
          </cell>
          <cell r="AO386">
            <v>6.6116755775908782</v>
          </cell>
          <cell r="AP386">
            <v>6.7217584627154947</v>
          </cell>
          <cell r="AQ386">
            <v>6.8127910351012648</v>
          </cell>
          <cell r="AR386">
            <v>6.760777130470264</v>
          </cell>
          <cell r="AS386">
            <v>7.1542371643173164</v>
          </cell>
          <cell r="AT386">
            <v>6.5937848345117329</v>
          </cell>
          <cell r="AU386">
            <v>6.7271312244897956</v>
          </cell>
          <cell r="AV386">
            <v>6.6386000000000003</v>
          </cell>
          <cell r="AW386">
            <v>6.6324126582278469</v>
          </cell>
          <cell r="AX386">
            <v>6.7392000000000003</v>
          </cell>
          <cell r="AZ386">
            <v>290</v>
          </cell>
          <cell r="BA386">
            <v>290</v>
          </cell>
          <cell r="BC386">
            <v>2039</v>
          </cell>
        </row>
        <row r="387">
          <cell r="D387">
            <v>50952</v>
          </cell>
          <cell r="E387">
            <v>72.826539999999994</v>
          </cell>
          <cell r="F387">
            <v>74.634500000000003</v>
          </cell>
          <cell r="G387">
            <v>67.336190000000002</v>
          </cell>
          <cell r="H387">
            <v>72.946389999999994</v>
          </cell>
          <cell r="J387">
            <v>79.634500000000003</v>
          </cell>
          <cell r="K387">
            <v>80.134500000000003</v>
          </cell>
          <cell r="L387">
            <v>78.884500000000003</v>
          </cell>
          <cell r="M387">
            <v>59.923630000000003</v>
          </cell>
          <cell r="N387">
            <v>62.660780000000003</v>
          </cell>
          <cell r="O387">
            <v>55.000830000000001</v>
          </cell>
          <cell r="P387">
            <v>60.140030000000003</v>
          </cell>
          <cell r="R387">
            <v>63.660780000000003</v>
          </cell>
          <cell r="S387">
            <v>63.660780000000003</v>
          </cell>
          <cell r="T387">
            <v>65.160780000000003</v>
          </cell>
          <cell r="U387">
            <v>66.860678387096769</v>
          </cell>
          <cell r="V387">
            <v>69.098263870967742</v>
          </cell>
          <cell r="W387">
            <v>61.632743978494624</v>
          </cell>
          <cell r="Z387">
            <v>72.248801505376363</v>
          </cell>
          <cell r="AC387">
            <v>6.7287999999999997</v>
          </cell>
          <cell r="AD387">
            <v>6.6060999999999996</v>
          </cell>
          <cell r="AE387">
            <v>6.7111999999999998</v>
          </cell>
          <cell r="AF387">
            <v>6.7988</v>
          </cell>
          <cell r="AG387">
            <v>6.9039999999999999</v>
          </cell>
          <cell r="AH387">
            <v>6.0278</v>
          </cell>
          <cell r="AI387">
            <v>7.0792000000000002</v>
          </cell>
          <cell r="AJ387">
            <v>6.867</v>
          </cell>
          <cell r="AK387">
            <v>6.9970999999999997</v>
          </cell>
          <cell r="AL387">
            <v>6.8193999999999999</v>
          </cell>
          <cell r="AM387">
            <v>7.0471000000000004</v>
          </cell>
          <cell r="AN387">
            <v>6.8338999999999999</v>
          </cell>
          <cell r="AO387">
            <v>6.7172577851823601</v>
          </cell>
          <cell r="AP387">
            <v>6.8290725502397231</v>
          </cell>
          <cell r="AQ387">
            <v>6.9031870718607591</v>
          </cell>
          <cell r="AR387">
            <v>6.8680912179944915</v>
          </cell>
          <cell r="AS387">
            <v>7.2443698940220189</v>
          </cell>
          <cell r="AT387">
            <v>6.7220766676913621</v>
          </cell>
          <cell r="AU387">
            <v>6.834478163265306</v>
          </cell>
          <cell r="AV387">
            <v>6.7262000000000004</v>
          </cell>
          <cell r="AW387">
            <v>6.7211215189873403</v>
          </cell>
          <cell r="AX387">
            <v>6.8292000000000002</v>
          </cell>
          <cell r="AZ387">
            <v>291</v>
          </cell>
          <cell r="BA387">
            <v>291</v>
          </cell>
          <cell r="BC387">
            <v>2039</v>
          </cell>
        </row>
        <row r="388">
          <cell r="D388">
            <v>50983</v>
          </cell>
          <cell r="E388">
            <v>79.866510000000005</v>
          </cell>
          <cell r="F388">
            <v>79.142889999999994</v>
          </cell>
          <cell r="G388">
            <v>75.251170000000002</v>
          </cell>
          <cell r="H388">
            <v>77.314070000000001</v>
          </cell>
          <cell r="J388">
            <v>83.642889999999994</v>
          </cell>
          <cell r="K388">
            <v>84.642889999999994</v>
          </cell>
          <cell r="L388">
            <v>82.892889999999994</v>
          </cell>
          <cell r="M388">
            <v>63.257550000000002</v>
          </cell>
          <cell r="N388">
            <v>64.868129999999994</v>
          </cell>
          <cell r="O388">
            <v>58.743989999999997</v>
          </cell>
          <cell r="P388">
            <v>63.540990000000001</v>
          </cell>
          <cell r="R388">
            <v>65.868129999999994</v>
          </cell>
          <cell r="S388">
            <v>65.868129999999994</v>
          </cell>
          <cell r="T388">
            <v>67.368129999999994</v>
          </cell>
          <cell r="U388">
            <v>72.901462258064527</v>
          </cell>
          <cell r="V388">
            <v>73.156700322580633</v>
          </cell>
          <cell r="W388">
            <v>68.328804193548379</v>
          </cell>
          <cell r="Z388">
            <v>76.188958387096775</v>
          </cell>
          <cell r="AC388">
            <v>6.9390000000000001</v>
          </cell>
          <cell r="AD388">
            <v>6.8689</v>
          </cell>
          <cell r="AE388">
            <v>6.8338999999999999</v>
          </cell>
          <cell r="AF388">
            <v>6.7637999999999998</v>
          </cell>
          <cell r="AG388">
            <v>6.9565999999999999</v>
          </cell>
          <cell r="AH388">
            <v>6.4659000000000004</v>
          </cell>
          <cell r="AI388">
            <v>7.2544000000000004</v>
          </cell>
          <cell r="AJ388">
            <v>7.0785</v>
          </cell>
          <cell r="AK388">
            <v>7.2085999999999997</v>
          </cell>
          <cell r="AL388">
            <v>7.0301</v>
          </cell>
          <cell r="AM388">
            <v>7.2586000000000004</v>
          </cell>
          <cell r="AN388">
            <v>7.0449999999999999</v>
          </cell>
          <cell r="AO388">
            <v>6.9282214737349204</v>
          </cell>
          <cell r="AP388">
            <v>7.0434967061103739</v>
          </cell>
          <cell r="AQ388">
            <v>7.1020893102784797</v>
          </cell>
          <cell r="AR388">
            <v>7.0825153738651441</v>
          </cell>
          <cell r="AS388">
            <v>7.2083579586377198</v>
          </cell>
          <cell r="AT388">
            <v>6.9374675888923045</v>
          </cell>
          <cell r="AU388">
            <v>7.0489679591836731</v>
          </cell>
          <cell r="AV388">
            <v>6.8489000000000004</v>
          </cell>
          <cell r="AW388">
            <v>6.9872481012658216</v>
          </cell>
          <cell r="AX388">
            <v>7.0942999999999996</v>
          </cell>
          <cell r="AZ388">
            <v>292</v>
          </cell>
          <cell r="BA388">
            <v>292</v>
          </cell>
          <cell r="BC388">
            <v>2039</v>
          </cell>
        </row>
        <row r="389">
          <cell r="D389">
            <v>51014</v>
          </cell>
          <cell r="E389">
            <v>73.877110000000002</v>
          </cell>
          <cell r="F389">
            <v>72.728660000000005</v>
          </cell>
          <cell r="G389">
            <v>73.273079999999993</v>
          </cell>
          <cell r="H389">
            <v>74.858680000000007</v>
          </cell>
          <cell r="J389">
            <v>75.728660000000005</v>
          </cell>
          <cell r="K389">
            <v>76.728660000000005</v>
          </cell>
          <cell r="L389">
            <v>75.728660000000005</v>
          </cell>
          <cell r="M389">
            <v>61.661079999999998</v>
          </cell>
          <cell r="N389">
            <v>62.703490000000002</v>
          </cell>
          <cell r="O389">
            <v>61.40934</v>
          </cell>
          <cell r="P389">
            <v>61.136839999999999</v>
          </cell>
          <cell r="R389">
            <v>61.203490000000002</v>
          </cell>
          <cell r="S389">
            <v>61.203490000000002</v>
          </cell>
          <cell r="T389">
            <v>64.953490000000002</v>
          </cell>
          <cell r="U389">
            <v>68.447763333333342</v>
          </cell>
          <cell r="V389">
            <v>68.273028888888888</v>
          </cell>
          <cell r="W389">
            <v>68.00030666666666</v>
          </cell>
          <cell r="Z389">
            <v>69.273028888888902</v>
          </cell>
          <cell r="AC389">
            <v>6.7287999999999997</v>
          </cell>
          <cell r="AD389">
            <v>6.7287999999999997</v>
          </cell>
          <cell r="AE389">
            <v>6.6761999999999997</v>
          </cell>
          <cell r="AF389">
            <v>6.6060999999999996</v>
          </cell>
          <cell r="AG389">
            <v>6.7462999999999997</v>
          </cell>
          <cell r="AH389">
            <v>6.3257000000000003</v>
          </cell>
          <cell r="AI389">
            <v>7.1318000000000001</v>
          </cell>
          <cell r="AJ389">
            <v>6.8684000000000003</v>
          </cell>
          <cell r="AK389">
            <v>6.9984999999999999</v>
          </cell>
          <cell r="AL389">
            <v>6.8198999999999996</v>
          </cell>
          <cell r="AM389">
            <v>7.0484999999999998</v>
          </cell>
          <cell r="AN389">
            <v>6.8348000000000004</v>
          </cell>
          <cell r="AO389">
            <v>6.7172577851823601</v>
          </cell>
          <cell r="AP389">
            <v>6.8290725502397231</v>
          </cell>
          <cell r="AQ389">
            <v>6.9484366861518971</v>
          </cell>
          <cell r="AR389">
            <v>6.8680912179944915</v>
          </cell>
          <cell r="AS389">
            <v>7.0460984669204647</v>
          </cell>
          <cell r="AT389">
            <v>6.7169531919254029</v>
          </cell>
          <cell r="AU389">
            <v>6.834478163265306</v>
          </cell>
          <cell r="AV389">
            <v>6.6912000000000003</v>
          </cell>
          <cell r="AW389">
            <v>6.8453746835443017</v>
          </cell>
          <cell r="AX389">
            <v>6.9542999999999999</v>
          </cell>
          <cell r="AZ389">
            <v>293</v>
          </cell>
          <cell r="BA389">
            <v>293</v>
          </cell>
          <cell r="BC389">
            <v>2039</v>
          </cell>
        </row>
        <row r="390">
          <cell r="D390">
            <v>51044</v>
          </cell>
          <cell r="E390">
            <v>68.833010000000002</v>
          </cell>
          <cell r="F390">
            <v>69.911860000000004</v>
          </cell>
          <cell r="G390">
            <v>66.986890000000002</v>
          </cell>
          <cell r="H390">
            <v>68.774090000000001</v>
          </cell>
          <cell r="J390">
            <v>69.411860000000004</v>
          </cell>
          <cell r="K390">
            <v>69.911860000000004</v>
          </cell>
          <cell r="L390">
            <v>71.911860000000004</v>
          </cell>
          <cell r="M390">
            <v>57.233080000000001</v>
          </cell>
          <cell r="N390">
            <v>62.012450000000001</v>
          </cell>
          <cell r="O390">
            <v>56.752369999999999</v>
          </cell>
          <cell r="P390">
            <v>60.156469999999999</v>
          </cell>
          <cell r="R390">
            <v>61.012450000000001</v>
          </cell>
          <cell r="S390">
            <v>60.512450000000001</v>
          </cell>
          <cell r="T390">
            <v>63.762450000000001</v>
          </cell>
          <cell r="U390">
            <v>63.719062365591405</v>
          </cell>
          <cell r="V390">
            <v>66.429324408602156</v>
          </cell>
          <cell r="W390">
            <v>62.474897311827966</v>
          </cell>
          <cell r="Z390">
            <v>65.708894301075262</v>
          </cell>
          <cell r="AC390">
            <v>6.7637999999999998</v>
          </cell>
          <cell r="AD390">
            <v>6.9741</v>
          </cell>
          <cell r="AE390">
            <v>6.8689</v>
          </cell>
          <cell r="AF390">
            <v>6.6235999999999997</v>
          </cell>
          <cell r="AG390">
            <v>6.7812999999999999</v>
          </cell>
          <cell r="AH390">
            <v>6.3608000000000002</v>
          </cell>
          <cell r="AI390">
            <v>7.1318000000000001</v>
          </cell>
          <cell r="AJ390">
            <v>6.9047999999999998</v>
          </cell>
          <cell r="AK390">
            <v>7.0350000000000001</v>
          </cell>
          <cell r="AL390">
            <v>6.8555000000000001</v>
          </cell>
          <cell r="AM390">
            <v>7.085</v>
          </cell>
          <cell r="AN390">
            <v>6.8708</v>
          </cell>
          <cell r="AO390">
            <v>6.7523849455027189</v>
          </cell>
          <cell r="AP390">
            <v>6.864775906355197</v>
          </cell>
          <cell r="AQ390">
            <v>7.1744267780506332</v>
          </cell>
          <cell r="AR390">
            <v>6.9037945741099662</v>
          </cell>
          <cell r="AS390">
            <v>7.0641044346126138</v>
          </cell>
          <cell r="AT390">
            <v>6.7553792601701002</v>
          </cell>
          <cell r="AU390">
            <v>6.8701924489795916</v>
          </cell>
          <cell r="AV390">
            <v>6.8838999999999997</v>
          </cell>
          <cell r="AW390">
            <v>7.093779746835442</v>
          </cell>
          <cell r="AX390">
            <v>7.2020999999999997</v>
          </cell>
          <cell r="AZ390">
            <v>294</v>
          </cell>
          <cell r="BA390">
            <v>294</v>
          </cell>
          <cell r="BC390">
            <v>2039</v>
          </cell>
        </row>
        <row r="391">
          <cell r="D391">
            <v>51075</v>
          </cell>
          <cell r="E391">
            <v>75.168099999999995</v>
          </cell>
          <cell r="F391">
            <v>72.685869999999994</v>
          </cell>
          <cell r="G391">
            <v>74.916030000000006</v>
          </cell>
          <cell r="H391">
            <v>77.353530000000006</v>
          </cell>
          <cell r="J391">
            <v>72.185869999999994</v>
          </cell>
          <cell r="K391">
            <v>71.185869999999994</v>
          </cell>
          <cell r="L391">
            <v>74.685869999999994</v>
          </cell>
          <cell r="M391">
            <v>60.323799999999999</v>
          </cell>
          <cell r="N391">
            <v>63.4998</v>
          </cell>
          <cell r="O391">
            <v>59.75085</v>
          </cell>
          <cell r="P391">
            <v>60.439749999999997</v>
          </cell>
          <cell r="R391">
            <v>62.9998</v>
          </cell>
          <cell r="S391">
            <v>61.9998</v>
          </cell>
          <cell r="T391">
            <v>65.249799999999993</v>
          </cell>
          <cell r="U391">
            <v>68.559195284327316</v>
          </cell>
          <cell r="V391">
            <v>68.596094036061032</v>
          </cell>
          <cell r="W391">
            <v>68.164264701803063</v>
          </cell>
          <cell r="Z391">
            <v>68.096094036061018</v>
          </cell>
          <cell r="AC391">
            <v>6.8864999999999998</v>
          </cell>
          <cell r="AD391">
            <v>7.2720000000000002</v>
          </cell>
          <cell r="AE391">
            <v>7.1143000000000001</v>
          </cell>
          <cell r="AF391">
            <v>6.7812999999999999</v>
          </cell>
          <cell r="AG391">
            <v>6.8513999999999999</v>
          </cell>
          <cell r="AH391">
            <v>6.4659000000000004</v>
          </cell>
          <cell r="AI391">
            <v>7.3070000000000004</v>
          </cell>
          <cell r="AJ391">
            <v>7.0339</v>
          </cell>
          <cell r="AK391">
            <v>7.1645000000000003</v>
          </cell>
          <cell r="AL391">
            <v>6.9809000000000001</v>
          </cell>
          <cell r="AM391">
            <v>7.2145000000000001</v>
          </cell>
          <cell r="AN391">
            <v>6.9978999999999996</v>
          </cell>
          <cell r="AO391">
            <v>6.8755307332543802</v>
          </cell>
          <cell r="AP391">
            <v>6.9899416719371619</v>
          </cell>
          <cell r="AQ391">
            <v>7.4547473646455691</v>
          </cell>
          <cell r="AR391">
            <v>7.0289603396919311</v>
          </cell>
          <cell r="AS391">
            <v>7.2263639263298689</v>
          </cell>
          <cell r="AT391">
            <v>6.9579614919561434</v>
          </cell>
          <cell r="AU391">
            <v>6.9953965306122443</v>
          </cell>
          <cell r="AV391">
            <v>7.1292999999999997</v>
          </cell>
          <cell r="AW391">
            <v>7.3954506329113912</v>
          </cell>
          <cell r="AX391">
            <v>7.5391000000000004</v>
          </cell>
          <cell r="AZ391">
            <v>295</v>
          </cell>
          <cell r="BA391">
            <v>295</v>
          </cell>
          <cell r="BC391">
            <v>2039</v>
          </cell>
        </row>
        <row r="392">
          <cell r="D392">
            <v>51105</v>
          </cell>
          <cell r="E392">
            <v>75.639250000000004</v>
          </cell>
          <cell r="F392">
            <v>72.952129999999997</v>
          </cell>
          <cell r="G392">
            <v>77.207759999999993</v>
          </cell>
          <cell r="H392">
            <v>79.935559999999995</v>
          </cell>
          <cell r="J392">
            <v>72.452129999999997</v>
          </cell>
          <cell r="K392">
            <v>72.202129999999997</v>
          </cell>
          <cell r="L392">
            <v>74.952129999999997</v>
          </cell>
          <cell r="M392">
            <v>64.425190000000001</v>
          </cell>
          <cell r="N392">
            <v>66.497919999999993</v>
          </cell>
          <cell r="O392">
            <v>64.301900000000003</v>
          </cell>
          <cell r="P392">
            <v>67.116399999999999</v>
          </cell>
          <cell r="R392">
            <v>65.997919999999993</v>
          </cell>
          <cell r="S392">
            <v>65.497919999999993</v>
          </cell>
          <cell r="T392">
            <v>68.247919999999993</v>
          </cell>
          <cell r="U392">
            <v>70.695417096774193</v>
          </cell>
          <cell r="V392">
            <v>70.106725591397847</v>
          </cell>
          <cell r="W392">
            <v>71.518079784946238</v>
          </cell>
          <cell r="Z392">
            <v>69.606725591397847</v>
          </cell>
          <cell r="AC392">
            <v>7.2019000000000002</v>
          </cell>
          <cell r="AD392">
            <v>7.6398999999999999</v>
          </cell>
          <cell r="AE392">
            <v>7.4297000000000004</v>
          </cell>
          <cell r="AF392">
            <v>7.3070000000000004</v>
          </cell>
          <cell r="AG392">
            <v>7.2194000000000003</v>
          </cell>
          <cell r="AH392">
            <v>6.7988</v>
          </cell>
          <cell r="AI392">
            <v>7.5347999999999997</v>
          </cell>
          <cell r="AJ392">
            <v>7.3545999999999996</v>
          </cell>
          <cell r="AK392">
            <v>7.4855999999999998</v>
          </cell>
          <cell r="AL392">
            <v>7.2986000000000004</v>
          </cell>
          <cell r="AM392">
            <v>7.5355999999999996</v>
          </cell>
          <cell r="AN392">
            <v>7.3170000000000002</v>
          </cell>
          <cell r="AO392">
            <v>7.1920766293984224</v>
          </cell>
          <cell r="AP392">
            <v>7.3116799153320411</v>
          </cell>
          <cell r="AQ392">
            <v>7.8073022271898731</v>
          </cell>
          <cell r="AR392">
            <v>7.3506985830868112</v>
          </cell>
          <cell r="AS392">
            <v>7.7672631958020375</v>
          </cell>
          <cell r="AT392">
            <v>7.2632181780920186</v>
          </cell>
          <cell r="AU392">
            <v>7.3172332653061218</v>
          </cell>
          <cell r="AV392">
            <v>7.4447000000000001</v>
          </cell>
          <cell r="AW392">
            <v>7.7680075949367069</v>
          </cell>
          <cell r="AX392">
            <v>7.9170999999999996</v>
          </cell>
          <cell r="AZ392">
            <v>296</v>
          </cell>
          <cell r="BA392">
            <v>296</v>
          </cell>
          <cell r="BC392">
            <v>2039</v>
          </cell>
        </row>
        <row r="393">
          <cell r="D393">
            <v>51136</v>
          </cell>
          <cell r="E393">
            <v>75.926770000000005</v>
          </cell>
          <cell r="F393">
            <v>75.742679999999993</v>
          </cell>
          <cell r="G393">
            <v>74.207980000000006</v>
          </cell>
          <cell r="H393">
            <v>78.016480000000001</v>
          </cell>
          <cell r="J393">
            <v>75.242679999999993</v>
          </cell>
          <cell r="K393">
            <v>75.242679999999993</v>
          </cell>
          <cell r="L393">
            <v>77.992679999999993</v>
          </cell>
          <cell r="M393">
            <v>68.736819999999994</v>
          </cell>
          <cell r="N393">
            <v>68.999340000000004</v>
          </cell>
          <cell r="O393">
            <v>64.911619999999999</v>
          </cell>
          <cell r="P393">
            <v>68.156120000000001</v>
          </cell>
          <cell r="R393">
            <v>68.499340000000004</v>
          </cell>
          <cell r="S393">
            <v>68.499340000000004</v>
          </cell>
          <cell r="T393">
            <v>71.249340000000004</v>
          </cell>
          <cell r="U393">
            <v>72.60238451612905</v>
          </cell>
          <cell r="V393">
            <v>72.624791612903223</v>
          </cell>
          <cell r="W393">
            <v>69.909663010752681</v>
          </cell>
          <cell r="Z393">
            <v>72.124791612903223</v>
          </cell>
          <cell r="AC393">
            <v>7.4751000000000003</v>
          </cell>
          <cell r="AD393">
            <v>7.6364000000000001</v>
          </cell>
          <cell r="AE393">
            <v>7.6722999999999999</v>
          </cell>
          <cell r="AF393">
            <v>7.4751000000000003</v>
          </cell>
          <cell r="AG393">
            <v>7.4034000000000004</v>
          </cell>
          <cell r="AH393">
            <v>6.7759999999999998</v>
          </cell>
          <cell r="AI393">
            <v>7.8693999999999997</v>
          </cell>
          <cell r="AJ393">
            <v>7.6322000000000001</v>
          </cell>
          <cell r="AK393">
            <v>7.7633999999999999</v>
          </cell>
          <cell r="AL393">
            <v>7.5735999999999999</v>
          </cell>
          <cell r="AM393">
            <v>7.8133999999999997</v>
          </cell>
          <cell r="AN393">
            <v>7.5933000000000002</v>
          </cell>
          <cell r="AO393">
            <v>7.4662692065276302</v>
          </cell>
          <cell r="AP393">
            <v>7.5903701122105485</v>
          </cell>
          <cell r="AQ393">
            <v>7.9306680513291132</v>
          </cell>
          <cell r="AR393">
            <v>7.6293887799653177</v>
          </cell>
          <cell r="AS393">
            <v>7.9402233768906267</v>
          </cell>
          <cell r="AT393">
            <v>7.617455292550467</v>
          </cell>
          <cell r="AU393">
            <v>7.5960087755102039</v>
          </cell>
          <cell r="AV393">
            <v>7.6872999999999996</v>
          </cell>
          <cell r="AW393">
            <v>7.7644632911392391</v>
          </cell>
          <cell r="AX393">
            <v>7.9217000000000004</v>
          </cell>
          <cell r="AZ393">
            <v>297</v>
          </cell>
          <cell r="BA393">
            <v>297</v>
          </cell>
          <cell r="BC393">
            <v>2040</v>
          </cell>
        </row>
        <row r="394">
          <cell r="D394">
            <v>51167</v>
          </cell>
          <cell r="E394">
            <v>76.180629999999994</v>
          </cell>
          <cell r="F394">
            <v>75.027050000000003</v>
          </cell>
          <cell r="G394">
            <v>80.042360000000002</v>
          </cell>
          <cell r="H394">
            <v>84.000360000000001</v>
          </cell>
          <cell r="J394">
            <v>75.027050000000003</v>
          </cell>
          <cell r="K394">
            <v>74.027050000000003</v>
          </cell>
          <cell r="L394">
            <v>77.277050000000003</v>
          </cell>
          <cell r="M394">
            <v>69.026319999999998</v>
          </cell>
          <cell r="N394">
            <v>70.175039999999996</v>
          </cell>
          <cell r="O394">
            <v>70.57311</v>
          </cell>
          <cell r="P394">
            <v>73.459410000000005</v>
          </cell>
          <cell r="R394">
            <v>69.675039999999996</v>
          </cell>
          <cell r="S394">
            <v>68.925039999999996</v>
          </cell>
          <cell r="T394">
            <v>72.175039999999996</v>
          </cell>
          <cell r="U394">
            <v>73.1379924137931</v>
          </cell>
          <cell r="V394">
            <v>72.963551494252869</v>
          </cell>
          <cell r="W394">
            <v>76.015207701149436</v>
          </cell>
          <cell r="Z394">
            <v>72.750907816091967</v>
          </cell>
          <cell r="AC394">
            <v>7.5109000000000004</v>
          </cell>
          <cell r="AD394">
            <v>8.0128000000000004</v>
          </cell>
          <cell r="AE394">
            <v>7.7618999999999998</v>
          </cell>
          <cell r="AF394">
            <v>7.4570999999999996</v>
          </cell>
          <cell r="AG394">
            <v>7.4570999999999996</v>
          </cell>
          <cell r="AH394">
            <v>7.0986000000000002</v>
          </cell>
          <cell r="AI394">
            <v>7.7976999999999999</v>
          </cell>
          <cell r="AJ394">
            <v>7.6675000000000004</v>
          </cell>
          <cell r="AK394">
            <v>7.7987000000000002</v>
          </cell>
          <cell r="AL394">
            <v>7.6093000000000002</v>
          </cell>
          <cell r="AM394">
            <v>7.8487</v>
          </cell>
          <cell r="AN394">
            <v>7.6287000000000003</v>
          </cell>
          <cell r="AO394">
            <v>7.5021992733695981</v>
          </cell>
          <cell r="AP394">
            <v>7.6268895450372334</v>
          </cell>
          <cell r="AQ394">
            <v>8.1711049984177215</v>
          </cell>
          <cell r="AR394">
            <v>7.6659082127920035</v>
          </cell>
          <cell r="AS394">
            <v>7.9217029529787011</v>
          </cell>
          <cell r="AT394">
            <v>7.6695098063326164</v>
          </cell>
          <cell r="AU394">
            <v>7.6325393877551022</v>
          </cell>
          <cell r="AV394">
            <v>7.7769000000000004</v>
          </cell>
          <cell r="AW394">
            <v>8.1456278481012649</v>
          </cell>
          <cell r="AX394">
            <v>8.2971000000000004</v>
          </cell>
          <cell r="AZ394">
            <v>298</v>
          </cell>
          <cell r="BA394">
            <v>298</v>
          </cell>
          <cell r="BC394">
            <v>2040</v>
          </cell>
        </row>
        <row r="395">
          <cell r="D395">
            <v>51196</v>
          </cell>
          <cell r="E395">
            <v>67.94032</v>
          </cell>
          <cell r="F395">
            <v>71.509039999999999</v>
          </cell>
          <cell r="G395">
            <v>65.447770000000006</v>
          </cell>
          <cell r="H395">
            <v>69.246269999999996</v>
          </cell>
          <cell r="J395">
            <v>71.509039999999999</v>
          </cell>
          <cell r="K395">
            <v>70.509039999999999</v>
          </cell>
          <cell r="L395">
            <v>73.759039999999999</v>
          </cell>
          <cell r="M395">
            <v>62.34599</v>
          </cell>
          <cell r="N395">
            <v>66.394459999999995</v>
          </cell>
          <cell r="O395">
            <v>58.517339999999997</v>
          </cell>
          <cell r="P395">
            <v>61.71284</v>
          </cell>
          <cell r="R395">
            <v>65.894459999999995</v>
          </cell>
          <cell r="S395">
            <v>64.894459999999995</v>
          </cell>
          <cell r="T395">
            <v>68.394459999999995</v>
          </cell>
          <cell r="U395">
            <v>65.598682543741589</v>
          </cell>
          <cell r="V395">
            <v>69.368213109017489</v>
          </cell>
          <cell r="W395">
            <v>62.546876689098248</v>
          </cell>
          <cell r="Z395">
            <v>69.158926433378198</v>
          </cell>
          <cell r="AC395">
            <v>7.26</v>
          </cell>
          <cell r="AD395">
            <v>7.4391999999999996</v>
          </cell>
          <cell r="AE395">
            <v>7.3136999999999999</v>
          </cell>
          <cell r="AF395">
            <v>7.1166</v>
          </cell>
          <cell r="AG395">
            <v>7.242</v>
          </cell>
          <cell r="AH395">
            <v>6.9372999999999996</v>
          </cell>
          <cell r="AI395">
            <v>7.4930000000000003</v>
          </cell>
          <cell r="AJ395">
            <v>7.4143999999999997</v>
          </cell>
          <cell r="AK395">
            <v>7.5454999999999997</v>
          </cell>
          <cell r="AL395">
            <v>7.3574000000000002</v>
          </cell>
          <cell r="AM395">
            <v>7.5955000000000004</v>
          </cell>
          <cell r="AN395">
            <v>7.3762999999999996</v>
          </cell>
          <cell r="AO395">
            <v>7.250387715530219</v>
          </cell>
          <cell r="AP395">
            <v>7.370947486483729</v>
          </cell>
          <cell r="AQ395">
            <v>7.6438979758101251</v>
          </cell>
          <cell r="AR395">
            <v>7.4099661542384991</v>
          </cell>
          <cell r="AS395">
            <v>7.5713582673114521</v>
          </cell>
          <cell r="AT395">
            <v>7.2100364996413573</v>
          </cell>
          <cell r="AU395">
            <v>7.376518979591836</v>
          </cell>
          <cell r="AV395">
            <v>7.3287000000000004</v>
          </cell>
          <cell r="AW395">
            <v>7.5647670886075931</v>
          </cell>
          <cell r="AX395">
            <v>7.7195</v>
          </cell>
          <cell r="AZ395">
            <v>299</v>
          </cell>
          <cell r="BA395">
            <v>299</v>
          </cell>
          <cell r="BC395">
            <v>2040</v>
          </cell>
        </row>
        <row r="396">
          <cell r="D396">
            <v>51227</v>
          </cell>
          <cell r="E396">
            <v>64.963049999999996</v>
          </cell>
          <cell r="F396">
            <v>67.384079999999997</v>
          </cell>
          <cell r="G396">
            <v>61.866520000000001</v>
          </cell>
          <cell r="H396">
            <v>63.365119999999997</v>
          </cell>
          <cell r="J396">
            <v>65.884079999999997</v>
          </cell>
          <cell r="K396">
            <v>65.884079999999997</v>
          </cell>
          <cell r="L396">
            <v>69.384079999999997</v>
          </cell>
          <cell r="M396">
            <v>59.429209999999998</v>
          </cell>
          <cell r="N396">
            <v>64.138530000000003</v>
          </cell>
          <cell r="O396">
            <v>56.341209999999997</v>
          </cell>
          <cell r="P396">
            <v>63.01681</v>
          </cell>
          <cell r="R396">
            <v>63.388530000000003</v>
          </cell>
          <cell r="S396">
            <v>63.138530000000003</v>
          </cell>
          <cell r="T396">
            <v>66.138530000000003</v>
          </cell>
          <cell r="U396">
            <v>62.503565555555546</v>
          </cell>
          <cell r="V396">
            <v>65.941613333333336</v>
          </cell>
          <cell r="W396">
            <v>59.410826666666665</v>
          </cell>
          <cell r="Z396">
            <v>64.774946666666665</v>
          </cell>
          <cell r="AC396">
            <v>6.9911000000000003</v>
          </cell>
          <cell r="AD396">
            <v>7.0090000000000003</v>
          </cell>
          <cell r="AE396">
            <v>6.9194000000000004</v>
          </cell>
          <cell r="AF396">
            <v>6.8476999999999997</v>
          </cell>
          <cell r="AG396">
            <v>7.0090000000000003</v>
          </cell>
          <cell r="AH396">
            <v>6.6505000000000001</v>
          </cell>
          <cell r="AI396">
            <v>7.2061999999999999</v>
          </cell>
          <cell r="AJ396">
            <v>7.1334999999999997</v>
          </cell>
          <cell r="AK396">
            <v>7.2637999999999998</v>
          </cell>
          <cell r="AL396">
            <v>7.0834000000000001</v>
          </cell>
          <cell r="AM396">
            <v>7.3137999999999996</v>
          </cell>
          <cell r="AN396">
            <v>7.0990000000000002</v>
          </cell>
          <cell r="AO396">
            <v>6.9805107609546555</v>
          </cell>
          <cell r="AP396">
            <v>7.0966437019279818</v>
          </cell>
          <cell r="AQ396">
            <v>7.2184896863797468</v>
          </cell>
          <cell r="AR396">
            <v>7.135662369682751</v>
          </cell>
          <cell r="AS396">
            <v>7.2946837123160817</v>
          </cell>
          <cell r="AT396">
            <v>6.8320264576288556</v>
          </cell>
          <cell r="AU396">
            <v>7.1021312244897956</v>
          </cell>
          <cell r="AV396">
            <v>6.9344000000000001</v>
          </cell>
          <cell r="AW396">
            <v>7.1291215189873407</v>
          </cell>
          <cell r="AX396">
            <v>7.2347999999999999</v>
          </cell>
          <cell r="AZ396">
            <v>300</v>
          </cell>
          <cell r="BA396">
            <v>300</v>
          </cell>
          <cell r="BC396">
            <v>2040</v>
          </cell>
        </row>
        <row r="397">
          <cell r="D397">
            <v>51257</v>
          </cell>
          <cell r="E397">
            <v>62.954099999999997</v>
          </cell>
          <cell r="F397">
            <v>65.545100000000005</v>
          </cell>
          <cell r="G397">
            <v>57.826180000000001</v>
          </cell>
          <cell r="H397">
            <v>63.05988</v>
          </cell>
          <cell r="J397">
            <v>65.545100000000005</v>
          </cell>
          <cell r="K397">
            <v>65.545100000000005</v>
          </cell>
          <cell r="L397">
            <v>67.545100000000005</v>
          </cell>
          <cell r="M397">
            <v>51.557780000000001</v>
          </cell>
          <cell r="N397">
            <v>60.066630000000004</v>
          </cell>
          <cell r="O397">
            <v>46.923020000000001</v>
          </cell>
          <cell r="P397">
            <v>51.568919999999999</v>
          </cell>
          <cell r="R397">
            <v>60.066630000000004</v>
          </cell>
          <cell r="S397">
            <v>59.566630000000004</v>
          </cell>
          <cell r="T397">
            <v>61.816630000000004</v>
          </cell>
          <cell r="U397">
            <v>57.929915913978498</v>
          </cell>
          <cell r="V397">
            <v>63.129860537634414</v>
          </cell>
          <cell r="W397">
            <v>53.019410537634407</v>
          </cell>
          <cell r="Z397">
            <v>63.129860537634414</v>
          </cell>
          <cell r="AC397">
            <v>6.9911000000000003</v>
          </cell>
          <cell r="AD397">
            <v>6.9194000000000004</v>
          </cell>
          <cell r="AE397">
            <v>6.9194000000000004</v>
          </cell>
          <cell r="AF397">
            <v>6.9194000000000004</v>
          </cell>
          <cell r="AG397">
            <v>7.0269000000000004</v>
          </cell>
          <cell r="AH397">
            <v>6.6146000000000003</v>
          </cell>
          <cell r="AI397">
            <v>7.2241</v>
          </cell>
          <cell r="AJ397">
            <v>7.1271000000000004</v>
          </cell>
          <cell r="AK397">
            <v>7.2569999999999997</v>
          </cell>
          <cell r="AL397">
            <v>7.0807000000000002</v>
          </cell>
          <cell r="AM397">
            <v>7.3070000000000004</v>
          </cell>
          <cell r="AN397">
            <v>7.0945999999999998</v>
          </cell>
          <cell r="AO397">
            <v>6.9805107609546555</v>
          </cell>
          <cell r="AP397">
            <v>7.0966437019279818</v>
          </cell>
          <cell r="AQ397">
            <v>7.1722597497721514</v>
          </cell>
          <cell r="AR397">
            <v>7.135662369682751</v>
          </cell>
          <cell r="AS397">
            <v>7.3684567342319172</v>
          </cell>
          <cell r="AT397">
            <v>6.9831689927246643</v>
          </cell>
          <cell r="AU397">
            <v>7.1021312244897956</v>
          </cell>
          <cell r="AV397">
            <v>6.9344000000000001</v>
          </cell>
          <cell r="AW397">
            <v>7.0383873417721512</v>
          </cell>
          <cell r="AX397">
            <v>7.1382000000000003</v>
          </cell>
          <cell r="AZ397">
            <v>301</v>
          </cell>
          <cell r="BA397">
            <v>301</v>
          </cell>
          <cell r="BC397">
            <v>2040</v>
          </cell>
        </row>
        <row r="398">
          <cell r="D398">
            <v>51288</v>
          </cell>
          <cell r="E398">
            <v>68.814589999999995</v>
          </cell>
          <cell r="F398">
            <v>70.886880000000005</v>
          </cell>
          <cell r="G398">
            <v>63.45722</v>
          </cell>
          <cell r="H398">
            <v>70.108720000000005</v>
          </cell>
          <cell r="J398">
            <v>70.136880000000005</v>
          </cell>
          <cell r="K398">
            <v>70.886880000000005</v>
          </cell>
          <cell r="L398">
            <v>73.386880000000005</v>
          </cell>
          <cell r="M398">
            <v>55.720149999999997</v>
          </cell>
          <cell r="N398">
            <v>61.542540000000002</v>
          </cell>
          <cell r="O398">
            <v>50.902250000000002</v>
          </cell>
          <cell r="P398">
            <v>57.741950000000003</v>
          </cell>
          <cell r="R398">
            <v>61.042540000000002</v>
          </cell>
          <cell r="S398">
            <v>61.042540000000002</v>
          </cell>
          <cell r="T398">
            <v>63.792540000000002</v>
          </cell>
          <cell r="U398">
            <v>63.285826444444439</v>
          </cell>
          <cell r="V398">
            <v>66.941491999999997</v>
          </cell>
          <cell r="W398">
            <v>58.156232666666668</v>
          </cell>
          <cell r="Z398">
            <v>66.297047555555551</v>
          </cell>
          <cell r="AC398">
            <v>6.8655999999999997</v>
          </cell>
          <cell r="AD398">
            <v>6.7938999999999998</v>
          </cell>
          <cell r="AE398">
            <v>6.8655999999999997</v>
          </cell>
          <cell r="AF398">
            <v>7.0090000000000003</v>
          </cell>
          <cell r="AG398">
            <v>7.0628000000000002</v>
          </cell>
          <cell r="AH398">
            <v>6.2561</v>
          </cell>
          <cell r="AI398">
            <v>7.242</v>
          </cell>
          <cell r="AJ398">
            <v>7.0026000000000002</v>
          </cell>
          <cell r="AK398">
            <v>7.1326000000000001</v>
          </cell>
          <cell r="AL398">
            <v>6.9557000000000002</v>
          </cell>
          <cell r="AM398">
            <v>7.1825999999999999</v>
          </cell>
          <cell r="AN398">
            <v>6.9698000000000002</v>
          </cell>
          <cell r="AO398">
            <v>6.8545548003773655</v>
          </cell>
          <cell r="AP398">
            <v>6.9686216678567785</v>
          </cell>
          <cell r="AQ398">
            <v>7.0797482806455685</v>
          </cell>
          <cell r="AR398">
            <v>7.0076403356115478</v>
          </cell>
          <cell r="AS398">
            <v>7.4606472888157223</v>
          </cell>
          <cell r="AT398">
            <v>6.8417610615841786</v>
          </cell>
          <cell r="AU398">
            <v>6.9740699999999993</v>
          </cell>
          <cell r="AV398">
            <v>6.8806000000000003</v>
          </cell>
          <cell r="AW398">
            <v>6.9112987341772136</v>
          </cell>
          <cell r="AX398">
            <v>7.0145999999999997</v>
          </cell>
          <cell r="AZ398">
            <v>302</v>
          </cell>
          <cell r="BA398">
            <v>302</v>
          </cell>
          <cell r="BC398">
            <v>2040</v>
          </cell>
        </row>
        <row r="399">
          <cell r="D399">
            <v>51318</v>
          </cell>
          <cell r="E399">
            <v>74.87715</v>
          </cell>
          <cell r="F399">
            <v>77.013450000000006</v>
          </cell>
          <cell r="G399">
            <v>69.228759999999994</v>
          </cell>
          <cell r="H399">
            <v>74.839060000000003</v>
          </cell>
          <cell r="J399">
            <v>82.013450000000006</v>
          </cell>
          <cell r="K399">
            <v>82.513450000000006</v>
          </cell>
          <cell r="L399">
            <v>81.263450000000006</v>
          </cell>
          <cell r="M399">
            <v>62.32349</v>
          </cell>
          <cell r="N399">
            <v>65.108819999999994</v>
          </cell>
          <cell r="O399">
            <v>57.215040000000002</v>
          </cell>
          <cell r="P399">
            <v>62.354239999999997</v>
          </cell>
          <cell r="R399">
            <v>66.108819999999994</v>
          </cell>
          <cell r="S399">
            <v>66.108819999999994</v>
          </cell>
          <cell r="T399">
            <v>67.608819999999994</v>
          </cell>
          <cell r="U399">
            <v>69.072769569892472</v>
          </cell>
          <cell r="V399">
            <v>71.509158709677422</v>
          </cell>
          <cell r="W399">
            <v>63.674029247311829</v>
          </cell>
          <cell r="Z399">
            <v>74.659696344086029</v>
          </cell>
          <cell r="AC399">
            <v>6.9730999999999996</v>
          </cell>
          <cell r="AD399">
            <v>6.8655999999999997</v>
          </cell>
          <cell r="AE399">
            <v>6.9551999999999996</v>
          </cell>
          <cell r="AF399">
            <v>7.0807000000000002</v>
          </cell>
          <cell r="AG399">
            <v>7.1882999999999999</v>
          </cell>
          <cell r="AH399">
            <v>6.2919999999999998</v>
          </cell>
          <cell r="AI399">
            <v>7.3674999999999997</v>
          </cell>
          <cell r="AJ399">
            <v>7.1113999999999997</v>
          </cell>
          <cell r="AK399">
            <v>7.2415000000000003</v>
          </cell>
          <cell r="AL399">
            <v>7.0637999999999996</v>
          </cell>
          <cell r="AM399">
            <v>7.2915000000000001</v>
          </cell>
          <cell r="AN399">
            <v>7.0781999999999998</v>
          </cell>
          <cell r="AO399">
            <v>6.9624453642184712</v>
          </cell>
          <cell r="AP399">
            <v>7.0782819759257372</v>
          </cell>
          <cell r="AQ399">
            <v>7.162972485721518</v>
          </cell>
          <cell r="AR399">
            <v>7.1173006436805064</v>
          </cell>
          <cell r="AS399">
            <v>7.5344203107315568</v>
          </cell>
          <cell r="AT399">
            <v>6.9724096936161502</v>
          </cell>
          <cell r="AU399">
            <v>7.0837638775510205</v>
          </cell>
          <cell r="AV399">
            <v>6.9702000000000002</v>
          </cell>
          <cell r="AW399">
            <v>6.9839063291139221</v>
          </cell>
          <cell r="AX399">
            <v>7.0887000000000002</v>
          </cell>
          <cell r="AZ399">
            <v>303</v>
          </cell>
          <cell r="BA399">
            <v>303</v>
          </cell>
          <cell r="BC399">
            <v>2040</v>
          </cell>
        </row>
        <row r="400">
          <cell r="D400">
            <v>51349</v>
          </cell>
          <cell r="E400">
            <v>81.064790000000002</v>
          </cell>
          <cell r="F400">
            <v>80.786779999999993</v>
          </cell>
          <cell r="G400">
            <v>76.212540000000004</v>
          </cell>
          <cell r="H400">
            <v>78.275440000000003</v>
          </cell>
          <cell r="J400">
            <v>85.286779999999993</v>
          </cell>
          <cell r="K400">
            <v>86.286779999999993</v>
          </cell>
          <cell r="L400">
            <v>84.536779999999993</v>
          </cell>
          <cell r="M400">
            <v>65.68374</v>
          </cell>
          <cell r="N400">
            <v>67.330629999999999</v>
          </cell>
          <cell r="O400">
            <v>60.953290000000003</v>
          </cell>
          <cell r="P400">
            <v>65.750290000000007</v>
          </cell>
          <cell r="R400">
            <v>68.330629999999999</v>
          </cell>
          <cell r="S400">
            <v>68.330629999999999</v>
          </cell>
          <cell r="T400">
            <v>69.830629999999999</v>
          </cell>
          <cell r="U400">
            <v>74.614672258064516</v>
          </cell>
          <cell r="V400">
            <v>75.143878387096763</v>
          </cell>
          <cell r="W400">
            <v>69.813499677419358</v>
          </cell>
          <cell r="Z400">
            <v>78.176136451612905</v>
          </cell>
          <cell r="AC400">
            <v>7.2241</v>
          </cell>
          <cell r="AD400">
            <v>7.1703000000000001</v>
          </cell>
          <cell r="AE400">
            <v>7.1166</v>
          </cell>
          <cell r="AF400">
            <v>7.0807000000000002</v>
          </cell>
          <cell r="AG400">
            <v>7.242</v>
          </cell>
          <cell r="AH400">
            <v>6.7222</v>
          </cell>
          <cell r="AI400">
            <v>7.5647000000000002</v>
          </cell>
          <cell r="AJ400">
            <v>7.3635999999999999</v>
          </cell>
          <cell r="AK400">
            <v>7.4936999999999996</v>
          </cell>
          <cell r="AL400">
            <v>7.3151999999999999</v>
          </cell>
          <cell r="AM400">
            <v>7.5437000000000003</v>
          </cell>
          <cell r="AN400">
            <v>7.33</v>
          </cell>
          <cell r="AO400">
            <v>7.2143572853730502</v>
          </cell>
          <cell r="AP400">
            <v>7.3343260440681419</v>
          </cell>
          <cell r="AQ400">
            <v>7.4034610287215177</v>
          </cell>
          <cell r="AR400">
            <v>7.3733447118229121</v>
          </cell>
          <cell r="AS400">
            <v>7.5344203107315568</v>
          </cell>
          <cell r="AT400">
            <v>7.2296081770673224</v>
          </cell>
          <cell r="AU400">
            <v>7.3398863265306122</v>
          </cell>
          <cell r="AV400">
            <v>7.1315999999999997</v>
          </cell>
          <cell r="AW400">
            <v>7.2924632911392395</v>
          </cell>
          <cell r="AX400">
            <v>7.3956</v>
          </cell>
          <cell r="AZ400">
            <v>304</v>
          </cell>
          <cell r="BA400">
            <v>304</v>
          </cell>
          <cell r="BC400">
            <v>2040</v>
          </cell>
        </row>
        <row r="401">
          <cell r="D401">
            <v>51380</v>
          </cell>
          <cell r="E401">
            <v>73.985020000000006</v>
          </cell>
          <cell r="F401">
            <v>74.106669999999994</v>
          </cell>
          <cell r="G401">
            <v>72.579480000000004</v>
          </cell>
          <cell r="H401">
            <v>74.165080000000003</v>
          </cell>
          <cell r="J401">
            <v>77.106669999999994</v>
          </cell>
          <cell r="K401">
            <v>78.106669999999994</v>
          </cell>
          <cell r="L401">
            <v>77.106669999999994</v>
          </cell>
          <cell r="M401">
            <v>63.531889999999997</v>
          </cell>
          <cell r="N401">
            <v>65.391769999999994</v>
          </cell>
          <cell r="O401">
            <v>62.629429999999999</v>
          </cell>
          <cell r="P401">
            <v>62.356929999999998</v>
          </cell>
          <cell r="R401">
            <v>63.891770000000001</v>
          </cell>
          <cell r="S401">
            <v>63.891770000000001</v>
          </cell>
          <cell r="T401">
            <v>67.641769999999994</v>
          </cell>
          <cell r="U401">
            <v>69.106892666666667</v>
          </cell>
          <cell r="V401">
            <v>70.039716666666664</v>
          </cell>
          <cell r="W401">
            <v>67.936123333333327</v>
          </cell>
          <cell r="Z401">
            <v>70.939716666666669</v>
          </cell>
          <cell r="AC401">
            <v>6.9730999999999996</v>
          </cell>
          <cell r="AD401">
            <v>6.9911000000000003</v>
          </cell>
          <cell r="AE401">
            <v>6.9372999999999996</v>
          </cell>
          <cell r="AF401">
            <v>6.8834999999999997</v>
          </cell>
          <cell r="AG401">
            <v>7.0090000000000003</v>
          </cell>
          <cell r="AH401">
            <v>6.5429000000000004</v>
          </cell>
          <cell r="AI401">
            <v>7.3495999999999997</v>
          </cell>
          <cell r="AJ401">
            <v>7.1128</v>
          </cell>
          <cell r="AK401">
            <v>7.2428999999999997</v>
          </cell>
          <cell r="AL401">
            <v>7.0643000000000002</v>
          </cell>
          <cell r="AM401">
            <v>7.2929000000000004</v>
          </cell>
          <cell r="AN401">
            <v>7.0792000000000002</v>
          </cell>
          <cell r="AO401">
            <v>6.9624453642184712</v>
          </cell>
          <cell r="AP401">
            <v>7.0782819759257372</v>
          </cell>
          <cell r="AQ401">
            <v>7.2184896863797459</v>
          </cell>
          <cell r="AR401">
            <v>7.1173006436805064</v>
          </cell>
          <cell r="AS401">
            <v>7.3315187776520219</v>
          </cell>
          <cell r="AT401">
            <v>6.96728621785019</v>
          </cell>
          <cell r="AU401">
            <v>7.0837638775510205</v>
          </cell>
          <cell r="AV401">
            <v>6.9523000000000001</v>
          </cell>
          <cell r="AW401">
            <v>7.1109949367088596</v>
          </cell>
          <cell r="AX401">
            <v>7.2165999999999997</v>
          </cell>
          <cell r="AZ401">
            <v>305</v>
          </cell>
          <cell r="BA401">
            <v>305</v>
          </cell>
          <cell r="BC401">
            <v>2040</v>
          </cell>
        </row>
        <row r="402">
          <cell r="D402">
            <v>51410</v>
          </cell>
          <cell r="E402">
            <v>71.196219999999997</v>
          </cell>
          <cell r="F402">
            <v>72.631600000000006</v>
          </cell>
          <cell r="G402">
            <v>69.130510000000001</v>
          </cell>
          <cell r="H402">
            <v>70.91771</v>
          </cell>
          <cell r="J402">
            <v>72.131600000000006</v>
          </cell>
          <cell r="K402">
            <v>72.631600000000006</v>
          </cell>
          <cell r="L402">
            <v>74.631600000000006</v>
          </cell>
          <cell r="M402">
            <v>59.533009999999997</v>
          </cell>
          <cell r="N402">
            <v>64.763800000000003</v>
          </cell>
          <cell r="O402">
            <v>58.244900000000001</v>
          </cell>
          <cell r="P402">
            <v>61.649000000000001</v>
          </cell>
          <cell r="R402">
            <v>63.763800000000003</v>
          </cell>
          <cell r="S402">
            <v>63.263800000000003</v>
          </cell>
          <cell r="T402">
            <v>66.513800000000003</v>
          </cell>
          <cell r="U402">
            <v>66.3051964516129</v>
          </cell>
          <cell r="V402">
            <v>69.3322</v>
          </cell>
          <cell r="W402">
            <v>64.565576774193545</v>
          </cell>
          <cell r="Z402">
            <v>68.622522580645168</v>
          </cell>
          <cell r="AC402">
            <v>7.0269000000000004</v>
          </cell>
          <cell r="AD402">
            <v>7.3136999999999999</v>
          </cell>
          <cell r="AE402">
            <v>7.1703000000000001</v>
          </cell>
          <cell r="AF402">
            <v>6.9013999999999998</v>
          </cell>
          <cell r="AG402">
            <v>7.0449000000000002</v>
          </cell>
          <cell r="AH402">
            <v>6.6146000000000003</v>
          </cell>
          <cell r="AI402">
            <v>7.4570999999999996</v>
          </cell>
          <cell r="AJ402">
            <v>7.1679000000000004</v>
          </cell>
          <cell r="AK402">
            <v>7.2980999999999998</v>
          </cell>
          <cell r="AL402">
            <v>7.1186999999999996</v>
          </cell>
          <cell r="AM402">
            <v>7.3480999999999996</v>
          </cell>
          <cell r="AN402">
            <v>7.1338999999999997</v>
          </cell>
          <cell r="AO402">
            <v>7.0164408277966235</v>
          </cell>
          <cell r="AP402">
            <v>7.1331631347546676</v>
          </cell>
          <cell r="AQ402">
            <v>7.5051565700759477</v>
          </cell>
          <cell r="AR402">
            <v>7.1721818025094368</v>
          </cell>
          <cell r="AS402">
            <v>7.3499363103199915</v>
          </cell>
          <cell r="AT402">
            <v>7.024976554974895</v>
          </cell>
          <cell r="AU402">
            <v>7.1386618367346939</v>
          </cell>
          <cell r="AV402">
            <v>7.1852999999999998</v>
          </cell>
          <cell r="AW402">
            <v>7.4376784810126564</v>
          </cell>
          <cell r="AX402">
            <v>7.5418000000000003</v>
          </cell>
          <cell r="AZ402">
            <v>306</v>
          </cell>
          <cell r="BA402">
            <v>306</v>
          </cell>
          <cell r="BC402">
            <v>2040</v>
          </cell>
        </row>
        <row r="403">
          <cell r="D403">
            <v>51441</v>
          </cell>
          <cell r="E403">
            <v>77.149820000000005</v>
          </cell>
          <cell r="F403">
            <v>75.137770000000003</v>
          </cell>
          <cell r="G403">
            <v>76.987110000000001</v>
          </cell>
          <cell r="H403">
            <v>79.424610000000001</v>
          </cell>
          <cell r="J403">
            <v>74.637770000000003</v>
          </cell>
          <cell r="K403">
            <v>73.637770000000003</v>
          </cell>
          <cell r="L403">
            <v>77.137770000000003</v>
          </cell>
          <cell r="M403">
            <v>64.287270000000007</v>
          </cell>
          <cell r="N403">
            <v>65.576599999999999</v>
          </cell>
          <cell r="O403">
            <v>62.891170000000002</v>
          </cell>
          <cell r="P403">
            <v>63.580069999999999</v>
          </cell>
          <cell r="R403">
            <v>65.076599999999999</v>
          </cell>
          <cell r="S403">
            <v>64.076599999999999</v>
          </cell>
          <cell r="T403">
            <v>67.326599999999999</v>
          </cell>
          <cell r="U403">
            <v>71.423220069348133</v>
          </cell>
          <cell r="V403">
            <v>70.880993897364775</v>
          </cell>
          <cell r="W403">
            <v>70.711386366158109</v>
          </cell>
          <cell r="Z403">
            <v>70.380993897364775</v>
          </cell>
          <cell r="AC403">
            <v>7.1166</v>
          </cell>
          <cell r="AD403">
            <v>7.6364000000000001</v>
          </cell>
          <cell r="AE403">
            <v>7.4212999999999996</v>
          </cell>
          <cell r="AF403">
            <v>7.1345000000000001</v>
          </cell>
          <cell r="AG403">
            <v>7.1166</v>
          </cell>
          <cell r="AH403">
            <v>6.7222</v>
          </cell>
          <cell r="AI403">
            <v>7.5647000000000002</v>
          </cell>
          <cell r="AJ403">
            <v>7.2640000000000002</v>
          </cell>
          <cell r="AK403">
            <v>7.3945999999999996</v>
          </cell>
          <cell r="AL403">
            <v>7.2110000000000003</v>
          </cell>
          <cell r="AM403">
            <v>7.4446000000000003</v>
          </cell>
          <cell r="AN403">
            <v>7.2279999999999998</v>
          </cell>
          <cell r="AO403">
            <v>7.1064667215319455</v>
          </cell>
          <cell r="AP403">
            <v>7.2246657359991842</v>
          </cell>
          <cell r="AQ403">
            <v>7.8011623137341761</v>
          </cell>
          <cell r="AR403">
            <v>7.2636844037539534</v>
          </cell>
          <cell r="AS403">
            <v>7.5897757999794218</v>
          </cell>
          <cell r="AT403">
            <v>7.1937438467056056</v>
          </cell>
          <cell r="AU403">
            <v>7.2301924489795919</v>
          </cell>
          <cell r="AV403">
            <v>7.4363000000000001</v>
          </cell>
          <cell r="AW403">
            <v>7.7644632911392391</v>
          </cell>
          <cell r="AX403">
            <v>7.9035000000000002</v>
          </cell>
          <cell r="AZ403">
            <v>307</v>
          </cell>
          <cell r="BA403">
            <v>307</v>
          </cell>
          <cell r="BC403">
            <v>2040</v>
          </cell>
        </row>
        <row r="404">
          <cell r="D404">
            <v>51471</v>
          </cell>
          <cell r="E404">
            <v>78.615859999999998</v>
          </cell>
          <cell r="F404">
            <v>75.953249999999997</v>
          </cell>
          <cell r="G404">
            <v>80.650540000000007</v>
          </cell>
          <cell r="H404">
            <v>83.378339999999994</v>
          </cell>
          <cell r="J404">
            <v>75.453249999999997</v>
          </cell>
          <cell r="K404">
            <v>75.203249999999997</v>
          </cell>
          <cell r="L404">
            <v>77.953249999999997</v>
          </cell>
          <cell r="M404">
            <v>70.586500000000001</v>
          </cell>
          <cell r="N404">
            <v>70.048419999999993</v>
          </cell>
          <cell r="O404">
            <v>69.835089999999994</v>
          </cell>
          <cell r="P404">
            <v>72.649590000000003</v>
          </cell>
          <cell r="R404">
            <v>69.548419999999993</v>
          </cell>
          <cell r="S404">
            <v>69.048419999999993</v>
          </cell>
          <cell r="T404">
            <v>71.798419999999993</v>
          </cell>
          <cell r="U404">
            <v>74.903360215053766</v>
          </cell>
          <cell r="V404">
            <v>73.22305978494623</v>
          </cell>
          <cell r="W404">
            <v>75.649848064516135</v>
          </cell>
          <cell r="Z404">
            <v>72.72305978494623</v>
          </cell>
          <cell r="AC404">
            <v>7.4930000000000003</v>
          </cell>
          <cell r="AD404">
            <v>8.0128000000000004</v>
          </cell>
          <cell r="AE404">
            <v>7.7976999999999999</v>
          </cell>
          <cell r="AF404">
            <v>7.6006</v>
          </cell>
          <cell r="AG404">
            <v>7.5109000000000004</v>
          </cell>
          <cell r="AH404">
            <v>7.0986000000000002</v>
          </cell>
          <cell r="AI404">
            <v>7.9053000000000004</v>
          </cell>
          <cell r="AJ404">
            <v>7.6458000000000004</v>
          </cell>
          <cell r="AK404">
            <v>7.7766999999999999</v>
          </cell>
          <cell r="AL404">
            <v>7.5896999999999997</v>
          </cell>
          <cell r="AM404">
            <v>7.8266999999999998</v>
          </cell>
          <cell r="AN404">
            <v>7.6082000000000001</v>
          </cell>
          <cell r="AO404">
            <v>7.4842342399486137</v>
          </cell>
          <cell r="AP404">
            <v>7.6086298286238909</v>
          </cell>
          <cell r="AQ404">
            <v>8.1895763346962021</v>
          </cell>
          <cell r="AR404">
            <v>7.6476484963786602</v>
          </cell>
          <cell r="AS404">
            <v>8.0693518880543262</v>
          </cell>
          <cell r="AT404">
            <v>7.5615069371861869</v>
          </cell>
          <cell r="AU404">
            <v>7.6142740816326526</v>
          </cell>
          <cell r="AV404">
            <v>7.8127000000000004</v>
          </cell>
          <cell r="AW404">
            <v>8.1456278481012649</v>
          </cell>
          <cell r="AX404">
            <v>8.2899999999999991</v>
          </cell>
          <cell r="AZ404">
            <v>308</v>
          </cell>
          <cell r="BA404">
            <v>308</v>
          </cell>
          <cell r="BC404">
            <v>2040</v>
          </cell>
        </row>
        <row r="405">
          <cell r="D405">
            <v>51502</v>
          </cell>
          <cell r="E405">
            <v>77.673090000000002</v>
          </cell>
          <cell r="F405">
            <v>77.484759999999994</v>
          </cell>
          <cell r="G405">
            <v>75.914760000000001</v>
          </cell>
          <cell r="H405">
            <v>79.723259999999996</v>
          </cell>
          <cell r="J405">
            <v>76.984759999999994</v>
          </cell>
          <cell r="K405">
            <v>76.984759999999994</v>
          </cell>
          <cell r="L405">
            <v>79.734759999999994</v>
          </cell>
          <cell r="M405">
            <v>70.317760000000007</v>
          </cell>
          <cell r="N405">
            <v>70.586330000000004</v>
          </cell>
          <cell r="O405">
            <v>66.404589999999999</v>
          </cell>
          <cell r="P405">
            <v>69.649090000000001</v>
          </cell>
          <cell r="R405">
            <v>70.086330000000004</v>
          </cell>
          <cell r="S405">
            <v>70.086330000000004</v>
          </cell>
          <cell r="T405">
            <v>72.836330000000004</v>
          </cell>
          <cell r="U405">
            <v>74.430417634408613</v>
          </cell>
          <cell r="V405">
            <v>74.443516666666667</v>
          </cell>
          <cell r="W405">
            <v>71.722104408602149</v>
          </cell>
          <cell r="Z405">
            <v>73.943516666666653</v>
          </cell>
          <cell r="AC405">
            <v>7.6470000000000002</v>
          </cell>
          <cell r="AD405">
            <v>7.8120000000000003</v>
          </cell>
          <cell r="AE405">
            <v>7.8487</v>
          </cell>
          <cell r="AF405">
            <v>7.6470000000000002</v>
          </cell>
          <cell r="AG405">
            <v>7.5735999999999999</v>
          </cell>
          <cell r="AH405">
            <v>6.9318</v>
          </cell>
          <cell r="AI405">
            <v>8.0503999999999998</v>
          </cell>
          <cell r="AJ405">
            <v>7.8041</v>
          </cell>
          <cell r="AK405">
            <v>7.9353999999999996</v>
          </cell>
          <cell r="AL405">
            <v>7.7455999999999996</v>
          </cell>
          <cell r="AM405">
            <v>7.9854000000000003</v>
          </cell>
          <cell r="AN405">
            <v>7.7652000000000001</v>
          </cell>
          <cell r="AO405">
            <v>7.6387937453581962</v>
          </cell>
          <cell r="AP405">
            <v>7.7657245955319798</v>
          </cell>
          <cell r="AQ405">
            <v>8.1122856594303787</v>
          </cell>
          <cell r="AR405">
            <v>7.8047432632867499</v>
          </cell>
          <cell r="AS405">
            <v>8.1170934252495126</v>
          </cell>
          <cell r="AT405">
            <v>7.7936003893841592</v>
          </cell>
          <cell r="AU405">
            <v>7.7714169387755101</v>
          </cell>
          <cell r="AV405">
            <v>7.8636999999999997</v>
          </cell>
          <cell r="AW405">
            <v>7.9422860759493661</v>
          </cell>
          <cell r="AX405">
            <v>8.0973000000000006</v>
          </cell>
          <cell r="AZ405">
            <v>309</v>
          </cell>
          <cell r="BA405">
            <v>309</v>
          </cell>
          <cell r="BC405">
            <v>2041</v>
          </cell>
        </row>
        <row r="406">
          <cell r="D406">
            <v>51533</v>
          </cell>
          <cell r="E406">
            <v>77.932789999999997</v>
          </cell>
          <cell r="F406">
            <v>76.752669999999995</v>
          </cell>
          <cell r="G406">
            <v>81.883330000000001</v>
          </cell>
          <cell r="H406">
            <v>85.841329999999999</v>
          </cell>
          <cell r="J406">
            <v>76.752669999999995</v>
          </cell>
          <cell r="K406">
            <v>75.752669999999995</v>
          </cell>
          <cell r="L406">
            <v>79.002669999999995</v>
          </cell>
          <cell r="M406">
            <v>70.613919999999993</v>
          </cell>
          <cell r="N406">
            <v>71.789060000000006</v>
          </cell>
          <cell r="O406">
            <v>72.196290000000005</v>
          </cell>
          <cell r="P406">
            <v>75.082490000000007</v>
          </cell>
          <cell r="R406">
            <v>71.289060000000006</v>
          </cell>
          <cell r="S406">
            <v>70.539060000000006</v>
          </cell>
          <cell r="T406">
            <v>73.789060000000006</v>
          </cell>
          <cell r="U406">
            <v>74.796131428571428</v>
          </cell>
          <cell r="V406">
            <v>74.625408571428565</v>
          </cell>
          <cell r="W406">
            <v>77.731741428571425</v>
          </cell>
          <cell r="Z406">
            <v>74.411122857142857</v>
          </cell>
          <cell r="AC406">
            <v>7.6837</v>
          </cell>
          <cell r="AD406">
            <v>8.1971000000000007</v>
          </cell>
          <cell r="AE406">
            <v>7.9404000000000003</v>
          </cell>
          <cell r="AF406">
            <v>7.6287000000000003</v>
          </cell>
          <cell r="AG406">
            <v>7.6287000000000003</v>
          </cell>
          <cell r="AH406">
            <v>7.2618999999999998</v>
          </cell>
          <cell r="AI406">
            <v>7.9771000000000001</v>
          </cell>
          <cell r="AJ406">
            <v>7.8403</v>
          </cell>
          <cell r="AK406">
            <v>7.9714999999999998</v>
          </cell>
          <cell r="AL406">
            <v>7.782</v>
          </cell>
          <cell r="AM406">
            <v>8.0214999999999996</v>
          </cell>
          <cell r="AN406">
            <v>7.8014999999999999</v>
          </cell>
          <cell r="AO406">
            <v>7.6756270820369732</v>
          </cell>
          <cell r="AP406">
            <v>7.803162114658778</v>
          </cell>
          <cell r="AQ406">
            <v>8.3582949649493656</v>
          </cell>
          <cell r="AR406">
            <v>7.8421807824135472</v>
          </cell>
          <cell r="AS406">
            <v>8.0982643276057207</v>
          </cell>
          <cell r="AT406">
            <v>7.8465771288041806</v>
          </cell>
          <cell r="AU406">
            <v>7.8088659183673466</v>
          </cell>
          <cell r="AV406">
            <v>7.9554</v>
          </cell>
          <cell r="AW406">
            <v>8.3322607594936695</v>
          </cell>
          <cell r="AX406">
            <v>8.4814000000000007</v>
          </cell>
          <cell r="AZ406">
            <v>310</v>
          </cell>
          <cell r="BA406">
            <v>310</v>
          </cell>
          <cell r="BC406">
            <v>2041</v>
          </cell>
        </row>
        <row r="407">
          <cell r="D407">
            <v>51561</v>
          </cell>
          <cell r="E407">
            <v>69.502939999999995</v>
          </cell>
          <cell r="F407">
            <v>73.153750000000002</v>
          </cell>
          <cell r="G407">
            <v>66.953069999999997</v>
          </cell>
          <cell r="H407">
            <v>70.751570000000001</v>
          </cell>
          <cell r="J407">
            <v>73.153750000000002</v>
          </cell>
          <cell r="K407">
            <v>72.153750000000002</v>
          </cell>
          <cell r="L407">
            <v>75.403750000000002</v>
          </cell>
          <cell r="M407">
            <v>63.779949999999999</v>
          </cell>
          <cell r="N407">
            <v>67.921530000000004</v>
          </cell>
          <cell r="O407">
            <v>59.863239999999998</v>
          </cell>
          <cell r="P407">
            <v>63.05874</v>
          </cell>
          <cell r="R407">
            <v>67.421530000000004</v>
          </cell>
          <cell r="S407">
            <v>66.421530000000004</v>
          </cell>
          <cell r="T407">
            <v>69.921530000000004</v>
          </cell>
          <cell r="U407">
            <v>66.984208196500674</v>
          </cell>
          <cell r="V407">
            <v>70.851009838492601</v>
          </cell>
          <cell r="W407">
            <v>63.832781426648715</v>
          </cell>
          <cell r="Z407">
            <v>70.630956002691789</v>
          </cell>
          <cell r="AC407">
            <v>7.4268999999999998</v>
          </cell>
          <cell r="AD407">
            <v>7.6102999999999996</v>
          </cell>
          <cell r="AE407">
            <v>7.4820000000000002</v>
          </cell>
          <cell r="AF407">
            <v>7.2801999999999998</v>
          </cell>
          <cell r="AG407">
            <v>7.4085999999999999</v>
          </cell>
          <cell r="AH407">
            <v>7.0968999999999998</v>
          </cell>
          <cell r="AI407">
            <v>7.6653000000000002</v>
          </cell>
          <cell r="AJ407">
            <v>7.5814000000000004</v>
          </cell>
          <cell r="AK407">
            <v>7.7125000000000004</v>
          </cell>
          <cell r="AL407">
            <v>7.5244</v>
          </cell>
          <cell r="AM407">
            <v>7.7625000000000002</v>
          </cell>
          <cell r="AN407">
            <v>7.5433000000000003</v>
          </cell>
          <cell r="AO407">
            <v>7.4178940886007343</v>
          </cell>
          <cell r="AP407">
            <v>7.5412014903600939</v>
          </cell>
          <cell r="AQ407">
            <v>7.8190144990759478</v>
          </cell>
          <cell r="AR407">
            <v>7.5802201581148632</v>
          </cell>
          <cell r="AS407">
            <v>7.7396883424220597</v>
          </cell>
          <cell r="AT407">
            <v>7.3810581207090893</v>
          </cell>
          <cell r="AU407">
            <v>7.5468251020408159</v>
          </cell>
          <cell r="AV407">
            <v>7.4969999999999999</v>
          </cell>
          <cell r="AW407">
            <v>7.7380329113924029</v>
          </cell>
          <cell r="AX407">
            <v>7.8906000000000001</v>
          </cell>
          <cell r="AZ407">
            <v>311</v>
          </cell>
          <cell r="BA407">
            <v>311</v>
          </cell>
          <cell r="BC407">
            <v>2041</v>
          </cell>
        </row>
        <row r="408">
          <cell r="D408">
            <v>51592</v>
          </cell>
          <cell r="E408">
            <v>66.4572</v>
          </cell>
          <cell r="F408">
            <v>68.933909999999997</v>
          </cell>
          <cell r="G408">
            <v>63.289450000000002</v>
          </cell>
          <cell r="H408">
            <v>64.788049999999998</v>
          </cell>
          <cell r="J408">
            <v>67.433909999999997</v>
          </cell>
          <cell r="K408">
            <v>67.433909999999997</v>
          </cell>
          <cell r="L408">
            <v>70.933909999999997</v>
          </cell>
          <cell r="M408">
            <v>60.796080000000003</v>
          </cell>
          <cell r="N408">
            <v>65.613720000000001</v>
          </cell>
          <cell r="O408">
            <v>57.637059999999998</v>
          </cell>
          <cell r="P408">
            <v>64.312659999999994</v>
          </cell>
          <cell r="R408">
            <v>64.863720000000001</v>
          </cell>
          <cell r="S408">
            <v>64.613720000000001</v>
          </cell>
          <cell r="T408">
            <v>67.613720000000001</v>
          </cell>
          <cell r="U408">
            <v>64.066949333333326</v>
          </cell>
          <cell r="V408">
            <v>67.532051999999993</v>
          </cell>
          <cell r="W408">
            <v>60.902885333333337</v>
          </cell>
          <cell r="Z408">
            <v>66.348718666666656</v>
          </cell>
          <cell r="AC408">
            <v>7.1519000000000004</v>
          </cell>
          <cell r="AD408">
            <v>7.1702000000000004</v>
          </cell>
          <cell r="AE408">
            <v>7.0785</v>
          </cell>
          <cell r="AF408">
            <v>7.0052000000000003</v>
          </cell>
          <cell r="AG408">
            <v>7.1702000000000004</v>
          </cell>
          <cell r="AH408">
            <v>6.8033999999999999</v>
          </cell>
          <cell r="AI408">
            <v>7.3719000000000001</v>
          </cell>
          <cell r="AJ408">
            <v>7.2942</v>
          </cell>
          <cell r="AK408">
            <v>7.4245999999999999</v>
          </cell>
          <cell r="AL408">
            <v>7.2442000000000002</v>
          </cell>
          <cell r="AM408">
            <v>7.4745999999999997</v>
          </cell>
          <cell r="AN408">
            <v>7.2598000000000003</v>
          </cell>
          <cell r="AO408">
            <v>7.1418949717979086</v>
          </cell>
          <cell r="AP408">
            <v>7.2606751208813636</v>
          </cell>
          <cell r="AQ408">
            <v>7.3837513905696186</v>
          </cell>
          <cell r="AR408">
            <v>7.2996937886361328</v>
          </cell>
          <cell r="AS408">
            <v>7.4567374215454265</v>
          </cell>
          <cell r="AT408">
            <v>6.9967974382621172</v>
          </cell>
          <cell r="AU408">
            <v>7.2662128571428575</v>
          </cell>
          <cell r="AV408">
            <v>7.0934999999999997</v>
          </cell>
          <cell r="AW408">
            <v>7.2923620253164545</v>
          </cell>
          <cell r="AX408">
            <v>7.3959999999999999</v>
          </cell>
          <cell r="AZ408">
            <v>312</v>
          </cell>
          <cell r="BA408">
            <v>312</v>
          </cell>
          <cell r="BC408">
            <v>2041</v>
          </cell>
        </row>
        <row r="409">
          <cell r="D409">
            <v>51622</v>
          </cell>
          <cell r="E409">
            <v>64.402050000000003</v>
          </cell>
          <cell r="F409">
            <v>67.052639999999997</v>
          </cell>
          <cell r="G409">
            <v>59.156179999999999</v>
          </cell>
          <cell r="H409">
            <v>64.389880000000005</v>
          </cell>
          <cell r="J409">
            <v>67.052639999999997</v>
          </cell>
          <cell r="K409">
            <v>67.052639999999997</v>
          </cell>
          <cell r="L409">
            <v>69.052639999999997</v>
          </cell>
          <cell r="M409">
            <v>52.743609999999997</v>
          </cell>
          <cell r="N409">
            <v>61.448160000000001</v>
          </cell>
          <cell r="O409">
            <v>48.002249999999997</v>
          </cell>
          <cell r="P409">
            <v>52.648150000000001</v>
          </cell>
          <cell r="R409">
            <v>61.448160000000001</v>
          </cell>
          <cell r="S409">
            <v>60.948160000000001</v>
          </cell>
          <cell r="T409">
            <v>63.198160000000001</v>
          </cell>
          <cell r="U409">
            <v>59.262307634408607</v>
          </cell>
          <cell r="V409">
            <v>64.581847741935476</v>
          </cell>
          <cell r="W409">
            <v>54.23885602150537</v>
          </cell>
          <cell r="Z409">
            <v>64.581847741935476</v>
          </cell>
          <cell r="AC409">
            <v>7.1519000000000004</v>
          </cell>
          <cell r="AD409">
            <v>7.0785</v>
          </cell>
          <cell r="AE409">
            <v>7.0785</v>
          </cell>
          <cell r="AF409">
            <v>7.0785</v>
          </cell>
          <cell r="AG409">
            <v>7.1885000000000003</v>
          </cell>
          <cell r="AH409">
            <v>6.7667999999999999</v>
          </cell>
          <cell r="AI409">
            <v>7.3902999999999999</v>
          </cell>
          <cell r="AJ409">
            <v>7.2878999999999996</v>
          </cell>
          <cell r="AK409">
            <v>7.4177999999999997</v>
          </cell>
          <cell r="AL409">
            <v>7.2415000000000003</v>
          </cell>
          <cell r="AM409">
            <v>7.4678000000000004</v>
          </cell>
          <cell r="AN409">
            <v>7.2553999999999998</v>
          </cell>
          <cell r="AO409">
            <v>7.1418949717979086</v>
          </cell>
          <cell r="AP409">
            <v>7.2606751208813636</v>
          </cell>
          <cell r="AQ409">
            <v>7.3364379398227832</v>
          </cell>
          <cell r="AR409">
            <v>7.2996937886361328</v>
          </cell>
          <cell r="AS409">
            <v>7.532156703364544</v>
          </cell>
          <cell r="AT409">
            <v>7.1479399733579259</v>
          </cell>
          <cell r="AU409">
            <v>7.2662128571428575</v>
          </cell>
          <cell r="AV409">
            <v>7.0934999999999997</v>
          </cell>
          <cell r="AW409">
            <v>7.199501265822783</v>
          </cell>
          <cell r="AX409">
            <v>7.2972999999999999</v>
          </cell>
          <cell r="AZ409">
            <v>313</v>
          </cell>
          <cell r="BA409">
            <v>313</v>
          </cell>
          <cell r="BC409">
            <v>2041</v>
          </cell>
        </row>
        <row r="410">
          <cell r="D410">
            <v>51653</v>
          </cell>
          <cell r="E410">
            <v>70.397319999999993</v>
          </cell>
          <cell r="F410">
            <v>72.51728</v>
          </cell>
          <cell r="G410">
            <v>64.916730000000001</v>
          </cell>
          <cell r="H410">
            <v>71.56823</v>
          </cell>
          <cell r="J410">
            <v>71.76728</v>
          </cell>
          <cell r="K410">
            <v>72.51728</v>
          </cell>
          <cell r="L410">
            <v>75.01728</v>
          </cell>
          <cell r="M410">
            <v>57.001710000000003</v>
          </cell>
          <cell r="N410">
            <v>62.958019999999998</v>
          </cell>
          <cell r="O410">
            <v>52.073</v>
          </cell>
          <cell r="P410">
            <v>58.912700000000001</v>
          </cell>
          <cell r="R410">
            <v>62.458019999999998</v>
          </cell>
          <cell r="S410">
            <v>62.458019999999998</v>
          </cell>
          <cell r="T410">
            <v>65.208020000000005</v>
          </cell>
          <cell r="U410">
            <v>64.443715555555556</v>
          </cell>
          <cell r="V410">
            <v>68.268720000000002</v>
          </cell>
          <cell r="W410">
            <v>59.208405555555558</v>
          </cell>
          <cell r="Z410">
            <v>67.629831111111102</v>
          </cell>
          <cell r="AC410">
            <v>7.0235000000000003</v>
          </cell>
          <cell r="AD410">
            <v>6.9500999999999999</v>
          </cell>
          <cell r="AE410">
            <v>7.0235000000000003</v>
          </cell>
          <cell r="AF410">
            <v>7.1702000000000004</v>
          </cell>
          <cell r="AG410">
            <v>7.2252000000000001</v>
          </cell>
          <cell r="AH410">
            <v>6.4</v>
          </cell>
          <cell r="AI410">
            <v>7.4085999999999999</v>
          </cell>
          <cell r="AJ410">
            <v>7.1604999999999999</v>
          </cell>
          <cell r="AK410">
            <v>7.2904999999999998</v>
          </cell>
          <cell r="AL410">
            <v>7.1135999999999999</v>
          </cell>
          <cell r="AM410">
            <v>7.3404999999999996</v>
          </cell>
          <cell r="AN410">
            <v>7.1276999999999999</v>
          </cell>
          <cell r="AO410">
            <v>7.0130284750797882</v>
          </cell>
          <cell r="AP410">
            <v>7.1296948087320207</v>
          </cell>
          <cell r="AQ410">
            <v>7.2418110383291125</v>
          </cell>
          <cell r="AR410">
            <v>7.1687134764867908</v>
          </cell>
          <cell r="AS410">
            <v>7.6265079740714068</v>
          </cell>
          <cell r="AT410">
            <v>7.003560426273185</v>
          </cell>
          <cell r="AU410">
            <v>7.1351924489795922</v>
          </cell>
          <cell r="AV410">
            <v>7.0385</v>
          </cell>
          <cell r="AW410">
            <v>7.0694759493670869</v>
          </cell>
          <cell r="AX410">
            <v>7.1707999999999998</v>
          </cell>
          <cell r="AZ410">
            <v>314</v>
          </cell>
          <cell r="BA410">
            <v>314</v>
          </cell>
          <cell r="BC410">
            <v>2041</v>
          </cell>
        </row>
        <row r="411">
          <cell r="D411">
            <v>51683</v>
          </cell>
          <cell r="E411">
            <v>76.599329999999995</v>
          </cell>
          <cell r="F411">
            <v>78.784760000000006</v>
          </cell>
          <cell r="G411">
            <v>70.821020000000004</v>
          </cell>
          <cell r="H411">
            <v>76.431219999999996</v>
          </cell>
          <cell r="J411">
            <v>83.784760000000006</v>
          </cell>
          <cell r="K411">
            <v>84.284760000000006</v>
          </cell>
          <cell r="L411">
            <v>83.034760000000006</v>
          </cell>
          <cell r="M411">
            <v>63.756929999999997</v>
          </cell>
          <cell r="N411">
            <v>66.606319999999997</v>
          </cell>
          <cell r="O411">
            <v>58.530990000000003</v>
          </cell>
          <cell r="P411">
            <v>63.670189999999998</v>
          </cell>
          <cell r="R411">
            <v>67.606319999999997</v>
          </cell>
          <cell r="S411">
            <v>67.606319999999997</v>
          </cell>
          <cell r="T411">
            <v>69.106319999999997</v>
          </cell>
          <cell r="U411">
            <v>70.937626774193546</v>
          </cell>
          <cell r="V411">
            <v>73.415770322580656</v>
          </cell>
          <cell r="W411">
            <v>65.402834731182807</v>
          </cell>
          <cell r="Z411">
            <v>76.652329462365586</v>
          </cell>
          <cell r="AC411">
            <v>7.1334999999999997</v>
          </cell>
          <cell r="AD411">
            <v>7.0235000000000003</v>
          </cell>
          <cell r="AE411">
            <v>7.1151999999999997</v>
          </cell>
          <cell r="AF411">
            <v>7.2435999999999998</v>
          </cell>
          <cell r="AG411">
            <v>7.3536000000000001</v>
          </cell>
          <cell r="AH411">
            <v>6.4367000000000001</v>
          </cell>
          <cell r="AI411">
            <v>7.5369999999999999</v>
          </cell>
          <cell r="AJ411">
            <v>7.2717999999999998</v>
          </cell>
          <cell r="AK411">
            <v>7.4019000000000004</v>
          </cell>
          <cell r="AL411">
            <v>7.2241</v>
          </cell>
          <cell r="AM411">
            <v>7.4519000000000002</v>
          </cell>
          <cell r="AN411">
            <v>7.2385999999999999</v>
          </cell>
          <cell r="AO411">
            <v>7.1234281218009183</v>
          </cell>
          <cell r="AP411">
            <v>7.241905356523513</v>
          </cell>
          <cell r="AQ411">
            <v>7.326995888037974</v>
          </cell>
          <cell r="AR411">
            <v>7.2809240242782822</v>
          </cell>
          <cell r="AS411">
            <v>7.7020301471344785</v>
          </cell>
          <cell r="AT411">
            <v>7.1367707961881344</v>
          </cell>
          <cell r="AU411">
            <v>7.2474373469387752</v>
          </cell>
          <cell r="AV411">
            <v>7.1302000000000003</v>
          </cell>
          <cell r="AW411">
            <v>7.1438050632911381</v>
          </cell>
          <cell r="AX411">
            <v>7.2465999999999999</v>
          </cell>
          <cell r="AZ411">
            <v>315</v>
          </cell>
          <cell r="BA411">
            <v>315</v>
          </cell>
          <cell r="BC411">
            <v>2041</v>
          </cell>
        </row>
        <row r="412">
          <cell r="D412">
            <v>51714</v>
          </cell>
          <cell r="E412">
            <v>82.929280000000006</v>
          </cell>
          <cell r="F412">
            <v>82.644869999999997</v>
          </cell>
          <cell r="G412">
            <v>77.965429999999998</v>
          </cell>
          <cell r="H412">
            <v>80.028329999999997</v>
          </cell>
          <cell r="J412">
            <v>87.144869999999997</v>
          </cell>
          <cell r="K412">
            <v>88.144869999999997</v>
          </cell>
          <cell r="L412">
            <v>86.394869999999997</v>
          </cell>
          <cell r="M412">
            <v>67.194469999999995</v>
          </cell>
          <cell r="N412">
            <v>68.879230000000007</v>
          </cell>
          <cell r="O412">
            <v>62.355220000000003</v>
          </cell>
          <cell r="P412">
            <v>67.15222</v>
          </cell>
          <cell r="R412">
            <v>69.879230000000007</v>
          </cell>
          <cell r="S412">
            <v>69.879230000000007</v>
          </cell>
          <cell r="T412">
            <v>71.379230000000007</v>
          </cell>
          <cell r="U412">
            <v>76.330811290322586</v>
          </cell>
          <cell r="V412">
            <v>76.872182258064512</v>
          </cell>
          <cell r="W412">
            <v>71.419212903225798</v>
          </cell>
          <cell r="Z412">
            <v>79.904440322580641</v>
          </cell>
          <cell r="AC412">
            <v>7.3902999999999999</v>
          </cell>
          <cell r="AD412">
            <v>7.3352000000000004</v>
          </cell>
          <cell r="AE412">
            <v>7.2801999999999998</v>
          </cell>
          <cell r="AF412">
            <v>7.2435999999999998</v>
          </cell>
          <cell r="AG412">
            <v>7.4085999999999999</v>
          </cell>
          <cell r="AH412">
            <v>6.8768000000000002</v>
          </cell>
          <cell r="AI412">
            <v>7.7386999999999997</v>
          </cell>
          <cell r="AJ412">
            <v>7.5297000000000001</v>
          </cell>
          <cell r="AK412">
            <v>7.6599000000000004</v>
          </cell>
          <cell r="AL412">
            <v>7.4813999999999998</v>
          </cell>
          <cell r="AM412">
            <v>7.7099000000000002</v>
          </cell>
          <cell r="AN412">
            <v>7.4962</v>
          </cell>
          <cell r="AO412">
            <v>7.3811611152371581</v>
          </cell>
          <cell r="AP412">
            <v>7.503865980822197</v>
          </cell>
          <cell r="AQ412">
            <v>7.5729535976455686</v>
          </cell>
          <cell r="AR412">
            <v>7.5428846485769663</v>
          </cell>
          <cell r="AS412">
            <v>7.7020301471344785</v>
          </cell>
          <cell r="AT412">
            <v>7.3999125115278215</v>
          </cell>
          <cell r="AU412">
            <v>7.5094781632653058</v>
          </cell>
          <cell r="AV412">
            <v>7.2952000000000004</v>
          </cell>
          <cell r="AW412">
            <v>7.4594506329113912</v>
          </cell>
          <cell r="AX412">
            <v>7.5606</v>
          </cell>
          <cell r="AZ412">
            <v>316</v>
          </cell>
          <cell r="BA412">
            <v>316</v>
          </cell>
          <cell r="BC412">
            <v>2041</v>
          </cell>
        </row>
        <row r="413">
          <cell r="D413">
            <v>51745</v>
          </cell>
          <cell r="E413">
            <v>75.686679999999996</v>
          </cell>
          <cell r="F413">
            <v>75.811130000000006</v>
          </cell>
          <cell r="G413">
            <v>74.248810000000006</v>
          </cell>
          <cell r="H413">
            <v>75.834410000000005</v>
          </cell>
          <cell r="J413">
            <v>78.811130000000006</v>
          </cell>
          <cell r="K413">
            <v>79.811130000000006</v>
          </cell>
          <cell r="L413">
            <v>78.811130000000006</v>
          </cell>
          <cell r="M413">
            <v>64.993129999999994</v>
          </cell>
          <cell r="N413">
            <v>66.895780000000002</v>
          </cell>
          <cell r="O413">
            <v>64.069909999999993</v>
          </cell>
          <cell r="P413">
            <v>63.797409999999999</v>
          </cell>
          <cell r="R413">
            <v>65.395780000000002</v>
          </cell>
          <cell r="S413">
            <v>65.395780000000002</v>
          </cell>
          <cell r="T413">
            <v>69.145780000000002</v>
          </cell>
          <cell r="U413">
            <v>70.696356666666659</v>
          </cell>
          <cell r="V413">
            <v>71.650633333333346</v>
          </cell>
          <cell r="W413">
            <v>69.498656666666662</v>
          </cell>
          <cell r="Z413">
            <v>72.550633333333337</v>
          </cell>
          <cell r="AC413">
            <v>7.1334999999999997</v>
          </cell>
          <cell r="AD413">
            <v>7.1519000000000004</v>
          </cell>
          <cell r="AE413">
            <v>7.0968999999999998</v>
          </cell>
          <cell r="AF413">
            <v>7.0418000000000003</v>
          </cell>
          <cell r="AG413">
            <v>7.1702000000000004</v>
          </cell>
          <cell r="AH413">
            <v>6.6933999999999996</v>
          </cell>
          <cell r="AI413">
            <v>7.5186000000000002</v>
          </cell>
          <cell r="AJ413">
            <v>7.2731000000000003</v>
          </cell>
          <cell r="AK413">
            <v>7.4032999999999998</v>
          </cell>
          <cell r="AL413">
            <v>7.2247000000000003</v>
          </cell>
          <cell r="AM413">
            <v>7.4532999999999996</v>
          </cell>
          <cell r="AN413">
            <v>7.2396000000000003</v>
          </cell>
          <cell r="AO413">
            <v>7.1234281218009183</v>
          </cell>
          <cell r="AP413">
            <v>7.241905356523513</v>
          </cell>
          <cell r="AQ413">
            <v>7.3838029864810117</v>
          </cell>
          <cell r="AR413">
            <v>7.2809240242782822</v>
          </cell>
          <cell r="AS413">
            <v>7.4943956168330077</v>
          </cell>
          <cell r="AT413">
            <v>7.1316473204221751</v>
          </cell>
          <cell r="AU413">
            <v>7.2474373469387752</v>
          </cell>
          <cell r="AV413">
            <v>7.1119000000000003</v>
          </cell>
          <cell r="AW413">
            <v>7.2738303797468342</v>
          </cell>
          <cell r="AX413">
            <v>7.3773999999999997</v>
          </cell>
          <cell r="AZ413">
            <v>317</v>
          </cell>
          <cell r="BA413">
            <v>317</v>
          </cell>
          <cell r="BC413">
            <v>2041</v>
          </cell>
        </row>
        <row r="414">
          <cell r="D414">
            <v>51775</v>
          </cell>
          <cell r="E414">
            <v>72.833730000000003</v>
          </cell>
          <cell r="F414">
            <v>74.302120000000002</v>
          </cell>
          <cell r="G414">
            <v>70.720510000000004</v>
          </cell>
          <cell r="H414">
            <v>72.507710000000003</v>
          </cell>
          <cell r="J414">
            <v>73.802120000000002</v>
          </cell>
          <cell r="K414">
            <v>74.302120000000002</v>
          </cell>
          <cell r="L414">
            <v>76.302120000000002</v>
          </cell>
          <cell r="M414">
            <v>60.902270000000001</v>
          </cell>
          <cell r="N414">
            <v>66.253360000000001</v>
          </cell>
          <cell r="O414">
            <v>59.584530000000001</v>
          </cell>
          <cell r="P414">
            <v>62.988630000000001</v>
          </cell>
          <cell r="R414">
            <v>65.253360000000001</v>
          </cell>
          <cell r="S414">
            <v>64.753360000000001</v>
          </cell>
          <cell r="T414">
            <v>68.003360000000001</v>
          </cell>
          <cell r="U414">
            <v>67.830214516129033</v>
          </cell>
          <cell r="V414">
            <v>70.926833548387094</v>
          </cell>
          <cell r="W414">
            <v>66.050582903225802</v>
          </cell>
          <cell r="Z414">
            <v>70.217156129032261</v>
          </cell>
          <cell r="AC414">
            <v>7.1885000000000003</v>
          </cell>
          <cell r="AD414">
            <v>7.4820000000000002</v>
          </cell>
          <cell r="AE414">
            <v>7.3352000000000004</v>
          </cell>
          <cell r="AF414">
            <v>7.0602</v>
          </cell>
          <cell r="AG414">
            <v>7.2069000000000001</v>
          </cell>
          <cell r="AH414">
            <v>6.7667999999999999</v>
          </cell>
          <cell r="AI414">
            <v>7.6287000000000003</v>
          </cell>
          <cell r="AJ414">
            <v>7.3295000000000003</v>
          </cell>
          <cell r="AK414">
            <v>7.4596999999999998</v>
          </cell>
          <cell r="AL414">
            <v>7.2803000000000004</v>
          </cell>
          <cell r="AM414">
            <v>7.5096999999999996</v>
          </cell>
          <cell r="AN414">
            <v>7.2954999999999997</v>
          </cell>
          <cell r="AO414">
            <v>7.1786279451614847</v>
          </cell>
          <cell r="AP414">
            <v>7.2980106304192596</v>
          </cell>
          <cell r="AQ414">
            <v>7.6770741468354418</v>
          </cell>
          <cell r="AR414">
            <v>7.3370292981740288</v>
          </cell>
          <cell r="AS414">
            <v>7.513327605720753</v>
          </cell>
          <cell r="AT414">
            <v>7.1905672917307113</v>
          </cell>
          <cell r="AU414">
            <v>7.3035597959183676</v>
          </cell>
          <cell r="AV414">
            <v>7.3502000000000001</v>
          </cell>
          <cell r="AW414">
            <v>7.6081088607594927</v>
          </cell>
          <cell r="AX414">
            <v>7.71</v>
          </cell>
          <cell r="AZ414">
            <v>318</v>
          </cell>
          <cell r="BA414">
            <v>318</v>
          </cell>
          <cell r="BC414">
            <v>2041</v>
          </cell>
        </row>
        <row r="415">
          <cell r="D415">
            <v>51806</v>
          </cell>
          <cell r="E415">
            <v>78.924260000000004</v>
          </cell>
          <cell r="F415">
            <v>76.865939999999995</v>
          </cell>
          <cell r="G415">
            <v>78.757810000000006</v>
          </cell>
          <cell r="H415">
            <v>81.195310000000006</v>
          </cell>
          <cell r="J415">
            <v>76.365939999999995</v>
          </cell>
          <cell r="K415">
            <v>75.365939999999995</v>
          </cell>
          <cell r="L415">
            <v>78.865939999999995</v>
          </cell>
          <cell r="M415">
            <v>65.765879999999996</v>
          </cell>
          <cell r="N415">
            <v>67.084860000000006</v>
          </cell>
          <cell r="O415">
            <v>64.337670000000003</v>
          </cell>
          <cell r="P415">
            <v>65.026570000000007</v>
          </cell>
          <cell r="R415">
            <v>66.584860000000006</v>
          </cell>
          <cell r="S415">
            <v>65.584860000000006</v>
          </cell>
          <cell r="T415">
            <v>68.834860000000006</v>
          </cell>
          <cell r="U415">
            <v>73.065952122052707</v>
          </cell>
          <cell r="V415">
            <v>72.511256671289871</v>
          </cell>
          <cell r="W415">
            <v>72.33774766990291</v>
          </cell>
          <cell r="Z415">
            <v>72.011256671289871</v>
          </cell>
          <cell r="AC415">
            <v>7.2801999999999998</v>
          </cell>
          <cell r="AD415">
            <v>7.8120000000000003</v>
          </cell>
          <cell r="AE415">
            <v>7.5919999999999996</v>
          </cell>
          <cell r="AF415">
            <v>7.2986000000000004</v>
          </cell>
          <cell r="AG415">
            <v>7.2801999999999998</v>
          </cell>
          <cell r="AH415">
            <v>6.8768000000000002</v>
          </cell>
          <cell r="AI415">
            <v>7.7386999999999997</v>
          </cell>
          <cell r="AJ415">
            <v>7.4276</v>
          </cell>
          <cell r="AK415">
            <v>7.5583</v>
          </cell>
          <cell r="AL415">
            <v>7.3746999999999998</v>
          </cell>
          <cell r="AM415">
            <v>7.6082999999999998</v>
          </cell>
          <cell r="AN415">
            <v>7.3917000000000002</v>
          </cell>
          <cell r="AO415">
            <v>7.2706611052008263</v>
          </cell>
          <cell r="AP415">
            <v>7.3915534234418034</v>
          </cell>
          <cell r="AQ415">
            <v>7.9798389548860751</v>
          </cell>
          <cell r="AR415">
            <v>7.4305720911965727</v>
          </cell>
          <cell r="AS415">
            <v>7.7586203313098059</v>
          </cell>
          <cell r="AT415">
            <v>7.3613839737678051</v>
          </cell>
          <cell r="AU415">
            <v>7.3971312244897955</v>
          </cell>
          <cell r="AV415">
            <v>7.6070000000000002</v>
          </cell>
          <cell r="AW415">
            <v>7.9422860759493661</v>
          </cell>
          <cell r="AX415">
            <v>8.0791000000000004</v>
          </cell>
          <cell r="AZ415">
            <v>319</v>
          </cell>
          <cell r="BA415">
            <v>319</v>
          </cell>
          <cell r="BC415">
            <v>2041</v>
          </cell>
        </row>
        <row r="416">
          <cell r="D416">
            <v>51836</v>
          </cell>
          <cell r="E416">
            <v>80.424030000000002</v>
          </cell>
          <cell r="F416">
            <v>77.70017</v>
          </cell>
          <cell r="G416">
            <v>82.505499999999998</v>
          </cell>
          <cell r="H416">
            <v>85.2333</v>
          </cell>
          <cell r="J416">
            <v>77.20017</v>
          </cell>
          <cell r="K416">
            <v>76.95017</v>
          </cell>
          <cell r="L416">
            <v>79.70017</v>
          </cell>
          <cell r="M416">
            <v>72.209990000000005</v>
          </cell>
          <cell r="N416">
            <v>71.659530000000004</v>
          </cell>
          <cell r="O416">
            <v>71.441299999999998</v>
          </cell>
          <cell r="P416">
            <v>74.255799999999994</v>
          </cell>
          <cell r="R416">
            <v>71.159530000000004</v>
          </cell>
          <cell r="S416">
            <v>70.659530000000004</v>
          </cell>
          <cell r="T416">
            <v>73.409530000000004</v>
          </cell>
          <cell r="U416">
            <v>76.626140537634413</v>
          </cell>
          <cell r="V416">
            <v>74.907185913978495</v>
          </cell>
          <cell r="W416">
            <v>77.389794623655916</v>
          </cell>
          <cell r="Z416">
            <v>74.407185913978509</v>
          </cell>
          <cell r="AC416">
            <v>7.6653000000000002</v>
          </cell>
          <cell r="AD416">
            <v>8.1971000000000007</v>
          </cell>
          <cell r="AE416">
            <v>7.9771000000000001</v>
          </cell>
          <cell r="AF416">
            <v>7.7754000000000003</v>
          </cell>
          <cell r="AG416">
            <v>7.6837</v>
          </cell>
          <cell r="AH416">
            <v>7.2618999999999998</v>
          </cell>
          <cell r="AI416">
            <v>8.0870999999999995</v>
          </cell>
          <cell r="AJ416">
            <v>7.8181000000000003</v>
          </cell>
          <cell r="AK416">
            <v>7.9490999999999996</v>
          </cell>
          <cell r="AL416">
            <v>7.7621000000000002</v>
          </cell>
          <cell r="AM416">
            <v>7.9991000000000003</v>
          </cell>
          <cell r="AN416">
            <v>7.7805</v>
          </cell>
          <cell r="AO416">
            <v>7.6571602320399847</v>
          </cell>
          <cell r="AP416">
            <v>7.7843923503009282</v>
          </cell>
          <cell r="AQ416">
            <v>8.3772306644303782</v>
          </cell>
          <cell r="AR416">
            <v>7.8234110180556984</v>
          </cell>
          <cell r="AS416">
            <v>8.2492057824879108</v>
          </cell>
          <cell r="AT416">
            <v>7.7380619120811565</v>
          </cell>
          <cell r="AU416">
            <v>7.7900904081632651</v>
          </cell>
          <cell r="AV416">
            <v>7.9920999999999998</v>
          </cell>
          <cell r="AW416">
            <v>8.3322607594936695</v>
          </cell>
          <cell r="AX416">
            <v>8.4742999999999995</v>
          </cell>
          <cell r="AZ416">
            <v>320</v>
          </cell>
          <cell r="BA416">
            <v>320</v>
          </cell>
          <cell r="BC416">
            <v>2041</v>
          </cell>
        </row>
        <row r="417">
          <cell r="D417">
            <v>51867</v>
          </cell>
          <cell r="E417">
            <v>79.459559999999996</v>
          </cell>
          <cell r="F417">
            <v>79.266909999999996</v>
          </cell>
          <cell r="G417">
            <v>77.660799999999995</v>
          </cell>
          <cell r="H417">
            <v>81.469300000000004</v>
          </cell>
          <cell r="J417">
            <v>78.766909999999996</v>
          </cell>
          <cell r="K417">
            <v>78.766909999999996</v>
          </cell>
          <cell r="L417">
            <v>81.516909999999996</v>
          </cell>
          <cell r="M417">
            <v>71.935069999999996</v>
          </cell>
          <cell r="N417">
            <v>72.209810000000004</v>
          </cell>
          <cell r="O417">
            <v>67.931889999999996</v>
          </cell>
          <cell r="P417">
            <v>71.176389999999998</v>
          </cell>
          <cell r="R417">
            <v>71.709810000000004</v>
          </cell>
          <cell r="S417">
            <v>71.709810000000004</v>
          </cell>
          <cell r="T417">
            <v>74.459810000000004</v>
          </cell>
          <cell r="U417">
            <v>76.142311720430101</v>
          </cell>
          <cell r="V417">
            <v>76.155715376344091</v>
          </cell>
          <cell r="W417">
            <v>73.371710645161286</v>
          </cell>
          <cell r="Z417">
            <v>75.655715376344077</v>
          </cell>
          <cell r="AC417">
            <v>7.8228999999999997</v>
          </cell>
          <cell r="AD417">
            <v>7.9916999999999998</v>
          </cell>
          <cell r="AE417">
            <v>8.0291999999999994</v>
          </cell>
          <cell r="AF417">
            <v>7.8228999999999997</v>
          </cell>
          <cell r="AG417">
            <v>7.7477999999999998</v>
          </cell>
          <cell r="AH417">
            <v>7.0911999999999997</v>
          </cell>
          <cell r="AI417">
            <v>8.2355999999999998</v>
          </cell>
          <cell r="AJ417">
            <v>7.98</v>
          </cell>
          <cell r="AK417">
            <v>8.1113</v>
          </cell>
          <cell r="AL417">
            <v>7.9214000000000002</v>
          </cell>
          <cell r="AM417">
            <v>8.1613000000000007</v>
          </cell>
          <cell r="AN417">
            <v>7.9410999999999996</v>
          </cell>
          <cell r="AO417">
            <v>7.8153328167968041</v>
          </cell>
          <cell r="AP417">
            <v>7.9451594624094666</v>
          </cell>
          <cell r="AQ417">
            <v>8.2981341322658224</v>
          </cell>
          <cell r="AR417">
            <v>7.9841781301642358</v>
          </cell>
          <cell r="AS417">
            <v>8.2980791233666018</v>
          </cell>
          <cell r="AT417">
            <v>7.9738442668306186</v>
          </cell>
          <cell r="AU417">
            <v>7.9509067346938771</v>
          </cell>
          <cell r="AV417">
            <v>8.0442</v>
          </cell>
          <cell r="AW417">
            <v>8.1242607594936693</v>
          </cell>
          <cell r="AX417">
            <v>8.2769999999999992</v>
          </cell>
          <cell r="AZ417">
            <v>321</v>
          </cell>
          <cell r="BA417">
            <v>321</v>
          </cell>
          <cell r="BC417">
            <v>2042</v>
          </cell>
        </row>
        <row r="418">
          <cell r="D418">
            <v>51898</v>
          </cell>
          <cell r="E418">
            <v>79.725229999999996</v>
          </cell>
          <cell r="F418">
            <v>78.517979999999994</v>
          </cell>
          <cell r="G418">
            <v>83.766649999999998</v>
          </cell>
          <cell r="H418">
            <v>87.724649999999997</v>
          </cell>
          <cell r="J418">
            <v>78.517979999999994</v>
          </cell>
          <cell r="K418">
            <v>77.517979999999994</v>
          </cell>
          <cell r="L418">
            <v>80.767979999999994</v>
          </cell>
          <cell r="M418">
            <v>72.238039999999998</v>
          </cell>
          <cell r="N418">
            <v>73.440219999999997</v>
          </cell>
          <cell r="O418">
            <v>73.856800000000007</v>
          </cell>
          <cell r="P418">
            <v>76.743099999999998</v>
          </cell>
          <cell r="R418">
            <v>72.940219999999997</v>
          </cell>
          <cell r="S418">
            <v>72.190219999999997</v>
          </cell>
          <cell r="T418">
            <v>75.440219999999997</v>
          </cell>
          <cell r="U418">
            <v>76.516434285714283</v>
          </cell>
          <cell r="V418">
            <v>76.341797142857132</v>
          </cell>
          <cell r="W418">
            <v>79.519571428571425</v>
          </cell>
          <cell r="Z418">
            <v>76.127511428571424</v>
          </cell>
          <cell r="AC418">
            <v>7.8604000000000003</v>
          </cell>
          <cell r="AD418">
            <v>8.3856999999999999</v>
          </cell>
          <cell r="AE418">
            <v>8.1229999999999993</v>
          </cell>
          <cell r="AF418">
            <v>7.8041</v>
          </cell>
          <cell r="AG418">
            <v>7.8041</v>
          </cell>
          <cell r="AH418">
            <v>7.4288999999999996</v>
          </cell>
          <cell r="AI418">
            <v>8.1606000000000005</v>
          </cell>
          <cell r="AJ418">
            <v>8.0169999999999995</v>
          </cell>
          <cell r="AK418">
            <v>8.1481999999999992</v>
          </cell>
          <cell r="AL418">
            <v>7.9587000000000003</v>
          </cell>
          <cell r="AM418">
            <v>8.1981999999999999</v>
          </cell>
          <cell r="AN418">
            <v>7.9782000000000002</v>
          </cell>
          <cell r="AO418">
            <v>7.8529690599971893</v>
          </cell>
          <cell r="AP418">
            <v>7.9834130582474758</v>
          </cell>
          <cell r="AQ418">
            <v>8.5498189880379734</v>
          </cell>
          <cell r="AR418">
            <v>8.022431726002246</v>
          </cell>
          <cell r="AS418">
            <v>8.278735569503036</v>
          </cell>
          <cell r="AT418">
            <v>8.0276407623731956</v>
          </cell>
          <cell r="AU418">
            <v>7.9891720408163263</v>
          </cell>
          <cell r="AV418">
            <v>8.1379999999999999</v>
          </cell>
          <cell r="AW418">
            <v>8.5232481012658212</v>
          </cell>
          <cell r="AX418">
            <v>8.6699000000000002</v>
          </cell>
          <cell r="AZ418">
            <v>322</v>
          </cell>
          <cell r="BA418">
            <v>322</v>
          </cell>
          <cell r="BC418">
            <v>2042</v>
          </cell>
        </row>
        <row r="419">
          <cell r="D419">
            <v>51926</v>
          </cell>
          <cell r="E419">
            <v>71.101519999999994</v>
          </cell>
          <cell r="F419">
            <v>74.836280000000002</v>
          </cell>
          <cell r="G419">
            <v>68.492990000000006</v>
          </cell>
          <cell r="H419">
            <v>72.291489999999996</v>
          </cell>
          <cell r="J419">
            <v>74.836280000000002</v>
          </cell>
          <cell r="K419">
            <v>73.836280000000002</v>
          </cell>
          <cell r="L419">
            <v>77.086280000000002</v>
          </cell>
          <cell r="M419">
            <v>65.246889999999993</v>
          </cell>
          <cell r="N419">
            <v>69.483729999999994</v>
          </cell>
          <cell r="O419">
            <v>61.240090000000002</v>
          </cell>
          <cell r="P419">
            <v>64.435590000000005</v>
          </cell>
          <cell r="R419">
            <v>68.983729999999994</v>
          </cell>
          <cell r="S419">
            <v>67.983729999999994</v>
          </cell>
          <cell r="T419">
            <v>71.483729999999994</v>
          </cell>
          <cell r="U419">
            <v>68.524852422611033</v>
          </cell>
          <cell r="V419">
            <v>72.480581682368765</v>
          </cell>
          <cell r="W419">
            <v>65.300933068640646</v>
          </cell>
          <cell r="Z419">
            <v>72.260527846567967</v>
          </cell>
          <cell r="AC419">
            <v>7.5978000000000003</v>
          </cell>
          <cell r="AD419">
            <v>7.7854000000000001</v>
          </cell>
          <cell r="AE419">
            <v>7.6539999999999999</v>
          </cell>
          <cell r="AF419">
            <v>7.4477000000000002</v>
          </cell>
          <cell r="AG419">
            <v>7.5789999999999997</v>
          </cell>
          <cell r="AH419">
            <v>7.2601000000000004</v>
          </cell>
          <cell r="AI419">
            <v>7.8415999999999997</v>
          </cell>
          <cell r="AJ419">
            <v>7.7522000000000002</v>
          </cell>
          <cell r="AK419">
            <v>7.8833000000000002</v>
          </cell>
          <cell r="AL419">
            <v>7.6951999999999998</v>
          </cell>
          <cell r="AM419">
            <v>7.9333</v>
          </cell>
          <cell r="AN419">
            <v>7.7141000000000002</v>
          </cell>
          <cell r="AO419">
            <v>7.5894149942792906</v>
          </cell>
          <cell r="AP419">
            <v>7.7155358777925125</v>
          </cell>
          <cell r="AQ419">
            <v>7.9981039075189857</v>
          </cell>
          <cell r="AR419">
            <v>7.7545545455472826</v>
          </cell>
          <cell r="AS419">
            <v>7.9120311760469182</v>
          </cell>
          <cell r="AT419">
            <v>7.5561785223895903</v>
          </cell>
          <cell r="AU419">
            <v>7.7212128571428567</v>
          </cell>
          <cell r="AV419">
            <v>7.6689999999999996</v>
          </cell>
          <cell r="AW419">
            <v>7.9153493670886057</v>
          </cell>
          <cell r="AX419">
            <v>8.0656999999999996</v>
          </cell>
          <cell r="AZ419">
            <v>323</v>
          </cell>
          <cell r="BA419">
            <v>323</v>
          </cell>
          <cell r="BC419">
            <v>2042</v>
          </cell>
        </row>
        <row r="420">
          <cell r="D420">
            <v>51957</v>
          </cell>
          <cell r="E420">
            <v>67.985720000000001</v>
          </cell>
          <cell r="F420">
            <v>70.519390000000001</v>
          </cell>
          <cell r="G420">
            <v>64.745109999999997</v>
          </cell>
          <cell r="H420">
            <v>66.243709999999993</v>
          </cell>
          <cell r="J420">
            <v>69.019390000000001</v>
          </cell>
          <cell r="K420">
            <v>69.019390000000001</v>
          </cell>
          <cell r="L420">
            <v>72.519390000000001</v>
          </cell>
          <cell r="M420">
            <v>62.194389999999999</v>
          </cell>
          <cell r="N420">
            <v>67.122829999999993</v>
          </cell>
          <cell r="O420">
            <v>58.962710000000001</v>
          </cell>
          <cell r="P420">
            <v>65.638310000000004</v>
          </cell>
          <cell r="R420">
            <v>66.372829999999993</v>
          </cell>
          <cell r="S420">
            <v>66.122829999999993</v>
          </cell>
          <cell r="T420">
            <v>69.122829999999993</v>
          </cell>
          <cell r="U420">
            <v>65.540491777777774</v>
          </cell>
          <cell r="V420">
            <v>69.085286888888888</v>
          </cell>
          <cell r="W420">
            <v>62.303652222222226</v>
          </cell>
          <cell r="Z420">
            <v>67.901953555555551</v>
          </cell>
          <cell r="AC420">
            <v>7.3163999999999998</v>
          </cell>
          <cell r="AD420">
            <v>7.3350999999999997</v>
          </cell>
          <cell r="AE420">
            <v>7.2412999999999998</v>
          </cell>
          <cell r="AF420">
            <v>7.1662999999999997</v>
          </cell>
          <cell r="AG420">
            <v>7.3350999999999997</v>
          </cell>
          <cell r="AH420">
            <v>6.9599000000000002</v>
          </cell>
          <cell r="AI420">
            <v>7.5415000000000001</v>
          </cell>
          <cell r="AJ420">
            <v>7.4587000000000003</v>
          </cell>
          <cell r="AK420">
            <v>7.5891000000000002</v>
          </cell>
          <cell r="AL420">
            <v>7.4086999999999996</v>
          </cell>
          <cell r="AM420">
            <v>7.6391</v>
          </cell>
          <cell r="AN420">
            <v>7.4242999999999997</v>
          </cell>
          <cell r="AO420">
            <v>7.3069926253035984</v>
          </cell>
          <cell r="AP420">
            <v>7.4284808946240943</v>
          </cell>
          <cell r="AQ420">
            <v>7.5528311922025297</v>
          </cell>
          <cell r="AR420">
            <v>7.4674995623788636</v>
          </cell>
          <cell r="AS420">
            <v>7.6224952155571559</v>
          </cell>
          <cell r="AT420">
            <v>7.1653597909621896</v>
          </cell>
          <cell r="AU420">
            <v>7.4340699999999993</v>
          </cell>
          <cell r="AV420">
            <v>7.2563000000000004</v>
          </cell>
          <cell r="AW420">
            <v>7.4593493670886062</v>
          </cell>
          <cell r="AX420">
            <v>7.5609000000000002</v>
          </cell>
          <cell r="AZ420">
            <v>324</v>
          </cell>
          <cell r="BA420">
            <v>324</v>
          </cell>
          <cell r="BC420">
            <v>2042</v>
          </cell>
        </row>
        <row r="421">
          <cell r="D421">
            <v>51987</v>
          </cell>
          <cell r="E421">
            <v>65.883290000000002</v>
          </cell>
          <cell r="F421">
            <v>68.594849999999994</v>
          </cell>
          <cell r="G421">
            <v>60.516770000000001</v>
          </cell>
          <cell r="H421">
            <v>65.750470000000007</v>
          </cell>
          <cell r="J421">
            <v>68.594849999999994</v>
          </cell>
          <cell r="K421">
            <v>68.594849999999994</v>
          </cell>
          <cell r="L421">
            <v>70.594849999999994</v>
          </cell>
          <cell r="M421">
            <v>53.956710000000001</v>
          </cell>
          <cell r="N421">
            <v>62.861469999999997</v>
          </cell>
          <cell r="O421">
            <v>49.106299999999997</v>
          </cell>
          <cell r="P421">
            <v>53.752200000000002</v>
          </cell>
          <cell r="R421">
            <v>62.861469999999997</v>
          </cell>
          <cell r="S421">
            <v>62.361469999999997</v>
          </cell>
          <cell r="T421">
            <v>64.611469999999997</v>
          </cell>
          <cell r="U421">
            <v>60.62533537634409</v>
          </cell>
          <cell r="V421">
            <v>66.067230860215048</v>
          </cell>
          <cell r="W421">
            <v>55.486347741935482</v>
          </cell>
          <cell r="Z421">
            <v>66.067230860215048</v>
          </cell>
          <cell r="AC421">
            <v>7.3163999999999998</v>
          </cell>
          <cell r="AD421">
            <v>7.2412999999999998</v>
          </cell>
          <cell r="AE421">
            <v>7.2412999999999998</v>
          </cell>
          <cell r="AF421">
            <v>7.2412999999999998</v>
          </cell>
          <cell r="AG421">
            <v>7.3539000000000003</v>
          </cell>
          <cell r="AH421">
            <v>6.9223999999999997</v>
          </cell>
          <cell r="AI421">
            <v>7.5602</v>
          </cell>
          <cell r="AJ421">
            <v>7.4523999999999999</v>
          </cell>
          <cell r="AK421">
            <v>7.5823</v>
          </cell>
          <cell r="AL421">
            <v>7.4059999999999997</v>
          </cell>
          <cell r="AM421">
            <v>7.6322999999999999</v>
          </cell>
          <cell r="AN421">
            <v>7.4199000000000002</v>
          </cell>
          <cell r="AO421">
            <v>7.3069926253035984</v>
          </cell>
          <cell r="AP421">
            <v>7.4284808946240943</v>
          </cell>
          <cell r="AQ421">
            <v>7.5044342273164544</v>
          </cell>
          <cell r="AR421">
            <v>7.4674995623788636</v>
          </cell>
          <cell r="AS421">
            <v>7.6996636485235106</v>
          </cell>
          <cell r="AT421">
            <v>7.3165023260579982</v>
          </cell>
          <cell r="AU421">
            <v>7.4340699999999993</v>
          </cell>
          <cell r="AV421">
            <v>7.2563000000000004</v>
          </cell>
          <cell r="AW421">
            <v>7.3643620253164537</v>
          </cell>
          <cell r="AX421">
            <v>7.4600999999999997</v>
          </cell>
          <cell r="AZ421">
            <v>325</v>
          </cell>
          <cell r="BA421">
            <v>325</v>
          </cell>
          <cell r="BC421">
            <v>2042</v>
          </cell>
        </row>
        <row r="422">
          <cell r="D422">
            <v>52018</v>
          </cell>
          <cell r="E422">
            <v>72.016459999999995</v>
          </cell>
          <cell r="F422">
            <v>74.185169999999999</v>
          </cell>
          <cell r="G422">
            <v>66.409819999999996</v>
          </cell>
          <cell r="H422">
            <v>73.061319999999995</v>
          </cell>
          <cell r="J422">
            <v>73.435169999999999</v>
          </cell>
          <cell r="K422">
            <v>74.185169999999999</v>
          </cell>
          <cell r="L422">
            <v>76.685169999999999</v>
          </cell>
          <cell r="M422">
            <v>58.312750000000001</v>
          </cell>
          <cell r="N422">
            <v>64.406049999999993</v>
          </cell>
          <cell r="O422">
            <v>53.270679999999999</v>
          </cell>
          <cell r="P422">
            <v>60.110379999999999</v>
          </cell>
          <cell r="R422">
            <v>63.90605</v>
          </cell>
          <cell r="S422">
            <v>63.90605</v>
          </cell>
          <cell r="T422">
            <v>66.656049999999993</v>
          </cell>
          <cell r="U422">
            <v>65.925922222222226</v>
          </cell>
          <cell r="V422">
            <v>69.838894444444435</v>
          </cell>
          <cell r="W422">
            <v>60.570202222222214</v>
          </cell>
          <cell r="Z422">
            <v>69.200005555555549</v>
          </cell>
          <cell r="AC422">
            <v>7.1849999999999996</v>
          </cell>
          <cell r="AD422">
            <v>7.11</v>
          </cell>
          <cell r="AE422">
            <v>7.1849999999999996</v>
          </cell>
          <cell r="AF422">
            <v>7.3350999999999997</v>
          </cell>
          <cell r="AG422">
            <v>7.3914</v>
          </cell>
          <cell r="AH422">
            <v>6.5472000000000001</v>
          </cell>
          <cell r="AI422">
            <v>7.5789999999999997</v>
          </cell>
          <cell r="AJ422">
            <v>7.3220000000000001</v>
          </cell>
          <cell r="AK422">
            <v>7.452</v>
          </cell>
          <cell r="AL422">
            <v>7.2751000000000001</v>
          </cell>
          <cell r="AM422">
            <v>7.5019999999999998</v>
          </cell>
          <cell r="AN422">
            <v>7.2892999999999999</v>
          </cell>
          <cell r="AO422">
            <v>7.1751152291294487</v>
          </cell>
          <cell r="AP422">
            <v>7.2944402948077123</v>
          </cell>
          <cell r="AQ422">
            <v>7.4076402975443028</v>
          </cell>
          <cell r="AR422">
            <v>7.3334589625624806</v>
          </cell>
          <cell r="AS422">
            <v>7.7961756353534311</v>
          </cell>
          <cell r="AT422">
            <v>7.1690486935136795</v>
          </cell>
          <cell r="AU422">
            <v>7.2999883673469386</v>
          </cell>
          <cell r="AV422">
            <v>7.2</v>
          </cell>
          <cell r="AW422">
            <v>7.2313999999999989</v>
          </cell>
          <cell r="AX422">
            <v>7.3307000000000002</v>
          </cell>
          <cell r="AZ422">
            <v>326</v>
          </cell>
          <cell r="BA422">
            <v>326</v>
          </cell>
          <cell r="BC422">
            <v>2042</v>
          </cell>
        </row>
        <row r="423">
          <cell r="D423">
            <v>52048</v>
          </cell>
          <cell r="E423">
            <v>78.361109999999996</v>
          </cell>
          <cell r="F423">
            <v>80.596810000000005</v>
          </cell>
          <cell r="G423">
            <v>72.449910000000003</v>
          </cell>
          <cell r="H423">
            <v>78.060109999999995</v>
          </cell>
          <cell r="J423">
            <v>85.596810000000005</v>
          </cell>
          <cell r="K423">
            <v>86.096810000000005</v>
          </cell>
          <cell r="L423">
            <v>84.846810000000005</v>
          </cell>
          <cell r="M423">
            <v>65.223339999999993</v>
          </cell>
          <cell r="N423">
            <v>68.138270000000006</v>
          </cell>
          <cell r="O423">
            <v>59.877200000000002</v>
          </cell>
          <cell r="P423">
            <v>65.016499999999994</v>
          </cell>
          <cell r="R423">
            <v>69.138270000000006</v>
          </cell>
          <cell r="S423">
            <v>69.138270000000006</v>
          </cell>
          <cell r="T423">
            <v>70.638270000000006</v>
          </cell>
          <cell r="U423">
            <v>72.569189892473119</v>
          </cell>
          <cell r="V423">
            <v>75.104335376344096</v>
          </cell>
          <cell r="W423">
            <v>66.907102365591399</v>
          </cell>
          <cell r="Z423">
            <v>78.34089451612904</v>
          </cell>
          <cell r="AC423">
            <v>7.2976000000000001</v>
          </cell>
          <cell r="AD423">
            <v>7.1849999999999996</v>
          </cell>
          <cell r="AE423">
            <v>7.2788000000000004</v>
          </cell>
          <cell r="AF423">
            <v>7.4101999999999997</v>
          </cell>
          <cell r="AG423">
            <v>7.5227000000000004</v>
          </cell>
          <cell r="AH423">
            <v>6.5846999999999998</v>
          </cell>
          <cell r="AI423">
            <v>7.7103000000000002</v>
          </cell>
          <cell r="AJ423">
            <v>7.4359000000000002</v>
          </cell>
          <cell r="AK423">
            <v>7.5659000000000001</v>
          </cell>
          <cell r="AL423">
            <v>7.3882000000000003</v>
          </cell>
          <cell r="AM423">
            <v>7.6158999999999999</v>
          </cell>
          <cell r="AN423">
            <v>7.4027000000000003</v>
          </cell>
          <cell r="AO423">
            <v>7.2881243220458058</v>
          </cell>
          <cell r="AP423">
            <v>7.4093030919106395</v>
          </cell>
          <cell r="AQ423">
            <v>7.494734195974682</v>
          </cell>
          <cell r="AR423">
            <v>7.4483217596654088</v>
          </cell>
          <cell r="AS423">
            <v>7.8734469595637409</v>
          </cell>
          <cell r="AT423">
            <v>7.3049232708269294</v>
          </cell>
          <cell r="AU423">
            <v>7.4148863265306115</v>
          </cell>
          <cell r="AV423">
            <v>7.2938000000000001</v>
          </cell>
          <cell r="AW423">
            <v>7.3073493670886061</v>
          </cell>
          <cell r="AX423">
            <v>7.4081000000000001</v>
          </cell>
          <cell r="AZ423">
            <v>327</v>
          </cell>
          <cell r="BA423">
            <v>327</v>
          </cell>
          <cell r="BC423">
            <v>2042</v>
          </cell>
        </row>
        <row r="424">
          <cell r="D424">
            <v>52079</v>
          </cell>
          <cell r="E424">
            <v>84.836650000000006</v>
          </cell>
          <cell r="F424">
            <v>84.54571</v>
          </cell>
          <cell r="G424">
            <v>79.75864</v>
          </cell>
          <cell r="H424">
            <v>81.821539999999999</v>
          </cell>
          <cell r="J424">
            <v>89.04571</v>
          </cell>
          <cell r="K424">
            <v>90.04571</v>
          </cell>
          <cell r="L424">
            <v>88.29571</v>
          </cell>
          <cell r="M424">
            <v>68.739940000000004</v>
          </cell>
          <cell r="N424">
            <v>70.463459999999998</v>
          </cell>
          <cell r="O424">
            <v>63.789389999999997</v>
          </cell>
          <cell r="P424">
            <v>68.586389999999994</v>
          </cell>
          <cell r="R424">
            <v>71.463459999999998</v>
          </cell>
          <cell r="S424">
            <v>71.463459999999998</v>
          </cell>
          <cell r="T424">
            <v>72.963459999999998</v>
          </cell>
          <cell r="U424">
            <v>77.740250967741943</v>
          </cell>
          <cell r="V424">
            <v>78.337406236559133</v>
          </cell>
          <cell r="W424">
            <v>72.71843301075269</v>
          </cell>
          <cell r="Z424">
            <v>81.294395483870971</v>
          </cell>
          <cell r="AC424">
            <v>7.5602</v>
          </cell>
          <cell r="AD424">
            <v>7.5039999999999996</v>
          </cell>
          <cell r="AE424">
            <v>7.4477000000000002</v>
          </cell>
          <cell r="AF424">
            <v>7.4101999999999997</v>
          </cell>
          <cell r="AG424">
            <v>7.5789999999999997</v>
          </cell>
          <cell r="AH424">
            <v>7.0350000000000001</v>
          </cell>
          <cell r="AI424">
            <v>7.9166999999999996</v>
          </cell>
          <cell r="AJ424">
            <v>7.6997</v>
          </cell>
          <cell r="AK424">
            <v>7.8299000000000003</v>
          </cell>
          <cell r="AL424">
            <v>7.6513999999999998</v>
          </cell>
          <cell r="AM424">
            <v>7.8799000000000001</v>
          </cell>
          <cell r="AN424">
            <v>7.6661999999999999</v>
          </cell>
          <cell r="AO424">
            <v>7.5516783877637046</v>
          </cell>
          <cell r="AP424">
            <v>7.677180272365602</v>
          </cell>
          <cell r="AQ424">
            <v>7.7464706476582261</v>
          </cell>
          <cell r="AR424">
            <v>7.7161989401203721</v>
          </cell>
          <cell r="AS424">
            <v>7.8734469595637409</v>
          </cell>
          <cell r="AT424">
            <v>7.5740082180551287</v>
          </cell>
          <cell r="AU424">
            <v>7.6828455102040811</v>
          </cell>
          <cell r="AV424">
            <v>7.4626999999999999</v>
          </cell>
          <cell r="AW424">
            <v>7.6303873417721499</v>
          </cell>
          <cell r="AX424">
            <v>7.7293000000000003</v>
          </cell>
          <cell r="AZ424">
            <v>328</v>
          </cell>
          <cell r="BA424">
            <v>328</v>
          </cell>
          <cell r="BC424">
            <v>2042</v>
          </cell>
        </row>
        <row r="425">
          <cell r="D425">
            <v>52110</v>
          </cell>
          <cell r="E425">
            <v>77.42747</v>
          </cell>
          <cell r="F425">
            <v>77.554779999999994</v>
          </cell>
          <cell r="G425">
            <v>75.956530000000001</v>
          </cell>
          <cell r="H425">
            <v>77.54213</v>
          </cell>
          <cell r="J425">
            <v>80.554779999999994</v>
          </cell>
          <cell r="K425">
            <v>81.554779999999994</v>
          </cell>
          <cell r="L425">
            <v>80.554779999999994</v>
          </cell>
          <cell r="M425">
            <v>66.487970000000004</v>
          </cell>
          <cell r="N425">
            <v>68.434389999999993</v>
          </cell>
          <cell r="O425">
            <v>65.543520000000001</v>
          </cell>
          <cell r="P425">
            <v>65.271019999999993</v>
          </cell>
          <cell r="R425">
            <v>66.934389999999993</v>
          </cell>
          <cell r="S425">
            <v>66.934389999999993</v>
          </cell>
          <cell r="T425">
            <v>70.684389999999993</v>
          </cell>
          <cell r="U425">
            <v>72.565470000000005</v>
          </cell>
          <cell r="V425">
            <v>73.50127333333333</v>
          </cell>
          <cell r="W425">
            <v>71.328525555555558</v>
          </cell>
          <cell r="Z425">
            <v>74.50127333333333</v>
          </cell>
          <cell r="AC425">
            <v>7.2976000000000001</v>
          </cell>
          <cell r="AD425">
            <v>7.3163999999999998</v>
          </cell>
          <cell r="AE425">
            <v>7.2601000000000004</v>
          </cell>
          <cell r="AF425">
            <v>7.2038000000000002</v>
          </cell>
          <cell r="AG425">
            <v>7.3350999999999997</v>
          </cell>
          <cell r="AH425">
            <v>6.8474000000000004</v>
          </cell>
          <cell r="AI425">
            <v>7.6916000000000002</v>
          </cell>
          <cell r="AJ425">
            <v>7.4371999999999998</v>
          </cell>
          <cell r="AK425">
            <v>7.5674000000000001</v>
          </cell>
          <cell r="AL425">
            <v>7.3887999999999998</v>
          </cell>
          <cell r="AM425">
            <v>7.6173999999999999</v>
          </cell>
          <cell r="AN425">
            <v>7.4036</v>
          </cell>
          <cell r="AO425">
            <v>7.2881243220458058</v>
          </cell>
          <cell r="AP425">
            <v>7.4093030919106395</v>
          </cell>
          <cell r="AQ425">
            <v>7.5528827881139229</v>
          </cell>
          <cell r="AR425">
            <v>7.4483217596654088</v>
          </cell>
          <cell r="AS425">
            <v>7.6610794320403333</v>
          </cell>
          <cell r="AT425">
            <v>7.2997997950609701</v>
          </cell>
          <cell r="AU425">
            <v>7.4148863265306115</v>
          </cell>
          <cell r="AV425">
            <v>7.2751000000000001</v>
          </cell>
          <cell r="AW425">
            <v>7.4404126582278467</v>
          </cell>
          <cell r="AX425">
            <v>7.5419</v>
          </cell>
          <cell r="AZ425">
            <v>329</v>
          </cell>
          <cell r="BA425">
            <v>329</v>
          </cell>
          <cell r="BC425">
            <v>2042</v>
          </cell>
        </row>
        <row r="426">
          <cell r="D426">
            <v>52140</v>
          </cell>
          <cell r="E426">
            <v>74.50891</v>
          </cell>
          <cell r="F426">
            <v>76.011080000000007</v>
          </cell>
          <cell r="G426">
            <v>72.347080000000005</v>
          </cell>
          <cell r="H426">
            <v>74.134280000000004</v>
          </cell>
          <cell r="J426">
            <v>75.511080000000007</v>
          </cell>
          <cell r="K426">
            <v>76.011080000000007</v>
          </cell>
          <cell r="L426">
            <v>78.011080000000007</v>
          </cell>
          <cell r="M426">
            <v>62.303019999999997</v>
          </cell>
          <cell r="N426">
            <v>67.777190000000004</v>
          </cell>
          <cell r="O426">
            <v>60.954979999999999</v>
          </cell>
          <cell r="P426">
            <v>64.359080000000006</v>
          </cell>
          <cell r="R426">
            <v>66.777190000000004</v>
          </cell>
          <cell r="S426">
            <v>66.277190000000004</v>
          </cell>
          <cell r="T426">
            <v>69.527190000000004</v>
          </cell>
          <cell r="U426">
            <v>69.390310967741939</v>
          </cell>
          <cell r="V426">
            <v>72.558158387096782</v>
          </cell>
          <cell r="W426">
            <v>67.569747741935487</v>
          </cell>
          <cell r="Z426">
            <v>71.848480967741935</v>
          </cell>
          <cell r="AC426">
            <v>7.3539000000000003</v>
          </cell>
          <cell r="AD426">
            <v>7.6539999999999999</v>
          </cell>
          <cell r="AE426">
            <v>7.5039999999999996</v>
          </cell>
          <cell r="AF426">
            <v>7.2225999999999999</v>
          </cell>
          <cell r="AG426">
            <v>7.3726000000000003</v>
          </cell>
          <cell r="AH426">
            <v>6.9223999999999997</v>
          </cell>
          <cell r="AI426">
            <v>7.8041</v>
          </cell>
          <cell r="AJ426">
            <v>7.4947999999999997</v>
          </cell>
          <cell r="AK426">
            <v>7.6250999999999998</v>
          </cell>
          <cell r="AL426">
            <v>7.4455999999999998</v>
          </cell>
          <cell r="AM426">
            <v>7.6750999999999996</v>
          </cell>
          <cell r="AN426">
            <v>7.4607999999999999</v>
          </cell>
          <cell r="AO426">
            <v>7.3446288685039844</v>
          </cell>
          <cell r="AP426">
            <v>7.4667344904621036</v>
          </cell>
          <cell r="AQ426">
            <v>7.8529130128607587</v>
          </cell>
          <cell r="AR426">
            <v>7.5057531582168728</v>
          </cell>
          <cell r="AS426">
            <v>7.680422985903899</v>
          </cell>
          <cell r="AT426">
            <v>7.3600518700686557</v>
          </cell>
          <cell r="AU426">
            <v>7.4723353061224493</v>
          </cell>
          <cell r="AV426">
            <v>7.5190000000000001</v>
          </cell>
          <cell r="AW426">
            <v>7.7822860759493651</v>
          </cell>
          <cell r="AX426">
            <v>7.8821000000000003</v>
          </cell>
          <cell r="AZ426">
            <v>330</v>
          </cell>
          <cell r="BA426">
            <v>330</v>
          </cell>
          <cell r="BC426">
            <v>2042</v>
          </cell>
        </row>
        <row r="427">
          <cell r="D427">
            <v>52171</v>
          </cell>
          <cell r="E427">
            <v>80.739519999999999</v>
          </cell>
          <cell r="F427">
            <v>78.633859999999999</v>
          </cell>
          <cell r="G427">
            <v>80.569239999999994</v>
          </cell>
          <cell r="H427">
            <v>83.006739999999994</v>
          </cell>
          <cell r="J427">
            <v>78.133859999999999</v>
          </cell>
          <cell r="K427">
            <v>77.133859999999999</v>
          </cell>
          <cell r="L427">
            <v>80.633859999999999</v>
          </cell>
          <cell r="M427">
            <v>67.278499999999994</v>
          </cell>
          <cell r="N427">
            <v>68.62782</v>
          </cell>
          <cell r="O427">
            <v>65.817440000000005</v>
          </cell>
          <cell r="P427">
            <v>66.506339999999994</v>
          </cell>
          <cell r="R427">
            <v>68.12782</v>
          </cell>
          <cell r="S427">
            <v>67.12782</v>
          </cell>
          <cell r="T427">
            <v>70.37782</v>
          </cell>
          <cell r="U427">
            <v>74.447753370319006</v>
          </cell>
          <cell r="V427">
            <v>73.956973065187242</v>
          </cell>
          <cell r="W427">
            <v>73.674154563106782</v>
          </cell>
          <cell r="Z427">
            <v>73.456973065187242</v>
          </cell>
          <cell r="AC427">
            <v>7.4477000000000002</v>
          </cell>
          <cell r="AD427">
            <v>7.9916999999999998</v>
          </cell>
          <cell r="AE427">
            <v>7.7666000000000004</v>
          </cell>
          <cell r="AF427">
            <v>7.4664000000000001</v>
          </cell>
          <cell r="AG427">
            <v>7.4477000000000002</v>
          </cell>
          <cell r="AH427">
            <v>7.0350000000000001</v>
          </cell>
          <cell r="AI427">
            <v>7.9166999999999996</v>
          </cell>
          <cell r="AJ427">
            <v>7.5951000000000004</v>
          </cell>
          <cell r="AK427">
            <v>7.7256999999999998</v>
          </cell>
          <cell r="AL427">
            <v>7.5420999999999996</v>
          </cell>
          <cell r="AM427">
            <v>7.7756999999999996</v>
          </cell>
          <cell r="AN427">
            <v>7.5590999999999999</v>
          </cell>
          <cell r="AO427">
            <v>7.4387696581625482</v>
          </cell>
          <cell r="AP427">
            <v>7.562419484851576</v>
          </cell>
          <cell r="AQ427">
            <v>8.1626432689493669</v>
          </cell>
          <cell r="AR427">
            <v>7.6014381526063461</v>
          </cell>
          <cell r="AS427">
            <v>7.9312718386665297</v>
          </cell>
          <cell r="AT427">
            <v>7.5330204119274518</v>
          </cell>
          <cell r="AU427">
            <v>7.5680495918367345</v>
          </cell>
          <cell r="AV427">
            <v>7.7816000000000001</v>
          </cell>
          <cell r="AW427">
            <v>8.1242607594936693</v>
          </cell>
          <cell r="AX427">
            <v>8.2588000000000008</v>
          </cell>
          <cell r="AZ427">
            <v>331</v>
          </cell>
          <cell r="BA427">
            <v>331</v>
          </cell>
          <cell r="BC427">
            <v>2042</v>
          </cell>
        </row>
        <row r="428">
          <cell r="D428">
            <v>52201</v>
          </cell>
          <cell r="E428">
            <v>82.273780000000002</v>
          </cell>
          <cell r="F428">
            <v>79.487279999999998</v>
          </cell>
          <cell r="G428">
            <v>84.403130000000004</v>
          </cell>
          <cell r="H428">
            <v>87.130930000000006</v>
          </cell>
          <cell r="J428">
            <v>78.987279999999998</v>
          </cell>
          <cell r="K428">
            <v>78.737279999999998</v>
          </cell>
          <cell r="L428">
            <v>81.487279999999998</v>
          </cell>
          <cell r="M428">
            <v>73.870819999999995</v>
          </cell>
          <cell r="N428">
            <v>73.307699999999997</v>
          </cell>
          <cell r="O428">
            <v>73.084450000000004</v>
          </cell>
          <cell r="P428">
            <v>75.898949999999999</v>
          </cell>
          <cell r="R428">
            <v>72.807699999999997</v>
          </cell>
          <cell r="S428">
            <v>72.307699999999997</v>
          </cell>
          <cell r="T428">
            <v>75.057699999999997</v>
          </cell>
          <cell r="U428">
            <v>78.569249247311831</v>
          </cell>
          <cell r="V428">
            <v>76.762949032258064</v>
          </cell>
          <cell r="W428">
            <v>79.413174301075273</v>
          </cell>
          <cell r="Z428">
            <v>76.262949032258049</v>
          </cell>
          <cell r="AC428">
            <v>7.8415999999999997</v>
          </cell>
          <cell r="AD428">
            <v>8.3856999999999999</v>
          </cell>
          <cell r="AE428">
            <v>8.1606000000000005</v>
          </cell>
          <cell r="AF428">
            <v>7.9542000000000002</v>
          </cell>
          <cell r="AG428">
            <v>7.8604000000000003</v>
          </cell>
          <cell r="AH428">
            <v>7.4288999999999996</v>
          </cell>
          <cell r="AI428">
            <v>8.2730999999999995</v>
          </cell>
          <cell r="AJ428">
            <v>7.9943999999999997</v>
          </cell>
          <cell r="AK428">
            <v>8.1254000000000008</v>
          </cell>
          <cell r="AL428">
            <v>7.9383999999999997</v>
          </cell>
          <cell r="AM428">
            <v>8.1753999999999998</v>
          </cell>
          <cell r="AN428">
            <v>7.9568000000000003</v>
          </cell>
          <cell r="AO428">
            <v>7.8341007567393968</v>
          </cell>
          <cell r="AP428">
            <v>7.964235255534021</v>
          </cell>
          <cell r="AQ428">
            <v>8.569219050721518</v>
          </cell>
          <cell r="AR428">
            <v>8.0032539232887903</v>
          </cell>
          <cell r="AS428">
            <v>8.4331753266797005</v>
          </cell>
          <cell r="AT428">
            <v>7.9187156675888923</v>
          </cell>
          <cell r="AU428">
            <v>7.9699883673469394</v>
          </cell>
          <cell r="AV428">
            <v>8.1755999999999993</v>
          </cell>
          <cell r="AW428">
            <v>8.5232481012658212</v>
          </cell>
          <cell r="AX428">
            <v>8.6628000000000007</v>
          </cell>
          <cell r="AZ428">
            <v>332</v>
          </cell>
          <cell r="BA428">
            <v>332</v>
          </cell>
          <cell r="BC428">
            <v>2042</v>
          </cell>
        </row>
        <row r="429">
          <cell r="D429">
            <v>52232</v>
          </cell>
          <cell r="E429">
            <v>81.287139999999994</v>
          </cell>
          <cell r="F429">
            <v>81.090050000000005</v>
          </cell>
          <cell r="G429">
            <v>79.447000000000003</v>
          </cell>
          <cell r="H429">
            <v>83.255499999999998</v>
          </cell>
          <cell r="J429">
            <v>80.590050000000005</v>
          </cell>
          <cell r="K429">
            <v>80.590050000000005</v>
          </cell>
          <cell r="L429">
            <v>83.340050000000005</v>
          </cell>
          <cell r="M429">
            <v>73.589579999999998</v>
          </cell>
          <cell r="N429">
            <v>73.870639999999995</v>
          </cell>
          <cell r="O429">
            <v>69.494320000000002</v>
          </cell>
          <cell r="P429">
            <v>72.738820000000004</v>
          </cell>
          <cell r="R429">
            <v>73.370639999999995</v>
          </cell>
          <cell r="S429">
            <v>73.370639999999995</v>
          </cell>
          <cell r="T429">
            <v>76.120639999999995</v>
          </cell>
          <cell r="U429">
            <v>77.893592043010756</v>
          </cell>
          <cell r="V429">
            <v>77.907299354838713</v>
          </cell>
          <cell r="W429">
            <v>75.059259354838716</v>
          </cell>
          <cell r="Z429">
            <v>77.407299354838699</v>
          </cell>
          <cell r="AC429">
            <v>8.0028000000000006</v>
          </cell>
          <cell r="AD429">
            <v>8.1754999999999995</v>
          </cell>
          <cell r="AE429">
            <v>8.2139000000000006</v>
          </cell>
          <cell r="AF429">
            <v>8.0028000000000006</v>
          </cell>
          <cell r="AG429">
            <v>7.9260000000000002</v>
          </cell>
          <cell r="AH429">
            <v>7.2542999999999997</v>
          </cell>
          <cell r="AI429">
            <v>8.4250000000000007</v>
          </cell>
          <cell r="AJ429">
            <v>8.1599000000000004</v>
          </cell>
          <cell r="AK429">
            <v>8.2911999999999999</v>
          </cell>
          <cell r="AL429">
            <v>8.1013999999999999</v>
          </cell>
          <cell r="AM429">
            <v>8.3412000000000006</v>
          </cell>
          <cell r="AN429">
            <v>8.1210000000000004</v>
          </cell>
          <cell r="AO429">
            <v>7.995886420843453</v>
          </cell>
          <cell r="AP429">
            <v>8.1286747128430079</v>
          </cell>
          <cell r="AQ429">
            <v>8.4882650657468357</v>
          </cell>
          <cell r="AR429">
            <v>8.1676933805977789</v>
          </cell>
          <cell r="AS429">
            <v>8.4831804712418997</v>
          </cell>
          <cell r="AT429">
            <v>8.1581869248898471</v>
          </cell>
          <cell r="AU429">
            <v>8.1344781632653067</v>
          </cell>
          <cell r="AV429">
            <v>8.2288999999999994</v>
          </cell>
          <cell r="AW429">
            <v>8.3103873417721505</v>
          </cell>
          <cell r="AX429">
            <v>8.4608000000000008</v>
          </cell>
          <cell r="AZ429">
            <v>333</v>
          </cell>
          <cell r="BA429">
            <v>333</v>
          </cell>
          <cell r="BC429">
            <v>2043</v>
          </cell>
        </row>
        <row r="430">
          <cell r="D430">
            <v>52263</v>
          </cell>
          <cell r="E430">
            <v>81.558920000000001</v>
          </cell>
          <cell r="F430">
            <v>80.323899999999995</v>
          </cell>
          <cell r="G430">
            <v>85.693280000000001</v>
          </cell>
          <cell r="H430">
            <v>89.65128</v>
          </cell>
          <cell r="J430">
            <v>80.323899999999995</v>
          </cell>
          <cell r="K430">
            <v>79.323899999999995</v>
          </cell>
          <cell r="L430">
            <v>82.573899999999995</v>
          </cell>
          <cell r="M430">
            <v>73.899519999999995</v>
          </cell>
          <cell r="N430">
            <v>75.129339999999999</v>
          </cell>
          <cell r="O430">
            <v>75.555509999999998</v>
          </cell>
          <cell r="P430">
            <v>78.441810000000004</v>
          </cell>
          <cell r="R430">
            <v>74.629339999999999</v>
          </cell>
          <cell r="S430">
            <v>73.879339999999999</v>
          </cell>
          <cell r="T430">
            <v>77.129339999999999</v>
          </cell>
          <cell r="U430">
            <v>78.276319999999998</v>
          </cell>
          <cell r="V430">
            <v>78.097659999999991</v>
          </cell>
          <cell r="W430">
            <v>81.348521428571431</v>
          </cell>
          <cell r="Z430">
            <v>77.883374285714282</v>
          </cell>
          <cell r="AC430">
            <v>8.0411999999999999</v>
          </cell>
          <cell r="AD430">
            <v>8.5785</v>
          </cell>
          <cell r="AE430">
            <v>8.3099000000000007</v>
          </cell>
          <cell r="AF430">
            <v>7.9836</v>
          </cell>
          <cell r="AG430">
            <v>7.9836</v>
          </cell>
          <cell r="AH430">
            <v>7.5998000000000001</v>
          </cell>
          <cell r="AI430">
            <v>8.3482000000000003</v>
          </cell>
          <cell r="AJ430">
            <v>8.1978000000000009</v>
          </cell>
          <cell r="AK430">
            <v>8.3290000000000006</v>
          </cell>
          <cell r="AL430">
            <v>8.1395</v>
          </cell>
          <cell r="AM430">
            <v>8.3789999999999996</v>
          </cell>
          <cell r="AN430">
            <v>8.1590000000000007</v>
          </cell>
          <cell r="AO430">
            <v>8.0344259338806481</v>
          </cell>
          <cell r="AP430">
            <v>8.1678463949811295</v>
          </cell>
          <cell r="AQ430">
            <v>8.7457286635949369</v>
          </cell>
          <cell r="AR430">
            <v>8.2068650627358988</v>
          </cell>
          <cell r="AS430">
            <v>8.4634253524025116</v>
          </cell>
          <cell r="AT430">
            <v>8.2129056460702952</v>
          </cell>
          <cell r="AU430">
            <v>8.1736618367346949</v>
          </cell>
          <cell r="AV430">
            <v>8.3248999999999995</v>
          </cell>
          <cell r="AW430">
            <v>8.718488607594935</v>
          </cell>
          <cell r="AX430">
            <v>8.8628</v>
          </cell>
          <cell r="AZ430">
            <v>334</v>
          </cell>
          <cell r="BA430">
            <v>334</v>
          </cell>
          <cell r="BC430">
            <v>2043</v>
          </cell>
        </row>
        <row r="431">
          <cell r="D431">
            <v>52291</v>
          </cell>
          <cell r="E431">
            <v>72.736850000000004</v>
          </cell>
          <cell r="F431">
            <v>76.557519999999997</v>
          </cell>
          <cell r="G431">
            <v>70.068330000000003</v>
          </cell>
          <cell r="H431">
            <v>73.866829999999993</v>
          </cell>
          <cell r="J431">
            <v>76.557519999999997</v>
          </cell>
          <cell r="K431">
            <v>75.557519999999997</v>
          </cell>
          <cell r="L431">
            <v>78.807519999999997</v>
          </cell>
          <cell r="M431">
            <v>66.747569999999996</v>
          </cell>
          <cell r="N431">
            <v>71.081860000000006</v>
          </cell>
          <cell r="O431">
            <v>62.648620000000001</v>
          </cell>
          <cell r="P431">
            <v>65.844120000000004</v>
          </cell>
          <cell r="R431">
            <v>70.581860000000006</v>
          </cell>
          <cell r="S431">
            <v>69.581860000000006</v>
          </cell>
          <cell r="T431">
            <v>73.081860000000006</v>
          </cell>
          <cell r="U431">
            <v>70.100921924629887</v>
          </cell>
          <cell r="V431">
            <v>74.147640026917898</v>
          </cell>
          <cell r="W431">
            <v>66.802858707940786</v>
          </cell>
          <cell r="Z431">
            <v>73.927586191117086</v>
          </cell>
          <cell r="AC431">
            <v>7.7725</v>
          </cell>
          <cell r="AD431">
            <v>7.9644000000000004</v>
          </cell>
          <cell r="AE431">
            <v>7.8300999999999998</v>
          </cell>
          <cell r="AF431">
            <v>7.6189999999999998</v>
          </cell>
          <cell r="AG431">
            <v>7.7533000000000003</v>
          </cell>
          <cell r="AH431">
            <v>7.4271000000000003</v>
          </cell>
          <cell r="AI431">
            <v>8.0220000000000002</v>
          </cell>
          <cell r="AJ431">
            <v>7.9269999999999996</v>
          </cell>
          <cell r="AK431">
            <v>8.0580999999999996</v>
          </cell>
          <cell r="AL431">
            <v>7.87</v>
          </cell>
          <cell r="AM431">
            <v>8.1081000000000003</v>
          </cell>
          <cell r="AN431">
            <v>7.8888999999999996</v>
          </cell>
          <cell r="AO431">
            <v>7.7647497059354862</v>
          </cell>
          <cell r="AP431">
            <v>7.8937466296031831</v>
          </cell>
          <cell r="AQ431">
            <v>8.1813209888734164</v>
          </cell>
          <cell r="AR431">
            <v>7.9327652973579523</v>
          </cell>
          <cell r="AS431">
            <v>8.0882838769420733</v>
          </cell>
          <cell r="AT431">
            <v>7.7351927656522186</v>
          </cell>
          <cell r="AU431">
            <v>7.8994781632653055</v>
          </cell>
          <cell r="AV431">
            <v>7.8451000000000004</v>
          </cell>
          <cell r="AW431">
            <v>8.0966151898734164</v>
          </cell>
          <cell r="AX431">
            <v>8.2446999999999999</v>
          </cell>
          <cell r="AZ431">
            <v>335</v>
          </cell>
          <cell r="BA431">
            <v>335</v>
          </cell>
          <cell r="BC431">
            <v>2043</v>
          </cell>
        </row>
        <row r="433">
          <cell r="E433" t="str">
            <v>COB HLH</v>
          </cell>
          <cell r="F433" t="str">
            <v>Palo Verde HLH</v>
          </cell>
          <cell r="G433" t="str">
            <v>Mid-Columbia HLH</v>
          </cell>
          <cell r="H433" t="str">
            <v>NOBHLH</v>
          </cell>
          <cell r="J433" t="str">
            <v>Four Corners HLH</v>
          </cell>
          <cell r="K433" t="str">
            <v>Mona HLH</v>
          </cell>
          <cell r="L433" t="str">
            <v>Mead HLH</v>
          </cell>
          <cell r="M433" t="str">
            <v>COB LLH</v>
          </cell>
          <cell r="N433" t="str">
            <v>Palo Verde LLH</v>
          </cell>
          <cell r="O433" t="str">
            <v>Mid-Columbia LLH</v>
          </cell>
          <cell r="P433" t="str">
            <v>NOBLLH</v>
          </cell>
          <cell r="R433" t="str">
            <v>Four Corners LLH</v>
          </cell>
          <cell r="S433" t="str">
            <v>Mona LLH</v>
          </cell>
          <cell r="T433" t="str">
            <v>Mead LLH</v>
          </cell>
          <cell r="U433" t="str">
            <v>COB</v>
          </cell>
          <cell r="V433" t="str">
            <v>PV</v>
          </cell>
          <cell r="W433" t="str">
            <v>MidC</v>
          </cell>
          <cell r="X433" t="str">
            <v>NOB</v>
          </cell>
          <cell r="Z433" t="str">
            <v>FC</v>
          </cell>
          <cell r="AC433" t="str">
            <v>Opal Gas</v>
          </cell>
          <cell r="AD433" t="str">
            <v>SUMAS</v>
          </cell>
          <cell r="AE433" t="str">
            <v>Stanfield Gas</v>
          </cell>
          <cell r="AF433" t="str">
            <v>SANJUAN</v>
          </cell>
          <cell r="AG433" t="str">
            <v>Henry Hub Gas</v>
          </cell>
          <cell r="AH433" t="str">
            <v>AECO</v>
          </cell>
          <cell r="AI433" t="str">
            <v>SOCALBOR</v>
          </cell>
          <cell r="AJ433" t="str">
            <v>Currant Creek</v>
          </cell>
          <cell r="AK433" t="str">
            <v>GADSBY</v>
          </cell>
          <cell r="AL433" t="str">
            <v>Lakeside</v>
          </cell>
          <cell r="AM433" t="str">
            <v>LTLMTN</v>
          </cell>
          <cell r="AN433" t="str">
            <v>WV_PLANT</v>
          </cell>
          <cell r="AO433" t="str">
            <v>Bridger</v>
          </cell>
          <cell r="AP433" t="str">
            <v>Naughton</v>
          </cell>
          <cell r="AQ433" t="str">
            <v>West</v>
          </cell>
          <cell r="AR433" t="str">
            <v>East</v>
          </cell>
          <cell r="AS433" t="str">
            <v>Cholla</v>
          </cell>
          <cell r="AT433" t="str">
            <v>Johnston</v>
          </cell>
          <cell r="AU433" t="str">
            <v>Utah</v>
          </cell>
          <cell r="AV433" t="str">
            <v>Hermiston</v>
          </cell>
          <cell r="AW433" t="str">
            <v>OR W</v>
          </cell>
          <cell r="AX433" t="str">
            <v>Z_CHEBRN</v>
          </cell>
        </row>
        <row r="434">
          <cell r="D434" t="str">
            <v>Match Value</v>
          </cell>
          <cell r="E434">
            <v>5</v>
          </cell>
          <cell r="F434">
            <v>7</v>
          </cell>
          <cell r="G434">
            <v>9</v>
          </cell>
          <cell r="H434">
            <v>31</v>
          </cell>
          <cell r="J434">
            <v>17</v>
          </cell>
          <cell r="K434">
            <v>15</v>
          </cell>
          <cell r="L434">
            <v>27</v>
          </cell>
          <cell r="M434">
            <v>6</v>
          </cell>
          <cell r="N434">
            <v>8</v>
          </cell>
          <cell r="O434">
            <v>10</v>
          </cell>
          <cell r="P434">
            <v>32</v>
          </cell>
          <cell r="R434">
            <v>18</v>
          </cell>
          <cell r="S434">
            <v>16</v>
          </cell>
          <cell r="T434">
            <v>28</v>
          </cell>
          <cell r="U434">
            <v>76</v>
          </cell>
          <cell r="V434">
            <v>77</v>
          </cell>
          <cell r="W434">
            <v>78</v>
          </cell>
          <cell r="X434" t="e">
            <v>#N/A</v>
          </cell>
          <cell r="Z434">
            <v>80</v>
          </cell>
          <cell r="AC434">
            <v>36</v>
          </cell>
          <cell r="AD434">
            <v>42</v>
          </cell>
          <cell r="AE434">
            <v>41</v>
          </cell>
          <cell r="AF434">
            <v>35</v>
          </cell>
          <cell r="AG434">
            <v>33</v>
          </cell>
          <cell r="AH434">
            <v>43</v>
          </cell>
          <cell r="AI434">
            <v>34</v>
          </cell>
          <cell r="AJ434">
            <v>47</v>
          </cell>
          <cell r="AK434">
            <v>44</v>
          </cell>
          <cell r="AL434">
            <v>48</v>
          </cell>
          <cell r="AM434">
            <v>46</v>
          </cell>
          <cell r="AN434">
            <v>45</v>
          </cell>
          <cell r="AO434">
            <v>97</v>
          </cell>
          <cell r="AP434">
            <v>98</v>
          </cell>
          <cell r="AQ434">
            <v>66</v>
          </cell>
          <cell r="AR434">
            <v>68</v>
          </cell>
          <cell r="AS434">
            <v>94</v>
          </cell>
          <cell r="AT434">
            <v>95</v>
          </cell>
          <cell r="AU434">
            <v>71</v>
          </cell>
          <cell r="AV434">
            <v>52</v>
          </cell>
          <cell r="AW434">
            <v>63</v>
          </cell>
          <cell r="AX434">
            <v>49</v>
          </cell>
        </row>
        <row r="435">
          <cell r="D435" t="str">
            <v>Expected Value</v>
          </cell>
          <cell r="E435">
            <v>5</v>
          </cell>
          <cell r="F435">
            <v>7</v>
          </cell>
          <cell r="G435">
            <v>9</v>
          </cell>
          <cell r="H435">
            <v>31</v>
          </cell>
          <cell r="J435">
            <v>17</v>
          </cell>
          <cell r="K435">
            <v>15</v>
          </cell>
          <cell r="L435">
            <v>27</v>
          </cell>
          <cell r="M435">
            <v>6</v>
          </cell>
          <cell r="N435">
            <v>8</v>
          </cell>
          <cell r="O435">
            <v>10</v>
          </cell>
          <cell r="P435">
            <v>32</v>
          </cell>
          <cell r="R435">
            <v>18</v>
          </cell>
          <cell r="S435">
            <v>16</v>
          </cell>
          <cell r="T435">
            <v>28</v>
          </cell>
          <cell r="U435">
            <v>76</v>
          </cell>
          <cell r="V435">
            <v>77</v>
          </cell>
          <cell r="W435">
            <v>78</v>
          </cell>
          <cell r="X435">
            <v>82</v>
          </cell>
          <cell r="Z435">
            <v>80</v>
          </cell>
          <cell r="AC435">
            <v>36</v>
          </cell>
          <cell r="AD435">
            <v>42</v>
          </cell>
          <cell r="AE435">
            <v>41</v>
          </cell>
          <cell r="AF435">
            <v>35</v>
          </cell>
          <cell r="AG435">
            <v>33</v>
          </cell>
          <cell r="AH435">
            <v>43</v>
          </cell>
          <cell r="AI435">
            <v>34</v>
          </cell>
          <cell r="AJ435">
            <v>47</v>
          </cell>
          <cell r="AK435">
            <v>44</v>
          </cell>
          <cell r="AL435">
            <v>48</v>
          </cell>
          <cell r="AM435">
            <v>46</v>
          </cell>
          <cell r="AN435">
            <v>45</v>
          </cell>
          <cell r="AO435">
            <v>97</v>
          </cell>
          <cell r="AP435">
            <v>98</v>
          </cell>
          <cell r="AQ435">
            <v>66</v>
          </cell>
          <cell r="AR435">
            <v>68</v>
          </cell>
          <cell r="AS435">
            <v>94</v>
          </cell>
          <cell r="AT435">
            <v>95</v>
          </cell>
          <cell r="AU435">
            <v>71</v>
          </cell>
          <cell r="AV435">
            <v>52</v>
          </cell>
          <cell r="AW435">
            <v>63</v>
          </cell>
          <cell r="AX435">
            <v>49</v>
          </cell>
        </row>
      </sheetData>
      <sheetData sheetId="3">
        <row r="6">
          <cell r="B6">
            <v>2006</v>
          </cell>
          <cell r="C6">
            <v>3.2000000000000001E-2</v>
          </cell>
        </row>
        <row r="7">
          <cell r="B7">
            <v>2007</v>
          </cell>
          <cell r="C7">
            <v>2.9000000000000001E-2</v>
          </cell>
        </row>
        <row r="8">
          <cell r="B8">
            <v>2008</v>
          </cell>
          <cell r="C8">
            <v>0.03</v>
          </cell>
        </row>
        <row r="9">
          <cell r="B9">
            <v>2009</v>
          </cell>
          <cell r="C9">
            <v>3.0000000000000001E-3</v>
          </cell>
        </row>
        <row r="10">
          <cell r="B10">
            <v>2010</v>
          </cell>
          <cell r="C10">
            <v>1.2999999999999999E-2</v>
          </cell>
        </row>
        <row r="11">
          <cell r="B11">
            <v>2011</v>
          </cell>
          <cell r="C11">
            <v>2.5999999999999999E-2</v>
          </cell>
        </row>
        <row r="12">
          <cell r="B12">
            <v>2012</v>
          </cell>
          <cell r="C12">
            <v>1.9E-2</v>
          </cell>
        </row>
        <row r="13">
          <cell r="B13">
            <v>2013</v>
          </cell>
          <cell r="C13">
            <v>1.4999999999999999E-2</v>
          </cell>
        </row>
        <row r="14">
          <cell r="B14">
            <v>2014</v>
          </cell>
          <cell r="C14">
            <v>1.6E-2</v>
          </cell>
        </row>
        <row r="15">
          <cell r="B15">
            <v>2015</v>
          </cell>
          <cell r="C15">
            <v>6.0000000000000001E-3</v>
          </cell>
        </row>
        <row r="16">
          <cell r="B16">
            <v>2016</v>
          </cell>
          <cell r="C16">
            <v>1.2E-2</v>
          </cell>
        </row>
        <row r="17">
          <cell r="B17">
            <v>2017</v>
          </cell>
          <cell r="C17">
            <v>2.1999999999999999E-2</v>
          </cell>
        </row>
        <row r="18">
          <cell r="B18">
            <v>2018</v>
          </cell>
          <cell r="C18">
            <v>2.4E-2</v>
          </cell>
        </row>
        <row r="19">
          <cell r="B19">
            <v>2019</v>
          </cell>
          <cell r="C19">
            <v>2.4E-2</v>
          </cell>
        </row>
        <row r="20">
          <cell r="B20">
            <v>2020</v>
          </cell>
          <cell r="C20">
            <v>2.4E-2</v>
          </cell>
        </row>
        <row r="21">
          <cell r="B21">
            <v>2021</v>
          </cell>
          <cell r="C21">
            <v>2.4E-2</v>
          </cell>
        </row>
        <row r="22">
          <cell r="B22">
            <v>2022</v>
          </cell>
          <cell r="C22">
            <v>2.3E-2</v>
          </cell>
        </row>
        <row r="23">
          <cell r="B23">
            <v>2023</v>
          </cell>
          <cell r="C23">
            <v>2.3E-2</v>
          </cell>
        </row>
        <row r="24">
          <cell r="B24">
            <v>2024</v>
          </cell>
          <cell r="C24">
            <v>2.3E-2</v>
          </cell>
        </row>
        <row r="25">
          <cell r="B25">
            <v>2025</v>
          </cell>
          <cell r="C25">
            <v>2.1999999999999999E-2</v>
          </cell>
        </row>
        <row r="26">
          <cell r="B26">
            <v>2026</v>
          </cell>
          <cell r="C26">
            <v>2.1999999999999999E-2</v>
          </cell>
        </row>
        <row r="27">
          <cell r="B27">
            <v>2027</v>
          </cell>
          <cell r="C27">
            <v>2.1999999999999999E-2</v>
          </cell>
        </row>
        <row r="28">
          <cell r="B28">
            <v>2028</v>
          </cell>
          <cell r="C28">
            <v>2.1999999999999999E-2</v>
          </cell>
        </row>
        <row r="29">
          <cell r="B29">
            <v>2029</v>
          </cell>
          <cell r="C29">
            <v>2.1000000000000001E-2</v>
          </cell>
        </row>
        <row r="30">
          <cell r="B30">
            <v>2030</v>
          </cell>
          <cell r="C30">
            <v>2.1999999999999999E-2</v>
          </cell>
        </row>
        <row r="31">
          <cell r="B31">
            <v>2031</v>
          </cell>
          <cell r="C31">
            <v>2.1999999999999999E-2</v>
          </cell>
        </row>
        <row r="32">
          <cell r="B32">
            <v>2032</v>
          </cell>
          <cell r="C32">
            <v>2.1999999999999999E-2</v>
          </cell>
        </row>
        <row r="33">
          <cell r="B33">
            <v>2033</v>
          </cell>
          <cell r="C33">
            <v>2.1999999999999999E-2</v>
          </cell>
        </row>
        <row r="34">
          <cell r="B34">
            <v>2034</v>
          </cell>
          <cell r="C34">
            <v>2.1999999999999999E-2</v>
          </cell>
        </row>
        <row r="35">
          <cell r="B35">
            <v>2035</v>
          </cell>
          <cell r="C35">
            <v>2.1999999999999999E-2</v>
          </cell>
        </row>
        <row r="36">
          <cell r="B36">
            <v>2036</v>
          </cell>
          <cell r="C36">
            <v>2.1999999999999999E-2</v>
          </cell>
        </row>
        <row r="37">
          <cell r="B37">
            <v>2037</v>
          </cell>
          <cell r="C37">
            <v>2.1999999999999999E-2</v>
          </cell>
        </row>
        <row r="38">
          <cell r="B38">
            <v>2038</v>
          </cell>
          <cell r="C38">
            <v>2.3E-2</v>
          </cell>
        </row>
        <row r="39">
          <cell r="B39">
            <v>2039</v>
          </cell>
          <cell r="C39">
            <v>2.3E-2</v>
          </cell>
        </row>
        <row r="40">
          <cell r="B40">
            <v>2040</v>
          </cell>
          <cell r="C40">
            <v>2.3E-2</v>
          </cell>
        </row>
        <row r="41">
          <cell r="B41">
            <v>2041</v>
          </cell>
          <cell r="C41">
            <v>2.3E-2</v>
          </cell>
        </row>
        <row r="42">
          <cell r="B42">
            <v>2042</v>
          </cell>
          <cell r="C42">
            <v>2.3E-2</v>
          </cell>
        </row>
        <row r="43">
          <cell r="B43">
            <v>2043</v>
          </cell>
          <cell r="C43">
            <v>2.3E-2</v>
          </cell>
        </row>
        <row r="44">
          <cell r="B44">
            <v>2044</v>
          </cell>
          <cell r="C44">
            <v>2.3E-2</v>
          </cell>
        </row>
        <row r="45">
          <cell r="B45">
            <v>2045</v>
          </cell>
          <cell r="C45">
            <v>2.3E-2</v>
          </cell>
        </row>
        <row r="46">
          <cell r="B46">
            <v>2046</v>
          </cell>
          <cell r="C46">
            <v>2.3E-2</v>
          </cell>
        </row>
        <row r="47">
          <cell r="B47">
            <v>2047</v>
          </cell>
          <cell r="C47">
            <v>2.3E-2</v>
          </cell>
        </row>
        <row r="48">
          <cell r="B48">
            <v>2048</v>
          </cell>
          <cell r="C48">
            <v>2.3E-2</v>
          </cell>
        </row>
        <row r="49">
          <cell r="B49">
            <v>2049</v>
          </cell>
          <cell r="C49">
            <v>2.3E-2</v>
          </cell>
        </row>
        <row r="50">
          <cell r="B50">
            <v>2050</v>
          </cell>
          <cell r="C50">
            <v>2.3E-2</v>
          </cell>
        </row>
        <row r="51">
          <cell r="B51">
            <v>2051</v>
          </cell>
          <cell r="C51">
            <v>2.3E-2</v>
          </cell>
        </row>
        <row r="52">
          <cell r="B52">
            <v>2052</v>
          </cell>
          <cell r="C52">
            <v>2.3E-2</v>
          </cell>
        </row>
        <row r="53">
          <cell r="B53">
            <v>2053</v>
          </cell>
          <cell r="C53">
            <v>2.3E-2</v>
          </cell>
        </row>
        <row r="54">
          <cell r="B54">
            <v>2054</v>
          </cell>
          <cell r="C54">
            <v>2.3E-2</v>
          </cell>
        </row>
        <row r="55">
          <cell r="B55">
            <v>2055</v>
          </cell>
          <cell r="C55">
            <v>2.3E-2</v>
          </cell>
        </row>
        <row r="56">
          <cell r="B56">
            <v>2056</v>
          </cell>
          <cell r="C56">
            <v>2.3E-2</v>
          </cell>
        </row>
        <row r="57">
          <cell r="B57">
            <v>2057</v>
          </cell>
          <cell r="C57">
            <v>2.3E-2</v>
          </cell>
        </row>
        <row r="58">
          <cell r="B58">
            <v>2058</v>
          </cell>
          <cell r="C58">
            <v>2.3E-2</v>
          </cell>
        </row>
        <row r="59">
          <cell r="B59">
            <v>2059</v>
          </cell>
          <cell r="C59">
            <v>2.3E-2</v>
          </cell>
        </row>
        <row r="60">
          <cell r="B60">
            <v>2060</v>
          </cell>
          <cell r="C60">
            <v>2.3E-2</v>
          </cell>
        </row>
        <row r="61">
          <cell r="B61">
            <v>2061</v>
          </cell>
          <cell r="C61">
            <v>2.3E-2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X67"/>
  <sheetViews>
    <sheetView tabSelected="1" zoomScale="80" zoomScaleNormal="80" workbookViewId="0">
      <selection activeCell="B6" sqref="B6"/>
    </sheetView>
  </sheetViews>
  <sheetFormatPr defaultRowHeight="12.75" x14ac:dyDescent="0.2"/>
  <cols>
    <col min="2" max="2" width="51.5" customWidth="1"/>
    <col min="3" max="3" width="0" hidden="1" customWidth="1"/>
    <col min="4" max="4" width="11" customWidth="1"/>
    <col min="5" max="5" width="10.5" customWidth="1"/>
    <col min="6" max="6" width="10.33203125" customWidth="1"/>
    <col min="7" max="7" width="10.83203125" customWidth="1"/>
    <col min="8" max="8" width="11" customWidth="1"/>
    <col min="16" max="16" width="9.83203125" customWidth="1"/>
    <col min="17" max="17" width="10.5" hidden="1" customWidth="1"/>
    <col min="18" max="18" width="12.83203125" hidden="1" customWidth="1"/>
    <col min="19" max="19" width="10.33203125" hidden="1" customWidth="1"/>
    <col min="20" max="20" width="11" hidden="1" customWidth="1"/>
    <col min="21" max="21" width="11.6640625" hidden="1" customWidth="1"/>
    <col min="22" max="22" width="10" hidden="1" customWidth="1"/>
    <col min="23" max="23" width="10.5" hidden="1" customWidth="1"/>
    <col min="24" max="24" width="10" hidden="1" customWidth="1"/>
    <col min="25" max="25" width="1.33203125" customWidth="1"/>
  </cols>
  <sheetData>
    <row r="1" spans="1:24" s="30" customFormat="1" ht="15.75" x14ac:dyDescent="0.25">
      <c r="B1" s="29" t="s">
        <v>72</v>
      </c>
      <c r="C1" s="29"/>
      <c r="D1" s="29"/>
      <c r="E1" s="29"/>
      <c r="F1" s="29"/>
      <c r="G1" s="29"/>
      <c r="H1" s="29"/>
      <c r="I1" s="29"/>
      <c r="J1" s="29"/>
      <c r="K1" s="29"/>
      <c r="L1" s="131"/>
      <c r="M1" s="131"/>
      <c r="N1" s="131"/>
      <c r="O1" s="131"/>
      <c r="P1" s="131"/>
      <c r="Q1" s="131"/>
      <c r="R1" s="131"/>
    </row>
    <row r="2" spans="1:24" s="30" customFormat="1" ht="15.75" x14ac:dyDescent="0.25">
      <c r="B2" s="112" t="s">
        <v>124</v>
      </c>
      <c r="C2" s="29"/>
      <c r="D2" s="29"/>
      <c r="E2" s="29"/>
      <c r="F2" s="29"/>
      <c r="G2" s="29"/>
      <c r="H2" s="29"/>
      <c r="I2" s="29"/>
      <c r="J2" s="29"/>
      <c r="K2" s="29"/>
      <c r="L2" s="131"/>
      <c r="M2" s="131"/>
      <c r="N2" s="131"/>
      <c r="O2" s="131"/>
      <c r="P2" s="131"/>
      <c r="Q2" s="131"/>
      <c r="R2" s="131"/>
    </row>
    <row r="3" spans="1:24" s="30" customFormat="1" ht="15.75" x14ac:dyDescent="0.25">
      <c r="B3" s="112" t="s">
        <v>290</v>
      </c>
      <c r="C3" s="29"/>
      <c r="D3" s="29"/>
      <c r="E3" s="29"/>
      <c r="F3" s="29"/>
      <c r="G3" s="29"/>
      <c r="H3" s="29"/>
      <c r="I3" s="29"/>
      <c r="J3" s="29"/>
      <c r="K3" s="29"/>
      <c r="L3" s="131"/>
      <c r="M3" s="131"/>
      <c r="N3" s="131"/>
      <c r="O3" s="131"/>
      <c r="P3" s="131"/>
      <c r="Q3" s="131"/>
      <c r="R3" s="131"/>
    </row>
    <row r="5" spans="1:24" ht="15.75" x14ac:dyDescent="0.2">
      <c r="A5" s="301"/>
      <c r="B5" s="302"/>
      <c r="C5" s="303"/>
      <c r="D5" s="303"/>
      <c r="E5" s="303"/>
      <c r="F5" s="304"/>
      <c r="G5" s="304"/>
      <c r="H5" s="303"/>
      <c r="I5" s="303"/>
      <c r="J5" s="305"/>
      <c r="K5" s="304"/>
      <c r="L5" s="304"/>
      <c r="M5" s="304"/>
      <c r="N5" s="304"/>
      <c r="O5" s="304"/>
      <c r="P5" s="304"/>
      <c r="Q5" s="304"/>
      <c r="R5" s="304"/>
      <c r="S5" s="304"/>
      <c r="T5" s="304"/>
      <c r="U5" s="304"/>
      <c r="V5" s="304"/>
      <c r="W5" s="304"/>
      <c r="X5" s="304"/>
    </row>
    <row r="6" spans="1:24" ht="18.75" x14ac:dyDescent="0.25">
      <c r="A6" s="152"/>
      <c r="B6" s="153"/>
      <c r="C6" s="154" t="s">
        <v>163</v>
      </c>
      <c r="D6" s="154" t="s">
        <v>163</v>
      </c>
      <c r="E6" s="155"/>
      <c r="F6" s="155"/>
      <c r="G6" s="155"/>
      <c r="H6" s="155"/>
      <c r="I6" s="155"/>
      <c r="J6" s="155"/>
      <c r="K6" s="155"/>
      <c r="L6" s="155"/>
      <c r="M6" s="155"/>
      <c r="N6" s="155"/>
      <c r="O6" s="155"/>
      <c r="P6" s="155"/>
      <c r="Q6" s="155"/>
      <c r="R6" s="155"/>
      <c r="S6" s="155"/>
      <c r="T6" s="155"/>
      <c r="U6" s="155"/>
      <c r="V6" s="155"/>
      <c r="W6" s="327" t="s">
        <v>182</v>
      </c>
      <c r="X6" s="328"/>
    </row>
    <row r="7" spans="1:24" ht="15.75" x14ac:dyDescent="0.25">
      <c r="A7" s="156"/>
      <c r="B7" s="329" t="s">
        <v>164</v>
      </c>
      <c r="C7" s="330">
        <v>2015</v>
      </c>
      <c r="D7" s="331">
        <v>2016</v>
      </c>
      <c r="E7" s="331">
        <v>2017</v>
      </c>
      <c r="F7" s="331">
        <v>2018</v>
      </c>
      <c r="G7" s="331">
        <v>2019</v>
      </c>
      <c r="H7" s="331">
        <v>2020</v>
      </c>
      <c r="I7" s="331">
        <v>2021</v>
      </c>
      <c r="J7" s="331">
        <v>2022</v>
      </c>
      <c r="K7" s="331">
        <v>2023</v>
      </c>
      <c r="L7" s="331">
        <v>2024</v>
      </c>
      <c r="M7" s="331">
        <v>2025</v>
      </c>
      <c r="N7" s="331">
        <v>2026</v>
      </c>
      <c r="O7" s="331">
        <v>2027</v>
      </c>
      <c r="P7" s="331">
        <v>2028</v>
      </c>
      <c r="Q7" s="331">
        <v>2029</v>
      </c>
      <c r="R7" s="331">
        <v>2030</v>
      </c>
      <c r="S7" s="331">
        <v>2031</v>
      </c>
      <c r="T7" s="331">
        <v>2032</v>
      </c>
      <c r="U7" s="331">
        <v>2033</v>
      </c>
      <c r="V7" s="331">
        <v>2034</v>
      </c>
      <c r="W7" s="332" t="s">
        <v>183</v>
      </c>
      <c r="X7" s="332" t="s">
        <v>184</v>
      </c>
    </row>
    <row r="8" spans="1:24" hidden="1" x14ac:dyDescent="0.2">
      <c r="A8" s="333" t="s">
        <v>165</v>
      </c>
      <c r="B8" s="334" t="s">
        <v>166</v>
      </c>
      <c r="C8" s="335"/>
      <c r="D8" s="336"/>
      <c r="E8" s="336"/>
      <c r="F8" s="336"/>
      <c r="G8" s="336"/>
      <c r="H8" s="336"/>
      <c r="I8" s="336"/>
      <c r="J8" s="336"/>
      <c r="K8" s="336"/>
      <c r="L8" s="336"/>
      <c r="M8" s="336"/>
      <c r="N8" s="336"/>
      <c r="O8" s="336"/>
      <c r="P8" s="336"/>
      <c r="Q8" s="336"/>
      <c r="R8" s="336"/>
      <c r="S8" s="336"/>
      <c r="T8" s="336"/>
      <c r="U8" s="336"/>
      <c r="V8" s="337"/>
      <c r="W8" s="335"/>
      <c r="X8" s="337"/>
    </row>
    <row r="9" spans="1:24" ht="15.75" hidden="1" x14ac:dyDescent="0.25">
      <c r="A9" s="157"/>
      <c r="B9" s="338" t="s">
        <v>241</v>
      </c>
      <c r="C9" s="306">
        <v>0</v>
      </c>
      <c r="D9" s="306">
        <v>0</v>
      </c>
      <c r="E9" s="306">
        <v>0</v>
      </c>
      <c r="F9" s="306">
        <v>0</v>
      </c>
      <c r="G9" s="306">
        <v>0</v>
      </c>
      <c r="H9" s="306">
        <v>0</v>
      </c>
      <c r="I9" s="306">
        <v>0</v>
      </c>
      <c r="J9" s="306">
        <v>0</v>
      </c>
      <c r="K9" s="306">
        <v>0</v>
      </c>
      <c r="L9" s="306">
        <v>0</v>
      </c>
      <c r="M9" s="306">
        <v>0</v>
      </c>
      <c r="N9" s="306">
        <v>0</v>
      </c>
      <c r="O9" s="306">
        <v>0</v>
      </c>
      <c r="P9" s="306">
        <v>0</v>
      </c>
      <c r="Q9" s="306">
        <v>0</v>
      </c>
      <c r="R9" s="306">
        <v>0</v>
      </c>
      <c r="S9" s="306">
        <v>-44.56</v>
      </c>
      <c r="T9" s="306">
        <v>0</v>
      </c>
      <c r="U9" s="306">
        <v>0</v>
      </c>
      <c r="V9" s="306">
        <v>0</v>
      </c>
      <c r="W9" s="306">
        <v>0</v>
      </c>
      <c r="X9" s="306">
        <v>-44.56</v>
      </c>
    </row>
    <row r="10" spans="1:24" ht="15.75" hidden="1" x14ac:dyDescent="0.25">
      <c r="A10" s="157"/>
      <c r="B10" s="338" t="s">
        <v>242</v>
      </c>
      <c r="C10" s="306">
        <v>0</v>
      </c>
      <c r="D10" s="306">
        <v>0</v>
      </c>
      <c r="E10" s="306">
        <v>0</v>
      </c>
      <c r="F10" s="306">
        <v>0</v>
      </c>
      <c r="G10" s="306">
        <v>0</v>
      </c>
      <c r="H10" s="306">
        <v>0</v>
      </c>
      <c r="I10" s="306">
        <v>0</v>
      </c>
      <c r="J10" s="306">
        <v>0</v>
      </c>
      <c r="K10" s="306">
        <v>0</v>
      </c>
      <c r="L10" s="306">
        <v>0</v>
      </c>
      <c r="M10" s="306">
        <v>0</v>
      </c>
      <c r="N10" s="306">
        <v>0</v>
      </c>
      <c r="O10" s="306">
        <v>0</v>
      </c>
      <c r="P10" s="306">
        <v>0</v>
      </c>
      <c r="Q10" s="306">
        <v>0</v>
      </c>
      <c r="R10" s="306">
        <v>0</v>
      </c>
      <c r="S10" s="306">
        <v>-32.68</v>
      </c>
      <c r="T10" s="306">
        <v>0</v>
      </c>
      <c r="U10" s="306">
        <v>0</v>
      </c>
      <c r="V10" s="306">
        <v>0</v>
      </c>
      <c r="W10" s="306">
        <v>0</v>
      </c>
      <c r="X10" s="306">
        <v>-32.68</v>
      </c>
    </row>
    <row r="11" spans="1:24" ht="15.75" hidden="1" x14ac:dyDescent="0.25">
      <c r="A11" s="157"/>
      <c r="B11" s="338" t="s">
        <v>243</v>
      </c>
      <c r="C11" s="306">
        <v>0</v>
      </c>
      <c r="D11" s="306">
        <v>0</v>
      </c>
      <c r="E11" s="306">
        <v>0</v>
      </c>
      <c r="F11" s="306">
        <v>0</v>
      </c>
      <c r="G11" s="306">
        <v>0</v>
      </c>
      <c r="H11" s="306">
        <v>0</v>
      </c>
      <c r="I11" s="306">
        <v>0</v>
      </c>
      <c r="J11" s="306">
        <v>0</v>
      </c>
      <c r="K11" s="306">
        <v>0</v>
      </c>
      <c r="L11" s="306">
        <v>0</v>
      </c>
      <c r="M11" s="306">
        <v>0</v>
      </c>
      <c r="N11" s="306">
        <v>0</v>
      </c>
      <c r="O11" s="306">
        <v>0</v>
      </c>
      <c r="P11" s="306">
        <v>0</v>
      </c>
      <c r="Q11" s="306">
        <v>0</v>
      </c>
      <c r="R11" s="306">
        <v>0</v>
      </c>
      <c r="S11" s="306">
        <v>0</v>
      </c>
      <c r="T11" s="306">
        <v>0</v>
      </c>
      <c r="U11" s="306">
        <v>-269</v>
      </c>
      <c r="V11" s="306">
        <v>0</v>
      </c>
      <c r="W11" s="306">
        <v>0</v>
      </c>
      <c r="X11" s="306">
        <v>-269</v>
      </c>
    </row>
    <row r="12" spans="1:24" ht="15.75" hidden="1" x14ac:dyDescent="0.25">
      <c r="A12" s="157"/>
      <c r="B12" s="338" t="s">
        <v>244</v>
      </c>
      <c r="C12" s="306">
        <v>0</v>
      </c>
      <c r="D12" s="306">
        <v>0</v>
      </c>
      <c r="E12" s="306">
        <v>0</v>
      </c>
      <c r="F12" s="306">
        <v>0</v>
      </c>
      <c r="G12" s="306">
        <v>0</v>
      </c>
      <c r="H12" s="306">
        <v>0</v>
      </c>
      <c r="I12" s="306">
        <v>0</v>
      </c>
      <c r="J12" s="306">
        <v>0</v>
      </c>
      <c r="K12" s="306">
        <v>0</v>
      </c>
      <c r="L12" s="306">
        <v>0</v>
      </c>
      <c r="M12" s="306">
        <v>0</v>
      </c>
      <c r="N12" s="306">
        <v>0</v>
      </c>
      <c r="O12" s="306">
        <v>0</v>
      </c>
      <c r="P12" s="306">
        <v>0</v>
      </c>
      <c r="Q12" s="306">
        <v>0</v>
      </c>
      <c r="R12" s="306">
        <v>-450</v>
      </c>
      <c r="S12" s="306">
        <v>0</v>
      </c>
      <c r="T12" s="306">
        <v>0</v>
      </c>
      <c r="U12" s="306">
        <v>0</v>
      </c>
      <c r="V12" s="306">
        <v>0</v>
      </c>
      <c r="W12" s="306">
        <v>0</v>
      </c>
      <c r="X12" s="306">
        <v>-450</v>
      </c>
    </row>
    <row r="13" spans="1:24" ht="15.75" hidden="1" x14ac:dyDescent="0.25">
      <c r="A13" s="157"/>
      <c r="B13" s="338" t="s">
        <v>245</v>
      </c>
      <c r="C13" s="306">
        <v>-67</v>
      </c>
      <c r="D13" s="306">
        <v>0</v>
      </c>
      <c r="E13" s="306">
        <v>0</v>
      </c>
      <c r="F13" s="306">
        <v>0</v>
      </c>
      <c r="G13" s="306">
        <v>0</v>
      </c>
      <c r="H13" s="306">
        <v>0</v>
      </c>
      <c r="I13" s="306">
        <v>0</v>
      </c>
      <c r="J13" s="306">
        <v>0</v>
      </c>
      <c r="K13" s="306">
        <v>0</v>
      </c>
      <c r="L13" s="306">
        <v>0</v>
      </c>
      <c r="M13" s="306">
        <v>0</v>
      </c>
      <c r="N13" s="306">
        <v>0</v>
      </c>
      <c r="O13" s="306">
        <v>0</v>
      </c>
      <c r="P13" s="306">
        <v>0</v>
      </c>
      <c r="Q13" s="306">
        <v>0</v>
      </c>
      <c r="R13" s="306">
        <v>0</v>
      </c>
      <c r="S13" s="306">
        <v>0</v>
      </c>
      <c r="T13" s="306">
        <v>0</v>
      </c>
      <c r="U13" s="306">
        <v>0</v>
      </c>
      <c r="V13" s="306">
        <v>0</v>
      </c>
      <c r="W13" s="306">
        <v>-67</v>
      </c>
      <c r="X13" s="306">
        <v>-67</v>
      </c>
    </row>
    <row r="14" spans="1:24" ht="15.75" hidden="1" x14ac:dyDescent="0.25">
      <c r="A14" s="157"/>
      <c r="B14" s="338" t="s">
        <v>246</v>
      </c>
      <c r="C14" s="306">
        <v>-105</v>
      </c>
      <c r="D14" s="306">
        <v>0</v>
      </c>
      <c r="E14" s="306">
        <v>0</v>
      </c>
      <c r="F14" s="306">
        <v>0</v>
      </c>
      <c r="G14" s="306">
        <v>0</v>
      </c>
      <c r="H14" s="306">
        <v>0</v>
      </c>
      <c r="I14" s="306">
        <v>0</v>
      </c>
      <c r="J14" s="306">
        <v>0</v>
      </c>
      <c r="K14" s="306">
        <v>0</v>
      </c>
      <c r="L14" s="306">
        <v>0</v>
      </c>
      <c r="M14" s="306">
        <v>0</v>
      </c>
      <c r="N14" s="306">
        <v>0</v>
      </c>
      <c r="O14" s="306">
        <v>0</v>
      </c>
      <c r="P14" s="306">
        <v>0</v>
      </c>
      <c r="Q14" s="306">
        <v>0</v>
      </c>
      <c r="R14" s="306">
        <v>0</v>
      </c>
      <c r="S14" s="306">
        <v>0</v>
      </c>
      <c r="T14" s="306">
        <v>0</v>
      </c>
      <c r="U14" s="306">
        <v>0</v>
      </c>
      <c r="V14" s="306">
        <v>0</v>
      </c>
      <c r="W14" s="306">
        <v>-105</v>
      </c>
      <c r="X14" s="306">
        <v>-105</v>
      </c>
    </row>
    <row r="15" spans="1:24" ht="15.75" hidden="1" x14ac:dyDescent="0.25">
      <c r="A15" s="157"/>
      <c r="B15" s="338" t="s">
        <v>247</v>
      </c>
      <c r="C15" s="306">
        <v>0</v>
      </c>
      <c r="D15" s="306">
        <v>0</v>
      </c>
      <c r="E15" s="306">
        <v>0</v>
      </c>
      <c r="F15" s="306">
        <v>0</v>
      </c>
      <c r="G15" s="306">
        <v>0</v>
      </c>
      <c r="H15" s="306">
        <v>0</v>
      </c>
      <c r="I15" s="306">
        <v>0</v>
      </c>
      <c r="J15" s="306">
        <v>0</v>
      </c>
      <c r="K15" s="306">
        <v>0</v>
      </c>
      <c r="L15" s="306">
        <v>0</v>
      </c>
      <c r="M15" s="306">
        <v>-387</v>
      </c>
      <c r="N15" s="306">
        <v>0</v>
      </c>
      <c r="O15" s="306">
        <v>0</v>
      </c>
      <c r="P15" s="306">
        <v>0</v>
      </c>
      <c r="Q15" s="306">
        <v>0</v>
      </c>
      <c r="R15" s="306">
        <v>0</v>
      </c>
      <c r="S15" s="306">
        <v>0</v>
      </c>
      <c r="T15" s="306">
        <v>0</v>
      </c>
      <c r="U15" s="306">
        <v>0</v>
      </c>
      <c r="V15" s="306">
        <v>0</v>
      </c>
      <c r="W15" s="306">
        <v>0</v>
      </c>
      <c r="X15" s="306">
        <v>-387</v>
      </c>
    </row>
    <row r="16" spans="1:24" ht="15.75" hidden="1" x14ac:dyDescent="0.25">
      <c r="A16" s="157"/>
      <c r="B16" s="338" t="s">
        <v>248</v>
      </c>
      <c r="C16" s="306">
        <v>0</v>
      </c>
      <c r="D16" s="306">
        <v>0</v>
      </c>
      <c r="E16" s="306">
        <v>0</v>
      </c>
      <c r="F16" s="306">
        <v>0</v>
      </c>
      <c r="G16" s="306">
        <v>0</v>
      </c>
      <c r="H16" s="306">
        <v>0</v>
      </c>
      <c r="I16" s="306">
        <v>0</v>
      </c>
      <c r="J16" s="306">
        <v>0</v>
      </c>
      <c r="K16" s="306">
        <v>0</v>
      </c>
      <c r="L16" s="306">
        <v>0</v>
      </c>
      <c r="M16" s="306">
        <v>0</v>
      </c>
      <c r="N16" s="306">
        <v>0</v>
      </c>
      <c r="O16" s="306">
        <v>0</v>
      </c>
      <c r="P16" s="306">
        <v>-106</v>
      </c>
      <c r="Q16" s="306">
        <v>0</v>
      </c>
      <c r="R16" s="306">
        <v>0</v>
      </c>
      <c r="S16" s="306">
        <v>0</v>
      </c>
      <c r="T16" s="306">
        <v>0</v>
      </c>
      <c r="U16" s="306">
        <v>0</v>
      </c>
      <c r="V16" s="306">
        <v>0</v>
      </c>
      <c r="W16" s="306">
        <v>0</v>
      </c>
      <c r="X16" s="306">
        <v>-106</v>
      </c>
    </row>
    <row r="17" spans="1:24" ht="15.75" hidden="1" x14ac:dyDescent="0.25">
      <c r="A17" s="157"/>
      <c r="B17" s="338" t="s">
        <v>249</v>
      </c>
      <c r="C17" s="306">
        <v>0</v>
      </c>
      <c r="D17" s="306">
        <v>0</v>
      </c>
      <c r="E17" s="306">
        <v>0</v>
      </c>
      <c r="F17" s="306">
        <v>0</v>
      </c>
      <c r="G17" s="306">
        <v>0</v>
      </c>
      <c r="H17" s="306">
        <v>0</v>
      </c>
      <c r="I17" s="306">
        <v>0</v>
      </c>
      <c r="J17" s="306">
        <v>0</v>
      </c>
      <c r="K17" s="306">
        <v>0</v>
      </c>
      <c r="L17" s="306">
        <v>0</v>
      </c>
      <c r="M17" s="306">
        <v>0</v>
      </c>
      <c r="N17" s="306">
        <v>0</v>
      </c>
      <c r="O17" s="306">
        <v>0</v>
      </c>
      <c r="P17" s="306">
        <v>-106</v>
      </c>
      <c r="Q17" s="306">
        <v>0</v>
      </c>
      <c r="R17" s="306">
        <v>0</v>
      </c>
      <c r="S17" s="306">
        <v>0</v>
      </c>
      <c r="T17" s="306">
        <v>0</v>
      </c>
      <c r="U17" s="306">
        <v>0</v>
      </c>
      <c r="V17" s="306">
        <v>0</v>
      </c>
      <c r="W17" s="306">
        <v>0</v>
      </c>
      <c r="X17" s="306">
        <v>-106</v>
      </c>
    </row>
    <row r="18" spans="1:24" ht="15.75" hidden="1" x14ac:dyDescent="0.25">
      <c r="A18" s="157"/>
      <c r="B18" s="338" t="s">
        <v>250</v>
      </c>
      <c r="C18" s="306">
        <v>0</v>
      </c>
      <c r="D18" s="306">
        <v>0</v>
      </c>
      <c r="E18" s="306">
        <v>0</v>
      </c>
      <c r="F18" s="306">
        <v>0</v>
      </c>
      <c r="G18" s="306">
        <v>0</v>
      </c>
      <c r="H18" s="306">
        <v>0</v>
      </c>
      <c r="I18" s="306">
        <v>0</v>
      </c>
      <c r="J18" s="306">
        <v>0</v>
      </c>
      <c r="K18" s="306">
        <v>0</v>
      </c>
      <c r="L18" s="306">
        <v>0</v>
      </c>
      <c r="M18" s="306">
        <v>0</v>
      </c>
      <c r="N18" s="306">
        <v>0</v>
      </c>
      <c r="O18" s="306">
        <v>0</v>
      </c>
      <c r="P18" s="306">
        <v>-220</v>
      </c>
      <c r="Q18" s="306">
        <v>0</v>
      </c>
      <c r="R18" s="306">
        <v>0</v>
      </c>
      <c r="S18" s="306">
        <v>0</v>
      </c>
      <c r="T18" s="306">
        <v>0</v>
      </c>
      <c r="U18" s="306">
        <v>0</v>
      </c>
      <c r="V18" s="306">
        <v>0</v>
      </c>
      <c r="W18" s="306">
        <v>0</v>
      </c>
      <c r="X18" s="306">
        <v>-220</v>
      </c>
    </row>
    <row r="19" spans="1:24" ht="15.75" hidden="1" x14ac:dyDescent="0.25">
      <c r="A19" s="157"/>
      <c r="B19" s="338" t="s">
        <v>251</v>
      </c>
      <c r="C19" s="306">
        <v>0</v>
      </c>
      <c r="D19" s="306">
        <v>0</v>
      </c>
      <c r="E19" s="306">
        <v>0</v>
      </c>
      <c r="F19" s="306">
        <v>0</v>
      </c>
      <c r="G19" s="306">
        <v>0</v>
      </c>
      <c r="H19" s="306">
        <v>0</v>
      </c>
      <c r="I19" s="306">
        <v>0</v>
      </c>
      <c r="J19" s="306">
        <v>0</v>
      </c>
      <c r="K19" s="306">
        <v>0</v>
      </c>
      <c r="L19" s="306">
        <v>0</v>
      </c>
      <c r="M19" s="306">
        <v>0</v>
      </c>
      <c r="N19" s="306">
        <v>0</v>
      </c>
      <c r="O19" s="306">
        <v>0</v>
      </c>
      <c r="P19" s="306">
        <v>-330</v>
      </c>
      <c r="Q19" s="306">
        <v>0</v>
      </c>
      <c r="R19" s="306">
        <v>0</v>
      </c>
      <c r="S19" s="306">
        <v>0</v>
      </c>
      <c r="T19" s="306">
        <v>0</v>
      </c>
      <c r="U19" s="306">
        <v>0</v>
      </c>
      <c r="V19" s="306">
        <v>0</v>
      </c>
      <c r="W19" s="306">
        <v>0</v>
      </c>
      <c r="X19" s="306">
        <v>-330</v>
      </c>
    </row>
    <row r="20" spans="1:24" ht="15.75" hidden="1" x14ac:dyDescent="0.25">
      <c r="A20" s="157"/>
      <c r="B20" s="338" t="s">
        <v>252</v>
      </c>
      <c r="C20" s="306">
        <v>0</v>
      </c>
      <c r="D20" s="306">
        <v>0</v>
      </c>
      <c r="E20" s="306">
        <v>0</v>
      </c>
      <c r="F20" s="306">
        <v>0</v>
      </c>
      <c r="G20" s="306">
        <v>0</v>
      </c>
      <c r="H20" s="306">
        <v>0</v>
      </c>
      <c r="I20" s="306">
        <v>0</v>
      </c>
      <c r="J20" s="306">
        <v>0</v>
      </c>
      <c r="K20" s="306">
        <v>0</v>
      </c>
      <c r="L20" s="306">
        <v>0</v>
      </c>
      <c r="M20" s="306">
        <v>0</v>
      </c>
      <c r="N20" s="306">
        <v>0</v>
      </c>
      <c r="O20" s="306">
        <v>0</v>
      </c>
      <c r="P20" s="306">
        <v>0</v>
      </c>
      <c r="Q20" s="306">
        <v>0</v>
      </c>
      <c r="R20" s="306">
        <v>-156</v>
      </c>
      <c r="S20" s="306">
        <v>0</v>
      </c>
      <c r="T20" s="306">
        <v>0</v>
      </c>
      <c r="U20" s="306">
        <v>0</v>
      </c>
      <c r="V20" s="306">
        <v>0</v>
      </c>
      <c r="W20" s="306">
        <v>0</v>
      </c>
      <c r="X20" s="306">
        <v>-156</v>
      </c>
    </row>
    <row r="21" spans="1:24" ht="15.75" hidden="1" x14ac:dyDescent="0.25">
      <c r="A21" s="157"/>
      <c r="B21" s="338" t="s">
        <v>253</v>
      </c>
      <c r="C21" s="306">
        <v>0</v>
      </c>
      <c r="D21" s="306">
        <v>0</v>
      </c>
      <c r="E21" s="306">
        <v>0</v>
      </c>
      <c r="F21" s="306">
        <v>0</v>
      </c>
      <c r="G21" s="306">
        <v>0</v>
      </c>
      <c r="H21" s="306">
        <v>0</v>
      </c>
      <c r="I21" s="306">
        <v>0</v>
      </c>
      <c r="J21" s="306">
        <v>0</v>
      </c>
      <c r="K21" s="306">
        <v>0</v>
      </c>
      <c r="L21" s="306">
        <v>0</v>
      </c>
      <c r="M21" s="306">
        <v>0</v>
      </c>
      <c r="N21" s="306">
        <v>0</v>
      </c>
      <c r="O21" s="306">
        <v>0</v>
      </c>
      <c r="P21" s="306">
        <v>0</v>
      </c>
      <c r="Q21" s="306">
        <v>0</v>
      </c>
      <c r="R21" s="306">
        <v>-201</v>
      </c>
      <c r="S21" s="306">
        <v>0</v>
      </c>
      <c r="T21" s="306">
        <v>0</v>
      </c>
      <c r="U21" s="306">
        <v>0</v>
      </c>
      <c r="V21" s="306">
        <v>0</v>
      </c>
      <c r="W21" s="306">
        <v>0</v>
      </c>
      <c r="X21" s="306">
        <v>-201</v>
      </c>
    </row>
    <row r="22" spans="1:24" ht="15.75" hidden="1" x14ac:dyDescent="0.25">
      <c r="A22" s="157"/>
      <c r="B22" s="338" t="s">
        <v>254</v>
      </c>
      <c r="C22" s="306">
        <v>-50</v>
      </c>
      <c r="D22" s="306">
        <v>0</v>
      </c>
      <c r="E22" s="306">
        <v>0</v>
      </c>
      <c r="F22" s="306">
        <v>-280</v>
      </c>
      <c r="G22" s="306">
        <v>0</v>
      </c>
      <c r="H22" s="306">
        <v>0</v>
      </c>
      <c r="I22" s="306">
        <v>0</v>
      </c>
      <c r="J22" s="306">
        <v>0</v>
      </c>
      <c r="K22" s="306">
        <v>0</v>
      </c>
      <c r="L22" s="306">
        <v>0</v>
      </c>
      <c r="M22" s="306">
        <v>0</v>
      </c>
      <c r="N22" s="306">
        <v>0</v>
      </c>
      <c r="O22" s="306">
        <v>0</v>
      </c>
      <c r="P22" s="306">
        <v>0</v>
      </c>
      <c r="Q22" s="306">
        <v>0</v>
      </c>
      <c r="R22" s="306">
        <v>0</v>
      </c>
      <c r="S22" s="306">
        <v>0</v>
      </c>
      <c r="T22" s="306">
        <v>0</v>
      </c>
      <c r="U22" s="306">
        <v>0</v>
      </c>
      <c r="V22" s="306">
        <v>0</v>
      </c>
      <c r="W22" s="306">
        <v>-330</v>
      </c>
      <c r="X22" s="306">
        <v>-330</v>
      </c>
    </row>
    <row r="23" spans="1:24" ht="15.75" hidden="1" x14ac:dyDescent="0.25">
      <c r="A23" s="157"/>
      <c r="B23" s="338" t="s">
        <v>255</v>
      </c>
      <c r="C23" s="307">
        <v>0</v>
      </c>
      <c r="D23" s="307">
        <v>0</v>
      </c>
      <c r="E23" s="307">
        <v>0</v>
      </c>
      <c r="F23" s="307">
        <v>0</v>
      </c>
      <c r="G23" s="307">
        <v>0</v>
      </c>
      <c r="H23" s="307">
        <v>0</v>
      </c>
      <c r="I23" s="307">
        <v>0</v>
      </c>
      <c r="J23" s="307">
        <v>0</v>
      </c>
      <c r="K23" s="307">
        <v>0</v>
      </c>
      <c r="L23" s="307">
        <v>0</v>
      </c>
      <c r="M23" s="307">
        <v>0</v>
      </c>
      <c r="N23" s="307">
        <v>0</v>
      </c>
      <c r="O23" s="307">
        <v>0</v>
      </c>
      <c r="P23" s="307">
        <v>0</v>
      </c>
      <c r="Q23" s="307">
        <v>0</v>
      </c>
      <c r="R23" s="307">
        <v>0</v>
      </c>
      <c r="S23" s="307">
        <v>0</v>
      </c>
      <c r="T23" s="307">
        <v>0</v>
      </c>
      <c r="U23" s="307">
        <v>-357.5</v>
      </c>
      <c r="V23" s="307">
        <v>0</v>
      </c>
      <c r="W23" s="306">
        <v>0</v>
      </c>
      <c r="X23" s="306">
        <v>-357.5</v>
      </c>
    </row>
    <row r="24" spans="1:24" ht="15.75" hidden="1" x14ac:dyDescent="0.25">
      <c r="A24" s="158"/>
      <c r="B24" s="339" t="s">
        <v>167</v>
      </c>
      <c r="C24" s="307">
        <v>0</v>
      </c>
      <c r="D24" s="307">
        <v>0</v>
      </c>
      <c r="E24" s="307">
        <v>0</v>
      </c>
      <c r="F24" s="307">
        <v>0</v>
      </c>
      <c r="G24" s="307">
        <v>0</v>
      </c>
      <c r="H24" s="307">
        <v>0</v>
      </c>
      <c r="I24" s="307">
        <v>0</v>
      </c>
      <c r="J24" s="307">
        <v>0</v>
      </c>
      <c r="K24" s="307">
        <v>0</v>
      </c>
      <c r="L24" s="307">
        <v>0</v>
      </c>
      <c r="M24" s="307">
        <v>0</v>
      </c>
      <c r="N24" s="307">
        <v>0</v>
      </c>
      <c r="O24" s="307">
        <v>0</v>
      </c>
      <c r="P24" s="307">
        <v>0</v>
      </c>
      <c r="Q24" s="307">
        <v>0</v>
      </c>
      <c r="R24" s="307">
        <v>0</v>
      </c>
      <c r="S24" s="307">
        <v>0</v>
      </c>
      <c r="T24" s="307">
        <v>0</v>
      </c>
      <c r="U24" s="307">
        <v>0</v>
      </c>
      <c r="V24" s="307">
        <v>0</v>
      </c>
      <c r="W24" s="306">
        <v>0</v>
      </c>
      <c r="X24" s="306">
        <v>0</v>
      </c>
    </row>
    <row r="25" spans="1:24" x14ac:dyDescent="0.2">
      <c r="A25" s="157" t="str">
        <f>A8</f>
        <v>East</v>
      </c>
      <c r="B25" s="334" t="s">
        <v>168</v>
      </c>
      <c r="C25" s="335"/>
      <c r="D25" s="336"/>
      <c r="E25" s="336"/>
      <c r="F25" s="336"/>
      <c r="G25" s="336"/>
      <c r="H25" s="336"/>
      <c r="I25" s="336"/>
      <c r="J25" s="336"/>
      <c r="K25" s="336"/>
      <c r="L25" s="336"/>
      <c r="M25" s="336"/>
      <c r="N25" s="336"/>
      <c r="O25" s="336"/>
      <c r="P25" s="336"/>
      <c r="Q25" s="336"/>
      <c r="R25" s="336"/>
      <c r="S25" s="336"/>
      <c r="T25" s="336"/>
      <c r="U25" s="336"/>
      <c r="V25" s="337"/>
      <c r="W25" s="163"/>
      <c r="X25" s="164"/>
    </row>
    <row r="26" spans="1:24" ht="15.75" x14ac:dyDescent="0.25">
      <c r="A26" s="158"/>
      <c r="B26" s="308" t="s">
        <v>276</v>
      </c>
      <c r="C26" s="307">
        <v>0</v>
      </c>
      <c r="D26" s="307">
        <v>0</v>
      </c>
      <c r="E26" s="307">
        <v>0</v>
      </c>
      <c r="F26" s="307">
        <v>0</v>
      </c>
      <c r="G26" s="307">
        <v>0</v>
      </c>
      <c r="H26" s="307">
        <v>0</v>
      </c>
      <c r="I26" s="307">
        <v>0</v>
      </c>
      <c r="J26" s="307">
        <v>0</v>
      </c>
      <c r="K26" s="307">
        <v>0</v>
      </c>
      <c r="L26" s="307">
        <v>0</v>
      </c>
      <c r="M26" s="307">
        <v>0</v>
      </c>
      <c r="N26" s="307">
        <v>0</v>
      </c>
      <c r="O26" s="307">
        <v>0</v>
      </c>
      <c r="P26" s="321">
        <v>635</v>
      </c>
      <c r="Q26" s="307">
        <v>0</v>
      </c>
      <c r="R26" s="307">
        <v>0</v>
      </c>
      <c r="S26" s="307">
        <v>0</v>
      </c>
      <c r="T26" s="307">
        <v>0</v>
      </c>
      <c r="U26" s="307">
        <v>0</v>
      </c>
      <c r="V26" s="307">
        <v>0</v>
      </c>
      <c r="W26" s="306">
        <v>0</v>
      </c>
      <c r="X26" s="306">
        <v>635</v>
      </c>
    </row>
    <row r="27" spans="1:24" ht="15.75" x14ac:dyDescent="0.25">
      <c r="A27" s="158"/>
      <c r="B27" s="308" t="s">
        <v>277</v>
      </c>
      <c r="C27" s="307">
        <v>0</v>
      </c>
      <c r="D27" s="307">
        <v>0</v>
      </c>
      <c r="E27" s="307">
        <v>0</v>
      </c>
      <c r="F27" s="307">
        <v>0</v>
      </c>
      <c r="G27" s="307">
        <v>0</v>
      </c>
      <c r="H27" s="307">
        <v>0</v>
      </c>
      <c r="I27" s="307">
        <v>0</v>
      </c>
      <c r="J27" s="307">
        <v>0</v>
      </c>
      <c r="K27" s="307">
        <v>0</v>
      </c>
      <c r="L27" s="307">
        <v>0</v>
      </c>
      <c r="M27" s="307">
        <v>0</v>
      </c>
      <c r="N27" s="307">
        <v>0</v>
      </c>
      <c r="O27" s="307">
        <v>0</v>
      </c>
      <c r="P27" s="307">
        <v>0</v>
      </c>
      <c r="Q27" s="307">
        <v>0</v>
      </c>
      <c r="R27" s="307">
        <v>0</v>
      </c>
      <c r="S27" s="307">
        <v>0</v>
      </c>
      <c r="T27" s="307">
        <v>0</v>
      </c>
      <c r="U27" s="307">
        <v>423</v>
      </c>
      <c r="V27" s="307">
        <v>0</v>
      </c>
      <c r="W27" s="306">
        <v>0</v>
      </c>
      <c r="X27" s="306">
        <v>423</v>
      </c>
    </row>
    <row r="28" spans="1:24" ht="16.5" thickBot="1" x14ac:dyDescent="0.3">
      <c r="A28" s="158"/>
      <c r="B28" s="308" t="s">
        <v>278</v>
      </c>
      <c r="C28" s="307">
        <v>0</v>
      </c>
      <c r="D28" s="307">
        <v>0</v>
      </c>
      <c r="E28" s="307">
        <v>0</v>
      </c>
      <c r="F28" s="307">
        <v>0</v>
      </c>
      <c r="G28" s="307">
        <v>0</v>
      </c>
      <c r="H28" s="307">
        <v>0</v>
      </c>
      <c r="I28" s="307">
        <v>0</v>
      </c>
      <c r="J28" s="307">
        <v>0</v>
      </c>
      <c r="K28" s="307">
        <v>0</v>
      </c>
      <c r="L28" s="307">
        <v>0</v>
      </c>
      <c r="M28" s="307">
        <v>0</v>
      </c>
      <c r="N28" s="307">
        <v>0</v>
      </c>
      <c r="O28" s="307">
        <v>0</v>
      </c>
      <c r="P28" s="307">
        <v>0</v>
      </c>
      <c r="Q28" s="307">
        <v>0</v>
      </c>
      <c r="R28" s="307">
        <v>635</v>
      </c>
      <c r="S28" s="307">
        <v>0</v>
      </c>
      <c r="T28" s="307">
        <v>0</v>
      </c>
      <c r="U28" s="307">
        <v>0</v>
      </c>
      <c r="V28" s="307">
        <v>0</v>
      </c>
      <c r="W28" s="306">
        <v>0</v>
      </c>
      <c r="X28" s="306">
        <v>635</v>
      </c>
    </row>
    <row r="29" spans="1:24" ht="16.5" thickBot="1" x14ac:dyDescent="0.3">
      <c r="A29" s="158"/>
      <c r="B29" s="309" t="s">
        <v>256</v>
      </c>
      <c r="C29" s="310">
        <v>0</v>
      </c>
      <c r="D29" s="310">
        <v>0</v>
      </c>
      <c r="E29" s="310">
        <v>0</v>
      </c>
      <c r="F29" s="310">
        <v>0</v>
      </c>
      <c r="G29" s="310">
        <v>0</v>
      </c>
      <c r="H29" s="310">
        <v>0</v>
      </c>
      <c r="I29" s="310">
        <v>0</v>
      </c>
      <c r="J29" s="310">
        <v>0</v>
      </c>
      <c r="K29" s="310">
        <v>0</v>
      </c>
      <c r="L29" s="310">
        <v>0</v>
      </c>
      <c r="M29" s="310">
        <v>0</v>
      </c>
      <c r="N29" s="310">
        <v>0</v>
      </c>
      <c r="O29" s="310">
        <v>0</v>
      </c>
      <c r="P29" s="310">
        <v>635</v>
      </c>
      <c r="Q29" s="310">
        <v>0</v>
      </c>
      <c r="R29" s="310">
        <v>635</v>
      </c>
      <c r="S29" s="310">
        <v>0</v>
      </c>
      <c r="T29" s="310">
        <v>0</v>
      </c>
      <c r="U29" s="310">
        <v>423</v>
      </c>
      <c r="V29" s="310">
        <v>0</v>
      </c>
      <c r="W29" s="310">
        <v>0</v>
      </c>
      <c r="X29" s="310">
        <v>1693</v>
      </c>
    </row>
    <row r="30" spans="1:24" ht="15.75" hidden="1" x14ac:dyDescent="0.25">
      <c r="A30" s="158"/>
      <c r="B30" s="311" t="s">
        <v>279</v>
      </c>
      <c r="C30" s="312">
        <v>0</v>
      </c>
      <c r="D30" s="312">
        <v>0</v>
      </c>
      <c r="E30" s="312">
        <v>0</v>
      </c>
      <c r="F30" s="312">
        <v>0</v>
      </c>
      <c r="G30" s="312">
        <v>0</v>
      </c>
      <c r="H30" s="312">
        <v>0</v>
      </c>
      <c r="I30" s="312">
        <v>0</v>
      </c>
      <c r="J30" s="312">
        <v>0</v>
      </c>
      <c r="K30" s="312">
        <v>0</v>
      </c>
      <c r="L30" s="312">
        <v>0</v>
      </c>
      <c r="M30" s="312">
        <v>0</v>
      </c>
      <c r="N30" s="312">
        <v>0</v>
      </c>
      <c r="O30" s="312">
        <v>0</v>
      </c>
      <c r="P30" s="312">
        <v>0</v>
      </c>
      <c r="Q30" s="312">
        <v>0</v>
      </c>
      <c r="R30" s="312">
        <v>0</v>
      </c>
      <c r="S30" s="312">
        <v>0</v>
      </c>
      <c r="T30" s="312">
        <v>0</v>
      </c>
      <c r="U30" s="312">
        <v>0</v>
      </c>
      <c r="V30" s="312">
        <v>2.31</v>
      </c>
      <c r="W30" s="313">
        <v>0</v>
      </c>
      <c r="X30" s="313">
        <v>2.31</v>
      </c>
    </row>
    <row r="31" spans="1:24" ht="15.75" hidden="1" x14ac:dyDescent="0.25">
      <c r="A31" s="158"/>
      <c r="B31" s="311" t="s">
        <v>280</v>
      </c>
      <c r="C31" s="312">
        <v>0</v>
      </c>
      <c r="D31" s="312">
        <v>0</v>
      </c>
      <c r="E31" s="312">
        <v>0</v>
      </c>
      <c r="F31" s="312">
        <v>0</v>
      </c>
      <c r="G31" s="312">
        <v>0</v>
      </c>
      <c r="H31" s="312">
        <v>0</v>
      </c>
      <c r="I31" s="312">
        <v>0</v>
      </c>
      <c r="J31" s="312">
        <v>0</v>
      </c>
      <c r="K31" s="312">
        <v>0</v>
      </c>
      <c r="L31" s="312">
        <v>0</v>
      </c>
      <c r="M31" s="312">
        <v>12.41</v>
      </c>
      <c r="N31" s="312">
        <v>0</v>
      </c>
      <c r="O31" s="312">
        <v>4.0199999999999996</v>
      </c>
      <c r="P31" s="312">
        <v>0</v>
      </c>
      <c r="Q31" s="312">
        <v>0</v>
      </c>
      <c r="R31" s="312">
        <v>3.53</v>
      </c>
      <c r="S31" s="312">
        <v>0</v>
      </c>
      <c r="T31" s="312">
        <v>0</v>
      </c>
      <c r="U31" s="312">
        <v>4.59</v>
      </c>
      <c r="V31" s="312">
        <v>1.38</v>
      </c>
      <c r="W31" s="313">
        <v>0</v>
      </c>
      <c r="X31" s="313">
        <v>25.93</v>
      </c>
    </row>
    <row r="32" spans="1:24" ht="15.75" hidden="1" x14ac:dyDescent="0.25">
      <c r="A32" s="158"/>
      <c r="B32" s="311" t="s">
        <v>281</v>
      </c>
      <c r="C32" s="312">
        <v>0</v>
      </c>
      <c r="D32" s="312">
        <v>0</v>
      </c>
      <c r="E32" s="312">
        <v>0</v>
      </c>
      <c r="F32" s="312">
        <v>0</v>
      </c>
      <c r="G32" s="312">
        <v>0</v>
      </c>
      <c r="H32" s="312">
        <v>0</v>
      </c>
      <c r="I32" s="312">
        <v>0</v>
      </c>
      <c r="J32" s="312">
        <v>0</v>
      </c>
      <c r="K32" s="312">
        <v>0</v>
      </c>
      <c r="L32" s="312">
        <v>0</v>
      </c>
      <c r="M32" s="312">
        <v>0</v>
      </c>
      <c r="N32" s="312">
        <v>0</v>
      </c>
      <c r="O32" s="312">
        <v>0</v>
      </c>
      <c r="P32" s="312">
        <v>0</v>
      </c>
      <c r="Q32" s="312">
        <v>0</v>
      </c>
      <c r="R32" s="312">
        <v>0</v>
      </c>
      <c r="S32" s="312">
        <v>0</v>
      </c>
      <c r="T32" s="312">
        <v>0</v>
      </c>
      <c r="U32" s="312">
        <v>0</v>
      </c>
      <c r="V32" s="312">
        <v>6</v>
      </c>
      <c r="W32" s="313">
        <v>0</v>
      </c>
      <c r="X32" s="313">
        <v>6</v>
      </c>
    </row>
    <row r="33" spans="1:24" ht="15.75" hidden="1" x14ac:dyDescent="0.25">
      <c r="A33" s="158"/>
      <c r="B33" s="311" t="s">
        <v>257</v>
      </c>
      <c r="C33" s="312">
        <v>0</v>
      </c>
      <c r="D33" s="312">
        <v>0</v>
      </c>
      <c r="E33" s="312">
        <v>0</v>
      </c>
      <c r="F33" s="312">
        <v>0</v>
      </c>
      <c r="G33" s="312">
        <v>0</v>
      </c>
      <c r="H33" s="312">
        <v>0</v>
      </c>
      <c r="I33" s="312">
        <v>0</v>
      </c>
      <c r="J33" s="312">
        <v>0</v>
      </c>
      <c r="K33" s="312">
        <v>0</v>
      </c>
      <c r="L33" s="312">
        <v>0</v>
      </c>
      <c r="M33" s="312">
        <v>13.059999999999999</v>
      </c>
      <c r="N33" s="312">
        <v>23.950000000000003</v>
      </c>
      <c r="O33" s="312">
        <v>10.690000000000001</v>
      </c>
      <c r="P33" s="312">
        <v>0</v>
      </c>
      <c r="Q33" s="312">
        <v>0</v>
      </c>
      <c r="R33" s="312">
        <v>0</v>
      </c>
      <c r="S33" s="312">
        <v>0</v>
      </c>
      <c r="T33" s="312">
        <v>0</v>
      </c>
      <c r="U33" s="312">
        <v>14.989999999999998</v>
      </c>
      <c r="V33" s="312">
        <v>5.01</v>
      </c>
      <c r="W33" s="313">
        <v>0</v>
      </c>
      <c r="X33" s="313">
        <v>67.7</v>
      </c>
    </row>
    <row r="34" spans="1:24" ht="15.75" hidden="1" x14ac:dyDescent="0.25">
      <c r="A34" s="158"/>
      <c r="B34" s="311" t="s">
        <v>282</v>
      </c>
      <c r="C34" s="313">
        <v>0</v>
      </c>
      <c r="D34" s="313">
        <v>0</v>
      </c>
      <c r="E34" s="313">
        <v>0</v>
      </c>
      <c r="F34" s="313">
        <v>0</v>
      </c>
      <c r="G34" s="313">
        <v>0</v>
      </c>
      <c r="H34" s="313">
        <v>0</v>
      </c>
      <c r="I34" s="313">
        <v>0</v>
      </c>
      <c r="J34" s="313">
        <v>0</v>
      </c>
      <c r="K34" s="313">
        <v>0</v>
      </c>
      <c r="L34" s="313">
        <v>0</v>
      </c>
      <c r="M34" s="313">
        <v>13.16</v>
      </c>
      <c r="N34" s="313">
        <v>0</v>
      </c>
      <c r="O34" s="313">
        <v>0</v>
      </c>
      <c r="P34" s="313">
        <v>0</v>
      </c>
      <c r="Q34" s="313">
        <v>0</v>
      </c>
      <c r="R34" s="313">
        <v>3.33</v>
      </c>
      <c r="S34" s="313">
        <v>0</v>
      </c>
      <c r="T34" s="313">
        <v>0</v>
      </c>
      <c r="U34" s="313">
        <v>0</v>
      </c>
      <c r="V34" s="313">
        <v>2.54</v>
      </c>
      <c r="W34" s="313">
        <v>0</v>
      </c>
      <c r="X34" s="313">
        <v>19.03</v>
      </c>
    </row>
    <row r="35" spans="1:24" ht="15.75" hidden="1" x14ac:dyDescent="0.25">
      <c r="A35" s="158"/>
      <c r="B35" s="311" t="s">
        <v>283</v>
      </c>
      <c r="C35" s="313">
        <v>0</v>
      </c>
      <c r="D35" s="313">
        <v>0</v>
      </c>
      <c r="E35" s="313">
        <v>0</v>
      </c>
      <c r="F35" s="313">
        <v>0</v>
      </c>
      <c r="G35" s="313">
        <v>0</v>
      </c>
      <c r="H35" s="313">
        <v>0</v>
      </c>
      <c r="I35" s="313">
        <v>0</v>
      </c>
      <c r="J35" s="313">
        <v>0</v>
      </c>
      <c r="K35" s="313">
        <v>0</v>
      </c>
      <c r="L35" s="313">
        <v>0</v>
      </c>
      <c r="M35" s="313">
        <v>0</v>
      </c>
      <c r="N35" s="313">
        <v>0</v>
      </c>
      <c r="O35" s="313">
        <v>0</v>
      </c>
      <c r="P35" s="313">
        <v>0</v>
      </c>
      <c r="Q35" s="313">
        <v>0</v>
      </c>
      <c r="R35" s="313">
        <v>0</v>
      </c>
      <c r="S35" s="313">
        <v>0</v>
      </c>
      <c r="T35" s="313">
        <v>0</v>
      </c>
      <c r="U35" s="313">
        <v>0</v>
      </c>
      <c r="V35" s="313">
        <v>1.04</v>
      </c>
      <c r="W35" s="313">
        <v>0</v>
      </c>
      <c r="X35" s="313">
        <v>1.04</v>
      </c>
    </row>
    <row r="36" spans="1:24" ht="16.5" hidden="1" thickBot="1" x14ac:dyDescent="0.3">
      <c r="A36" s="158"/>
      <c r="B36" s="311" t="s">
        <v>284</v>
      </c>
      <c r="C36" s="312">
        <v>0</v>
      </c>
      <c r="D36" s="312">
        <v>0</v>
      </c>
      <c r="E36" s="312">
        <v>0</v>
      </c>
      <c r="F36" s="312">
        <v>0</v>
      </c>
      <c r="G36" s="312">
        <v>0</v>
      </c>
      <c r="H36" s="312">
        <v>0</v>
      </c>
      <c r="I36" s="312">
        <v>0</v>
      </c>
      <c r="J36" s="312">
        <v>0</v>
      </c>
      <c r="K36" s="312">
        <v>0</v>
      </c>
      <c r="L36" s="312">
        <v>0</v>
      </c>
      <c r="M36" s="312">
        <v>0</v>
      </c>
      <c r="N36" s="312">
        <v>0</v>
      </c>
      <c r="O36" s="312">
        <v>0</v>
      </c>
      <c r="P36" s="312">
        <v>0</v>
      </c>
      <c r="Q36" s="312">
        <v>0</v>
      </c>
      <c r="R36" s="312">
        <v>0</v>
      </c>
      <c r="S36" s="312">
        <v>0</v>
      </c>
      <c r="T36" s="312">
        <v>0</v>
      </c>
      <c r="U36" s="312">
        <v>0</v>
      </c>
      <c r="V36" s="312">
        <v>1.47</v>
      </c>
      <c r="W36" s="313">
        <v>0</v>
      </c>
      <c r="X36" s="313">
        <v>1.47</v>
      </c>
    </row>
    <row r="37" spans="1:24" ht="16.5" thickBot="1" x14ac:dyDescent="0.3">
      <c r="A37" s="158"/>
      <c r="B37" s="309" t="s">
        <v>169</v>
      </c>
      <c r="C37" s="314">
        <v>0</v>
      </c>
      <c r="D37" s="314">
        <v>0</v>
      </c>
      <c r="E37" s="314">
        <v>0</v>
      </c>
      <c r="F37" s="314">
        <v>0</v>
      </c>
      <c r="G37" s="314">
        <v>0</v>
      </c>
      <c r="H37" s="314">
        <v>0</v>
      </c>
      <c r="I37" s="314">
        <v>0</v>
      </c>
      <c r="J37" s="314">
        <v>0</v>
      </c>
      <c r="K37" s="314">
        <v>0</v>
      </c>
      <c r="L37" s="314">
        <v>0</v>
      </c>
      <c r="M37" s="314">
        <v>38.629999999999995</v>
      </c>
      <c r="N37" s="314">
        <v>23.950000000000003</v>
      </c>
      <c r="O37" s="314">
        <v>14.71</v>
      </c>
      <c r="P37" s="314">
        <v>0</v>
      </c>
      <c r="Q37" s="314">
        <v>0</v>
      </c>
      <c r="R37" s="314">
        <v>6.8599999999999994</v>
      </c>
      <c r="S37" s="314">
        <v>0</v>
      </c>
      <c r="T37" s="314">
        <v>0</v>
      </c>
      <c r="U37" s="314">
        <v>19.579999999999998</v>
      </c>
      <c r="V37" s="314">
        <v>19.749999999999996</v>
      </c>
      <c r="W37" s="314">
        <v>0</v>
      </c>
      <c r="X37" s="314">
        <v>123.47999999999999</v>
      </c>
    </row>
    <row r="38" spans="1:24" ht="15.75" hidden="1" x14ac:dyDescent="0.25">
      <c r="A38" s="158"/>
      <c r="B38" s="340" t="s">
        <v>258</v>
      </c>
      <c r="C38" s="307">
        <v>5</v>
      </c>
      <c r="D38" s="307">
        <v>3.0100000000000002</v>
      </c>
      <c r="E38" s="307">
        <v>3.35</v>
      </c>
      <c r="F38" s="307">
        <v>4.82</v>
      </c>
      <c r="G38" s="307">
        <v>5.1999999999999993</v>
      </c>
      <c r="H38" s="307">
        <v>4.08</v>
      </c>
      <c r="I38" s="307">
        <v>4.25</v>
      </c>
      <c r="J38" s="307">
        <v>4.5599999999999996</v>
      </c>
      <c r="K38" s="307">
        <v>4.7600000000000007</v>
      </c>
      <c r="L38" s="307">
        <v>5.3</v>
      </c>
      <c r="M38" s="307">
        <v>5.24</v>
      </c>
      <c r="N38" s="307">
        <v>5.4300000000000006</v>
      </c>
      <c r="O38" s="307">
        <v>5.3900000000000006</v>
      </c>
      <c r="P38" s="307">
        <v>3.9699999999999998</v>
      </c>
      <c r="Q38" s="307">
        <v>4.9599999999999991</v>
      </c>
      <c r="R38" s="307">
        <v>4.5</v>
      </c>
      <c r="S38" s="307">
        <v>3.3400000000000003</v>
      </c>
      <c r="T38" s="307">
        <v>3.35</v>
      </c>
      <c r="U38" s="307">
        <v>4.33</v>
      </c>
      <c r="V38" s="307">
        <v>3.1599999999999997</v>
      </c>
      <c r="W38" s="307">
        <v>44.33</v>
      </c>
      <c r="X38" s="307">
        <v>87.999999999999986</v>
      </c>
    </row>
    <row r="39" spans="1:24" ht="15.75" hidden="1" x14ac:dyDescent="0.25">
      <c r="A39" s="158"/>
      <c r="B39" s="340" t="s">
        <v>259</v>
      </c>
      <c r="C39" s="307">
        <v>71</v>
      </c>
      <c r="D39" s="307">
        <v>73.8</v>
      </c>
      <c r="E39" s="307">
        <v>81.2</v>
      </c>
      <c r="F39" s="307">
        <v>88.699999999999989</v>
      </c>
      <c r="G39" s="307">
        <v>97.700000000000017</v>
      </c>
      <c r="H39" s="307">
        <v>88.7</v>
      </c>
      <c r="I39" s="307">
        <v>96.7</v>
      </c>
      <c r="J39" s="307">
        <v>100.90000000000002</v>
      </c>
      <c r="K39" s="307">
        <v>105.5</v>
      </c>
      <c r="L39" s="307">
        <v>105.10000000000001</v>
      </c>
      <c r="M39" s="307">
        <v>84.9</v>
      </c>
      <c r="N39" s="307">
        <v>84.6</v>
      </c>
      <c r="O39" s="307">
        <v>84.100000000000009</v>
      </c>
      <c r="P39" s="307">
        <v>82.9</v>
      </c>
      <c r="Q39" s="307">
        <v>81.000000000000014</v>
      </c>
      <c r="R39" s="307">
        <v>75.100000000000009</v>
      </c>
      <c r="S39" s="307">
        <v>71.900000000000006</v>
      </c>
      <c r="T39" s="307">
        <v>73</v>
      </c>
      <c r="U39" s="307">
        <v>71</v>
      </c>
      <c r="V39" s="307">
        <v>70.300000000000011</v>
      </c>
      <c r="W39" s="307">
        <v>909.3</v>
      </c>
      <c r="X39" s="307">
        <v>1688.1</v>
      </c>
    </row>
    <row r="40" spans="1:24" ht="16.5" hidden="1" thickBot="1" x14ac:dyDescent="0.3">
      <c r="A40" s="158"/>
      <c r="B40" s="340" t="s">
        <v>260</v>
      </c>
      <c r="C40" s="307">
        <v>6</v>
      </c>
      <c r="D40" s="307">
        <v>6.6400000000000006</v>
      </c>
      <c r="E40" s="307">
        <v>7.19</v>
      </c>
      <c r="F40" s="307">
        <v>11.060000000000002</v>
      </c>
      <c r="G40" s="307">
        <v>13.71</v>
      </c>
      <c r="H40" s="307">
        <v>12.47</v>
      </c>
      <c r="I40" s="307">
        <v>13.23</v>
      </c>
      <c r="J40" s="307">
        <v>14.600000000000001</v>
      </c>
      <c r="K40" s="307">
        <v>15.299999999999999</v>
      </c>
      <c r="L40" s="307">
        <v>15.930000000000001</v>
      </c>
      <c r="M40" s="307">
        <v>12.75</v>
      </c>
      <c r="N40" s="307">
        <v>13.21</v>
      </c>
      <c r="O40" s="307">
        <v>13.54</v>
      </c>
      <c r="P40" s="307">
        <v>14</v>
      </c>
      <c r="Q40" s="307">
        <v>13.930000000000001</v>
      </c>
      <c r="R40" s="307">
        <v>14.000000000000002</v>
      </c>
      <c r="S40" s="307">
        <v>14.219999999999999</v>
      </c>
      <c r="T40" s="307">
        <v>14.840000000000002</v>
      </c>
      <c r="U40" s="307">
        <v>14.969999999999999</v>
      </c>
      <c r="V40" s="307">
        <v>15.24</v>
      </c>
      <c r="W40" s="315">
        <v>116.13000000000001</v>
      </c>
      <c r="X40" s="315">
        <v>256.83</v>
      </c>
    </row>
    <row r="41" spans="1:24" ht="16.5" thickBot="1" x14ac:dyDescent="0.3">
      <c r="A41" s="158"/>
      <c r="B41" s="309" t="s">
        <v>170</v>
      </c>
      <c r="C41" s="310">
        <v>82</v>
      </c>
      <c r="D41" s="310">
        <v>83.45</v>
      </c>
      <c r="E41" s="310">
        <v>91.74</v>
      </c>
      <c r="F41" s="310">
        <v>104.57999999999998</v>
      </c>
      <c r="G41" s="310">
        <v>116.61000000000001</v>
      </c>
      <c r="H41" s="310">
        <v>105.25</v>
      </c>
      <c r="I41" s="310">
        <v>114.18</v>
      </c>
      <c r="J41" s="310">
        <v>120.06000000000003</v>
      </c>
      <c r="K41" s="310">
        <v>125.56</v>
      </c>
      <c r="L41" s="310">
        <v>126.33000000000001</v>
      </c>
      <c r="M41" s="310">
        <v>102.89</v>
      </c>
      <c r="N41" s="310">
        <v>103.24000000000001</v>
      </c>
      <c r="O41" s="310">
        <v>103.03</v>
      </c>
      <c r="P41" s="310">
        <v>100.87</v>
      </c>
      <c r="Q41" s="310">
        <v>99.890000000000015</v>
      </c>
      <c r="R41" s="310">
        <v>93.600000000000009</v>
      </c>
      <c r="S41" s="310">
        <v>89.460000000000008</v>
      </c>
      <c r="T41" s="310">
        <v>91.19</v>
      </c>
      <c r="U41" s="310">
        <v>90.3</v>
      </c>
      <c r="V41" s="310">
        <v>88.7</v>
      </c>
      <c r="W41" s="310">
        <v>1069.76</v>
      </c>
      <c r="X41" s="310">
        <v>2032.93</v>
      </c>
    </row>
    <row r="42" spans="1:24" ht="15.75" x14ac:dyDescent="0.25">
      <c r="A42" s="158"/>
      <c r="B42" s="341" t="s">
        <v>171</v>
      </c>
      <c r="C42" s="307">
        <v>0</v>
      </c>
      <c r="D42" s="307">
        <v>0</v>
      </c>
      <c r="E42" s="307">
        <v>0</v>
      </c>
      <c r="F42" s="307">
        <v>0</v>
      </c>
      <c r="G42" s="307">
        <v>102.767</v>
      </c>
      <c r="H42" s="307">
        <v>60.143999999999998</v>
      </c>
      <c r="I42" s="307">
        <v>0</v>
      </c>
      <c r="J42" s="307">
        <v>0</v>
      </c>
      <c r="K42" s="307">
        <v>0</v>
      </c>
      <c r="L42" s="307">
        <v>0</v>
      </c>
      <c r="M42" s="307">
        <v>297.41399999999999</v>
      </c>
      <c r="N42" s="307">
        <v>297.19099999999997</v>
      </c>
      <c r="O42" s="307">
        <v>299.99799999999999</v>
      </c>
      <c r="P42" s="307">
        <v>49.003</v>
      </c>
      <c r="Q42" s="307">
        <v>79.947000000000003</v>
      </c>
      <c r="R42" s="307">
        <v>299.99799999999999</v>
      </c>
      <c r="S42" s="307">
        <v>2.0030000000000001</v>
      </c>
      <c r="T42" s="307">
        <v>126.003</v>
      </c>
      <c r="U42" s="307">
        <v>299.995</v>
      </c>
      <c r="V42" s="307">
        <v>299.995</v>
      </c>
      <c r="W42" s="342">
        <v>16.2911</v>
      </c>
      <c r="X42" s="306">
        <v>110.72289999999998</v>
      </c>
    </row>
    <row r="43" spans="1:24" x14ac:dyDescent="0.2">
      <c r="A43" s="333" t="s">
        <v>172</v>
      </c>
      <c r="B43" s="334" t="s">
        <v>168</v>
      </c>
      <c r="C43" s="335"/>
      <c r="D43" s="336"/>
      <c r="E43" s="336"/>
      <c r="F43" s="336"/>
      <c r="G43" s="336"/>
      <c r="H43" s="336"/>
      <c r="I43" s="336"/>
      <c r="J43" s="336"/>
      <c r="K43" s="336"/>
      <c r="L43" s="336"/>
      <c r="M43" s="336"/>
      <c r="N43" s="336"/>
      <c r="O43" s="336"/>
      <c r="P43" s="336"/>
      <c r="Q43" s="336"/>
      <c r="R43" s="336"/>
      <c r="S43" s="336"/>
      <c r="T43" s="336"/>
      <c r="U43" s="336"/>
      <c r="V43" s="337"/>
      <c r="W43" s="335"/>
      <c r="X43" s="164"/>
    </row>
    <row r="44" spans="1:24" ht="15.75" x14ac:dyDescent="0.25">
      <c r="A44" s="158"/>
      <c r="B44" s="343" t="s">
        <v>285</v>
      </c>
      <c r="C44" s="307">
        <v>0</v>
      </c>
      <c r="D44" s="307">
        <v>0</v>
      </c>
      <c r="E44" s="307">
        <v>0</v>
      </c>
      <c r="F44" s="307">
        <v>0</v>
      </c>
      <c r="G44" s="307">
        <v>0</v>
      </c>
      <c r="H44" s="307">
        <v>0</v>
      </c>
      <c r="I44" s="307">
        <v>0</v>
      </c>
      <c r="J44" s="307">
        <v>0</v>
      </c>
      <c r="K44" s="307">
        <v>0</v>
      </c>
      <c r="L44" s="307">
        <v>0</v>
      </c>
      <c r="M44" s="307">
        <v>0</v>
      </c>
      <c r="N44" s="307">
        <v>0</v>
      </c>
      <c r="O44" s="307">
        <v>0</v>
      </c>
      <c r="P44" s="307">
        <v>0</v>
      </c>
      <c r="Q44" s="307">
        <v>0</v>
      </c>
      <c r="R44" s="307">
        <v>0</v>
      </c>
      <c r="S44" s="307">
        <v>454.41</v>
      </c>
      <c r="T44" s="307">
        <v>0</v>
      </c>
      <c r="U44" s="307">
        <v>0</v>
      </c>
      <c r="V44" s="307">
        <v>0</v>
      </c>
      <c r="W44" s="306">
        <v>0</v>
      </c>
      <c r="X44" s="306">
        <v>454.41</v>
      </c>
    </row>
    <row r="45" spans="1:24" ht="16.5" thickBot="1" x14ac:dyDescent="0.3">
      <c r="A45" s="344"/>
      <c r="B45" s="345" t="s">
        <v>286</v>
      </c>
      <c r="C45" s="307">
        <v>0</v>
      </c>
      <c r="D45" s="307">
        <v>0</v>
      </c>
      <c r="E45" s="307">
        <v>0</v>
      </c>
      <c r="F45" s="307">
        <v>0</v>
      </c>
      <c r="G45" s="307">
        <v>0</v>
      </c>
      <c r="H45" s="307">
        <v>0</v>
      </c>
      <c r="I45" s="307">
        <v>0</v>
      </c>
      <c r="J45" s="307">
        <v>0</v>
      </c>
      <c r="K45" s="307">
        <v>0</v>
      </c>
      <c r="L45" s="307">
        <v>0</v>
      </c>
      <c r="M45" s="307">
        <v>0</v>
      </c>
      <c r="N45" s="307">
        <v>0</v>
      </c>
      <c r="O45" s="307">
        <v>0</v>
      </c>
      <c r="P45" s="321">
        <v>477.39400000000001</v>
      </c>
      <c r="Q45" s="307">
        <v>0</v>
      </c>
      <c r="R45" s="307">
        <v>0</v>
      </c>
      <c r="S45" s="307">
        <v>0</v>
      </c>
      <c r="T45" s="307">
        <v>0</v>
      </c>
      <c r="U45" s="307">
        <v>0</v>
      </c>
      <c r="V45" s="307">
        <v>0</v>
      </c>
      <c r="W45" s="306">
        <v>0</v>
      </c>
      <c r="X45" s="306">
        <v>477.39400000000001</v>
      </c>
    </row>
    <row r="46" spans="1:24" ht="16.5" thickBot="1" x14ac:dyDescent="0.3">
      <c r="A46" s="158"/>
      <c r="B46" s="309" t="s">
        <v>256</v>
      </c>
      <c r="C46" s="310">
        <v>0</v>
      </c>
      <c r="D46" s="310">
        <v>0</v>
      </c>
      <c r="E46" s="310">
        <v>0</v>
      </c>
      <c r="F46" s="310">
        <v>0</v>
      </c>
      <c r="G46" s="310">
        <v>0</v>
      </c>
      <c r="H46" s="310">
        <v>0</v>
      </c>
      <c r="I46" s="310">
        <v>0</v>
      </c>
      <c r="J46" s="310">
        <v>0</v>
      </c>
      <c r="K46" s="310">
        <v>0</v>
      </c>
      <c r="L46" s="310">
        <v>0</v>
      </c>
      <c r="M46" s="310">
        <v>0</v>
      </c>
      <c r="N46" s="310">
        <v>0</v>
      </c>
      <c r="O46" s="310">
        <v>0</v>
      </c>
      <c r="P46" s="310">
        <v>477.39400000000001</v>
      </c>
      <c r="Q46" s="310">
        <v>0</v>
      </c>
      <c r="R46" s="310">
        <v>0</v>
      </c>
      <c r="S46" s="310">
        <v>454.41</v>
      </c>
      <c r="T46" s="310">
        <v>0</v>
      </c>
      <c r="U46" s="310">
        <v>0</v>
      </c>
      <c r="V46" s="310">
        <v>0</v>
      </c>
      <c r="W46" s="310">
        <v>0</v>
      </c>
      <c r="X46" s="310">
        <v>931.80400000000009</v>
      </c>
    </row>
    <row r="47" spans="1:24" ht="15.75" hidden="1" x14ac:dyDescent="0.25">
      <c r="A47" s="159"/>
      <c r="B47" s="343" t="s">
        <v>287</v>
      </c>
      <c r="C47" s="312">
        <v>0</v>
      </c>
      <c r="D47" s="312">
        <v>0</v>
      </c>
      <c r="E47" s="312">
        <v>0</v>
      </c>
      <c r="F47" s="312">
        <v>0</v>
      </c>
      <c r="G47" s="312">
        <v>0</v>
      </c>
      <c r="H47" s="312">
        <v>0</v>
      </c>
      <c r="I47" s="312">
        <v>0</v>
      </c>
      <c r="J47" s="312">
        <v>0</v>
      </c>
      <c r="K47" s="312">
        <v>0</v>
      </c>
      <c r="L47" s="312">
        <v>0</v>
      </c>
      <c r="M47" s="312">
        <v>0</v>
      </c>
      <c r="N47" s="312">
        <v>0</v>
      </c>
      <c r="O47" s="312">
        <v>3.62</v>
      </c>
      <c r="P47" s="312">
        <v>0</v>
      </c>
      <c r="Q47" s="312">
        <v>0</v>
      </c>
      <c r="R47" s="312">
        <v>0</v>
      </c>
      <c r="S47" s="312">
        <v>0</v>
      </c>
      <c r="T47" s="312">
        <v>0</v>
      </c>
      <c r="U47" s="312">
        <v>0</v>
      </c>
      <c r="V47" s="312">
        <v>0.57999999999999996</v>
      </c>
      <c r="W47" s="313">
        <v>0</v>
      </c>
      <c r="X47" s="313">
        <v>4.2</v>
      </c>
    </row>
    <row r="48" spans="1:24" ht="15.75" hidden="1" x14ac:dyDescent="0.25">
      <c r="A48" s="158"/>
      <c r="B48" s="340" t="s">
        <v>261</v>
      </c>
      <c r="C48" s="312">
        <v>0</v>
      </c>
      <c r="D48" s="312">
        <v>0</v>
      </c>
      <c r="E48" s="312">
        <v>0</v>
      </c>
      <c r="F48" s="312">
        <v>0</v>
      </c>
      <c r="G48" s="312">
        <v>0</v>
      </c>
      <c r="H48" s="312">
        <v>0</v>
      </c>
      <c r="I48" s="312">
        <v>0</v>
      </c>
      <c r="J48" s="312">
        <v>0</v>
      </c>
      <c r="K48" s="312">
        <v>0</v>
      </c>
      <c r="L48" s="312">
        <v>0</v>
      </c>
      <c r="M48" s="312">
        <v>0</v>
      </c>
      <c r="N48" s="312">
        <v>0</v>
      </c>
      <c r="O48" s="312">
        <v>10.62</v>
      </c>
      <c r="P48" s="312">
        <v>0</v>
      </c>
      <c r="Q48" s="312">
        <v>0</v>
      </c>
      <c r="R48" s="312">
        <v>0</v>
      </c>
      <c r="S48" s="312">
        <v>0</v>
      </c>
      <c r="T48" s="312">
        <v>0</v>
      </c>
      <c r="U48" s="312">
        <v>0</v>
      </c>
      <c r="V48" s="312">
        <v>11.69</v>
      </c>
      <c r="W48" s="313">
        <v>0</v>
      </c>
      <c r="X48" s="313">
        <v>22.31</v>
      </c>
    </row>
    <row r="49" spans="1:24" ht="15.75" hidden="1" x14ac:dyDescent="0.25">
      <c r="A49" s="158"/>
      <c r="B49" s="340" t="s">
        <v>262</v>
      </c>
      <c r="C49" s="312">
        <v>0</v>
      </c>
      <c r="D49" s="312">
        <v>0</v>
      </c>
      <c r="E49" s="312">
        <v>0</v>
      </c>
      <c r="F49" s="312">
        <v>0</v>
      </c>
      <c r="G49" s="312">
        <v>0</v>
      </c>
      <c r="H49" s="312">
        <v>0</v>
      </c>
      <c r="I49" s="312">
        <v>0</v>
      </c>
      <c r="J49" s="312">
        <v>0</v>
      </c>
      <c r="K49" s="312">
        <v>0</v>
      </c>
      <c r="L49" s="312">
        <v>0</v>
      </c>
      <c r="M49" s="312">
        <v>0</v>
      </c>
      <c r="N49" s="312">
        <v>0</v>
      </c>
      <c r="O49" s="312">
        <v>8.42</v>
      </c>
      <c r="P49" s="312">
        <v>0</v>
      </c>
      <c r="Q49" s="312">
        <v>0</v>
      </c>
      <c r="R49" s="312">
        <v>0</v>
      </c>
      <c r="S49" s="312">
        <v>0</v>
      </c>
      <c r="T49" s="312">
        <v>0</v>
      </c>
      <c r="U49" s="312">
        <v>0</v>
      </c>
      <c r="V49" s="312">
        <v>0</v>
      </c>
      <c r="W49" s="313">
        <v>0</v>
      </c>
      <c r="X49" s="313">
        <v>8.42</v>
      </c>
    </row>
    <row r="50" spans="1:24" ht="15.75" hidden="1" x14ac:dyDescent="0.25">
      <c r="A50" s="158"/>
      <c r="B50" s="340" t="s">
        <v>288</v>
      </c>
      <c r="C50" s="312">
        <v>0</v>
      </c>
      <c r="D50" s="312">
        <v>0</v>
      </c>
      <c r="E50" s="312">
        <v>0</v>
      </c>
      <c r="F50" s="312">
        <v>0</v>
      </c>
      <c r="G50" s="312">
        <v>0</v>
      </c>
      <c r="H50" s="312">
        <v>0</v>
      </c>
      <c r="I50" s="312">
        <v>0</v>
      </c>
      <c r="J50" s="312">
        <v>0</v>
      </c>
      <c r="K50" s="312">
        <v>0</v>
      </c>
      <c r="L50" s="312">
        <v>0</v>
      </c>
      <c r="M50" s="312">
        <v>0</v>
      </c>
      <c r="N50" s="312">
        <v>0</v>
      </c>
      <c r="O50" s="312">
        <v>9.2100000000000009</v>
      </c>
      <c r="P50" s="312">
        <v>0</v>
      </c>
      <c r="Q50" s="312">
        <v>0</v>
      </c>
      <c r="R50" s="312">
        <v>0</v>
      </c>
      <c r="S50" s="312">
        <v>0</v>
      </c>
      <c r="T50" s="312">
        <v>0</v>
      </c>
      <c r="U50" s="312">
        <v>0</v>
      </c>
      <c r="V50" s="312">
        <v>0</v>
      </c>
      <c r="W50" s="313">
        <v>0</v>
      </c>
      <c r="X50" s="313">
        <v>9.2100000000000009</v>
      </c>
    </row>
    <row r="51" spans="1:24" ht="16.5" hidden="1" thickBot="1" x14ac:dyDescent="0.3">
      <c r="A51" s="158"/>
      <c r="B51" s="340" t="s">
        <v>289</v>
      </c>
      <c r="C51" s="312">
        <v>0</v>
      </c>
      <c r="D51" s="312">
        <v>0</v>
      </c>
      <c r="E51" s="312">
        <v>0</v>
      </c>
      <c r="F51" s="312">
        <v>0</v>
      </c>
      <c r="G51" s="312">
        <v>0</v>
      </c>
      <c r="H51" s="312">
        <v>0</v>
      </c>
      <c r="I51" s="312">
        <v>0</v>
      </c>
      <c r="J51" s="312">
        <v>0</v>
      </c>
      <c r="K51" s="312">
        <v>0</v>
      </c>
      <c r="L51" s="312">
        <v>0</v>
      </c>
      <c r="M51" s="312">
        <v>0</v>
      </c>
      <c r="N51" s="312">
        <v>0</v>
      </c>
      <c r="O51" s="312">
        <v>4.4800000000000004</v>
      </c>
      <c r="P51" s="312">
        <v>0</v>
      </c>
      <c r="Q51" s="312">
        <v>0</v>
      </c>
      <c r="R51" s="312">
        <v>0</v>
      </c>
      <c r="S51" s="312">
        <v>0</v>
      </c>
      <c r="T51" s="312">
        <v>0</v>
      </c>
      <c r="U51" s="312">
        <v>0</v>
      </c>
      <c r="V51" s="312">
        <v>0.64</v>
      </c>
      <c r="W51" s="313">
        <v>0</v>
      </c>
      <c r="X51" s="313">
        <v>5.12</v>
      </c>
    </row>
    <row r="52" spans="1:24" ht="16.5" thickBot="1" x14ac:dyDescent="0.3">
      <c r="A52" s="158"/>
      <c r="B52" s="309" t="s">
        <v>173</v>
      </c>
      <c r="C52" s="314">
        <v>0</v>
      </c>
      <c r="D52" s="314">
        <v>0</v>
      </c>
      <c r="E52" s="314">
        <v>0</v>
      </c>
      <c r="F52" s="314">
        <v>0</v>
      </c>
      <c r="G52" s="314">
        <v>0</v>
      </c>
      <c r="H52" s="314">
        <v>0</v>
      </c>
      <c r="I52" s="314">
        <v>0</v>
      </c>
      <c r="J52" s="314">
        <v>0</v>
      </c>
      <c r="K52" s="314">
        <v>0</v>
      </c>
      <c r="L52" s="314">
        <v>0</v>
      </c>
      <c r="M52" s="314">
        <v>0</v>
      </c>
      <c r="N52" s="314">
        <v>0</v>
      </c>
      <c r="O52" s="314">
        <v>36.349999999999994</v>
      </c>
      <c r="P52" s="314">
        <v>0</v>
      </c>
      <c r="Q52" s="314">
        <v>0</v>
      </c>
      <c r="R52" s="314">
        <v>0</v>
      </c>
      <c r="S52" s="314">
        <v>0</v>
      </c>
      <c r="T52" s="314">
        <v>0</v>
      </c>
      <c r="U52" s="314">
        <v>0</v>
      </c>
      <c r="V52" s="314">
        <v>12.91</v>
      </c>
      <c r="W52" s="314">
        <v>0</v>
      </c>
      <c r="X52" s="314">
        <v>49.26</v>
      </c>
    </row>
    <row r="53" spans="1:24" ht="15.75" hidden="1" x14ac:dyDescent="0.25">
      <c r="A53" s="159"/>
      <c r="B53" s="340" t="s">
        <v>263</v>
      </c>
      <c r="C53" s="307">
        <v>2</v>
      </c>
      <c r="D53" s="307">
        <v>1.3800000000000001</v>
      </c>
      <c r="E53" s="307">
        <v>1.58</v>
      </c>
      <c r="F53" s="307">
        <v>1.91</v>
      </c>
      <c r="G53" s="307">
        <v>2.08</v>
      </c>
      <c r="H53" s="307">
        <v>1.3699999999999999</v>
      </c>
      <c r="I53" s="307">
        <v>1.45</v>
      </c>
      <c r="J53" s="307">
        <v>1.51</v>
      </c>
      <c r="K53" s="307">
        <v>1.58</v>
      </c>
      <c r="L53" s="307">
        <v>1.5999999999999999</v>
      </c>
      <c r="M53" s="307">
        <v>1.4400000000000002</v>
      </c>
      <c r="N53" s="307">
        <v>1.52</v>
      </c>
      <c r="O53" s="307">
        <v>1.54</v>
      </c>
      <c r="P53" s="307">
        <v>1.24</v>
      </c>
      <c r="Q53" s="307">
        <v>1.3</v>
      </c>
      <c r="R53" s="307">
        <v>1.38</v>
      </c>
      <c r="S53" s="307">
        <v>1.1000000000000001</v>
      </c>
      <c r="T53" s="307">
        <v>1.06</v>
      </c>
      <c r="U53" s="307">
        <v>1.19</v>
      </c>
      <c r="V53" s="307">
        <v>0.97</v>
      </c>
      <c r="W53" s="307">
        <v>16.459999999999997</v>
      </c>
      <c r="X53" s="307">
        <v>29.199999999999996</v>
      </c>
    </row>
    <row r="54" spans="1:24" ht="15.75" hidden="1" x14ac:dyDescent="0.25">
      <c r="A54" s="158"/>
      <c r="B54" s="340" t="s">
        <v>264</v>
      </c>
      <c r="C54" s="307">
        <v>49</v>
      </c>
      <c r="D54" s="307">
        <v>36</v>
      </c>
      <c r="E54" s="307">
        <v>37</v>
      </c>
      <c r="F54" s="307">
        <v>30.5</v>
      </c>
      <c r="G54" s="307">
        <v>29</v>
      </c>
      <c r="H54" s="307">
        <v>27.2</v>
      </c>
      <c r="I54" s="307">
        <v>24.8</v>
      </c>
      <c r="J54" s="307">
        <v>24.500000000000004</v>
      </c>
      <c r="K54" s="307">
        <v>23.4</v>
      </c>
      <c r="L54" s="307">
        <v>23.9</v>
      </c>
      <c r="M54" s="307">
        <v>21.700000000000003</v>
      </c>
      <c r="N54" s="307">
        <v>22.1</v>
      </c>
      <c r="O54" s="307">
        <v>21.700000000000003</v>
      </c>
      <c r="P54" s="307">
        <v>20.6</v>
      </c>
      <c r="Q54" s="307">
        <v>21</v>
      </c>
      <c r="R54" s="307">
        <v>20.200000000000003</v>
      </c>
      <c r="S54" s="307">
        <v>19.100000000000001</v>
      </c>
      <c r="T54" s="307">
        <v>19.3</v>
      </c>
      <c r="U54" s="307">
        <v>18.899999999999999</v>
      </c>
      <c r="V54" s="307">
        <v>18</v>
      </c>
      <c r="W54" s="307">
        <v>305.29999999999995</v>
      </c>
      <c r="X54" s="307">
        <v>507.9</v>
      </c>
    </row>
    <row r="55" spans="1:24" ht="16.5" hidden="1" thickBot="1" x14ac:dyDescent="0.3">
      <c r="A55" s="158"/>
      <c r="B55" s="340" t="s">
        <v>265</v>
      </c>
      <c r="C55" s="307">
        <v>10</v>
      </c>
      <c r="D55" s="307">
        <v>7.57</v>
      </c>
      <c r="E55" s="307">
        <v>7.95</v>
      </c>
      <c r="F55" s="307">
        <v>9.3199999999999985</v>
      </c>
      <c r="G55" s="307">
        <v>10.029999999999999</v>
      </c>
      <c r="H55" s="307">
        <v>8.5</v>
      </c>
      <c r="I55" s="307">
        <v>8.9200000000000017</v>
      </c>
      <c r="J55" s="307">
        <v>9.3100000000000023</v>
      </c>
      <c r="K55" s="307">
        <v>10.700000000000005</v>
      </c>
      <c r="L55" s="307">
        <v>10.600000000000003</v>
      </c>
      <c r="M55" s="307">
        <v>8.7300000000000022</v>
      </c>
      <c r="N55" s="307">
        <v>8.66</v>
      </c>
      <c r="O55" s="307">
        <v>8.5699999999999985</v>
      </c>
      <c r="P55" s="307">
        <v>8.5</v>
      </c>
      <c r="Q55" s="307">
        <v>8.1800000000000015</v>
      </c>
      <c r="R55" s="307">
        <v>7.0900000000000007</v>
      </c>
      <c r="S55" s="307">
        <v>6.9900000000000011</v>
      </c>
      <c r="T55" s="307">
        <v>6.8699999999999992</v>
      </c>
      <c r="U55" s="307">
        <v>6.69</v>
      </c>
      <c r="V55" s="307">
        <v>6.41</v>
      </c>
      <c r="W55" s="315">
        <v>92.9</v>
      </c>
      <c r="X55" s="315">
        <v>169.59</v>
      </c>
    </row>
    <row r="56" spans="1:24" ht="16.5" thickBot="1" x14ac:dyDescent="0.3">
      <c r="A56" s="158"/>
      <c r="B56" s="309" t="s">
        <v>174</v>
      </c>
      <c r="C56" s="310">
        <v>61</v>
      </c>
      <c r="D56" s="310">
        <v>44.95</v>
      </c>
      <c r="E56" s="310">
        <v>46.53</v>
      </c>
      <c r="F56" s="310">
        <v>41.73</v>
      </c>
      <c r="G56" s="310">
        <v>41.11</v>
      </c>
      <c r="H56" s="310">
        <v>37.07</v>
      </c>
      <c r="I56" s="310">
        <v>35.17</v>
      </c>
      <c r="J56" s="310">
        <v>35.320000000000007</v>
      </c>
      <c r="K56" s="310">
        <v>35.68</v>
      </c>
      <c r="L56" s="310">
        <v>36.1</v>
      </c>
      <c r="M56" s="310">
        <v>31.870000000000005</v>
      </c>
      <c r="N56" s="310">
        <v>32.28</v>
      </c>
      <c r="O56" s="310">
        <v>31.810000000000002</v>
      </c>
      <c r="P56" s="310">
        <v>30.34</v>
      </c>
      <c r="Q56" s="310">
        <v>30.480000000000004</v>
      </c>
      <c r="R56" s="310">
        <v>28.67</v>
      </c>
      <c r="S56" s="310">
        <v>27.190000000000005</v>
      </c>
      <c r="T56" s="310">
        <v>27.229999999999997</v>
      </c>
      <c r="U56" s="310">
        <v>26.78</v>
      </c>
      <c r="V56" s="310">
        <v>25.38</v>
      </c>
      <c r="W56" s="310">
        <v>414.66</v>
      </c>
      <c r="X56" s="310">
        <v>706.69</v>
      </c>
    </row>
    <row r="57" spans="1:24" ht="15.75" x14ac:dyDescent="0.25">
      <c r="A57" s="159"/>
      <c r="B57" s="343" t="s">
        <v>175</v>
      </c>
      <c r="C57" s="307">
        <v>0</v>
      </c>
      <c r="D57" s="307">
        <v>27.776</v>
      </c>
      <c r="E57" s="307">
        <v>0</v>
      </c>
      <c r="F57" s="307">
        <v>218.91300000000001</v>
      </c>
      <c r="G57" s="307">
        <v>267.92500000000001</v>
      </c>
      <c r="H57" s="307">
        <v>267.92500000000001</v>
      </c>
      <c r="I57" s="307">
        <v>95.242999999999995</v>
      </c>
      <c r="J57" s="307">
        <v>185.02099999999999</v>
      </c>
      <c r="K57" s="307">
        <v>90.256</v>
      </c>
      <c r="L57" s="307">
        <v>118.038</v>
      </c>
      <c r="M57" s="307">
        <v>267.92500000000001</v>
      </c>
      <c r="N57" s="307">
        <v>267.92500000000001</v>
      </c>
      <c r="O57" s="307">
        <v>267.92500000000001</v>
      </c>
      <c r="P57" s="307">
        <v>253.34399999999999</v>
      </c>
      <c r="Q57" s="307">
        <v>267.92500000000001</v>
      </c>
      <c r="R57" s="307">
        <v>267.92500000000001</v>
      </c>
      <c r="S57" s="307">
        <v>229.56700000000001</v>
      </c>
      <c r="T57" s="307">
        <v>173.02500000000001</v>
      </c>
      <c r="U57" s="307">
        <v>267.92500000000001</v>
      </c>
      <c r="V57" s="307">
        <v>267.92500000000001</v>
      </c>
      <c r="W57" s="306">
        <v>127.1097</v>
      </c>
      <c r="X57" s="306">
        <v>190.12540000000004</v>
      </c>
    </row>
    <row r="58" spans="1:24" ht="15.75" x14ac:dyDescent="0.25">
      <c r="A58" s="159"/>
      <c r="B58" s="343" t="s">
        <v>177</v>
      </c>
      <c r="C58" s="307">
        <v>400</v>
      </c>
      <c r="D58" s="307">
        <v>400</v>
      </c>
      <c r="E58" s="307">
        <v>400</v>
      </c>
      <c r="F58" s="307">
        <v>400</v>
      </c>
      <c r="G58" s="307">
        <v>400</v>
      </c>
      <c r="H58" s="307">
        <v>400</v>
      </c>
      <c r="I58" s="307">
        <v>400</v>
      </c>
      <c r="J58" s="307">
        <v>400</v>
      </c>
      <c r="K58" s="307">
        <v>400</v>
      </c>
      <c r="L58" s="307">
        <v>400</v>
      </c>
      <c r="M58" s="307">
        <v>400</v>
      </c>
      <c r="N58" s="307">
        <v>400</v>
      </c>
      <c r="O58" s="307">
        <v>400</v>
      </c>
      <c r="P58" s="307">
        <v>400</v>
      </c>
      <c r="Q58" s="307">
        <v>400</v>
      </c>
      <c r="R58" s="307">
        <v>400</v>
      </c>
      <c r="S58" s="307">
        <v>400</v>
      </c>
      <c r="T58" s="307">
        <v>400</v>
      </c>
      <c r="U58" s="307">
        <v>400</v>
      </c>
      <c r="V58" s="307">
        <v>400</v>
      </c>
      <c r="W58" s="306">
        <v>400</v>
      </c>
      <c r="X58" s="306">
        <v>400</v>
      </c>
    </row>
    <row r="59" spans="1:24" ht="15.75" x14ac:dyDescent="0.25">
      <c r="A59" s="159"/>
      <c r="B59" s="343" t="s">
        <v>178</v>
      </c>
      <c r="C59" s="307">
        <v>264.03399999999999</v>
      </c>
      <c r="D59" s="307">
        <v>375</v>
      </c>
      <c r="E59" s="307">
        <v>247.72499999999999</v>
      </c>
      <c r="F59" s="307">
        <v>375</v>
      </c>
      <c r="G59" s="307">
        <v>375</v>
      </c>
      <c r="H59" s="307">
        <v>375</v>
      </c>
      <c r="I59" s="307">
        <v>375</v>
      </c>
      <c r="J59" s="307">
        <v>375</v>
      </c>
      <c r="K59" s="307">
        <v>375</v>
      </c>
      <c r="L59" s="307">
        <v>375</v>
      </c>
      <c r="M59" s="307">
        <v>375</v>
      </c>
      <c r="N59" s="307">
        <v>375</v>
      </c>
      <c r="O59" s="307">
        <v>375</v>
      </c>
      <c r="P59" s="307">
        <v>375</v>
      </c>
      <c r="Q59" s="307">
        <v>375</v>
      </c>
      <c r="R59" s="307">
        <v>375</v>
      </c>
      <c r="S59" s="307">
        <v>375</v>
      </c>
      <c r="T59" s="307">
        <v>375</v>
      </c>
      <c r="U59" s="307">
        <v>375</v>
      </c>
      <c r="V59" s="307">
        <v>375</v>
      </c>
      <c r="W59" s="306">
        <v>351.17590000000001</v>
      </c>
      <c r="X59" s="306">
        <v>363.08794999999998</v>
      </c>
    </row>
    <row r="60" spans="1:24" ht="16.5" thickBot="1" x14ac:dyDescent="0.3">
      <c r="A60" s="159"/>
      <c r="B60" s="343" t="s">
        <v>176</v>
      </c>
      <c r="C60" s="307">
        <v>100</v>
      </c>
      <c r="D60" s="307">
        <v>100</v>
      </c>
      <c r="E60" s="307">
        <v>100</v>
      </c>
      <c r="F60" s="307">
        <v>100</v>
      </c>
      <c r="G60" s="307">
        <v>100</v>
      </c>
      <c r="H60" s="307">
        <v>100</v>
      </c>
      <c r="I60" s="307">
        <v>100</v>
      </c>
      <c r="J60" s="307">
        <v>100</v>
      </c>
      <c r="K60" s="307">
        <v>100</v>
      </c>
      <c r="L60" s="307">
        <v>100</v>
      </c>
      <c r="M60" s="307">
        <v>100</v>
      </c>
      <c r="N60" s="307">
        <v>100</v>
      </c>
      <c r="O60" s="307">
        <v>100</v>
      </c>
      <c r="P60" s="307">
        <v>100</v>
      </c>
      <c r="Q60" s="307">
        <v>100</v>
      </c>
      <c r="R60" s="307">
        <v>100</v>
      </c>
      <c r="S60" s="307">
        <v>100</v>
      </c>
      <c r="T60" s="307">
        <v>100</v>
      </c>
      <c r="U60" s="307">
        <v>100</v>
      </c>
      <c r="V60" s="307">
        <v>100</v>
      </c>
      <c r="W60" s="306">
        <v>100</v>
      </c>
      <c r="X60" s="306">
        <v>100</v>
      </c>
    </row>
    <row r="61" spans="1:24" ht="17.25" thickTop="1" thickBot="1" x14ac:dyDescent="0.3">
      <c r="A61" s="346"/>
      <c r="B61" s="316" t="s">
        <v>166</v>
      </c>
      <c r="C61" s="317">
        <v>-222</v>
      </c>
      <c r="D61" s="317">
        <v>0</v>
      </c>
      <c r="E61" s="317">
        <v>0</v>
      </c>
      <c r="F61" s="317">
        <v>-280</v>
      </c>
      <c r="G61" s="317">
        <v>0</v>
      </c>
      <c r="H61" s="317">
        <v>0</v>
      </c>
      <c r="I61" s="317">
        <v>0</v>
      </c>
      <c r="J61" s="317">
        <v>0</v>
      </c>
      <c r="K61" s="317">
        <v>0</v>
      </c>
      <c r="L61" s="317">
        <v>0</v>
      </c>
      <c r="M61" s="317">
        <v>-387</v>
      </c>
      <c r="N61" s="317">
        <v>0</v>
      </c>
      <c r="O61" s="317">
        <v>0</v>
      </c>
      <c r="P61" s="317">
        <v>-762</v>
      </c>
      <c r="Q61" s="317">
        <v>0</v>
      </c>
      <c r="R61" s="317">
        <v>-807</v>
      </c>
      <c r="S61" s="317">
        <v>-77.240000000000009</v>
      </c>
      <c r="T61" s="317">
        <v>0</v>
      </c>
      <c r="U61" s="317">
        <v>-626.5</v>
      </c>
      <c r="V61" s="317">
        <v>0</v>
      </c>
      <c r="W61" s="347"/>
      <c r="X61" s="347"/>
    </row>
    <row r="62" spans="1:24" ht="16.5" thickTop="1" x14ac:dyDescent="0.25">
      <c r="A62" s="160"/>
      <c r="B62" s="161" t="s">
        <v>179</v>
      </c>
      <c r="C62" s="318">
        <v>143</v>
      </c>
      <c r="D62" s="318">
        <v>128.39999999999986</v>
      </c>
      <c r="E62" s="318">
        <v>138.26999999999987</v>
      </c>
      <c r="F62" s="318">
        <v>146.30999999999995</v>
      </c>
      <c r="G62" s="318">
        <v>157.72000000000025</v>
      </c>
      <c r="H62" s="318">
        <v>142.32000000000016</v>
      </c>
      <c r="I62" s="318">
        <v>149.34999999999991</v>
      </c>
      <c r="J62" s="318">
        <v>155.38000000000011</v>
      </c>
      <c r="K62" s="318">
        <v>161.2399999999999</v>
      </c>
      <c r="L62" s="318">
        <v>162.43000000000029</v>
      </c>
      <c r="M62" s="318">
        <v>173.39000000000033</v>
      </c>
      <c r="N62" s="318">
        <v>159.47000000000003</v>
      </c>
      <c r="O62" s="318">
        <v>185.90000000000032</v>
      </c>
      <c r="P62" s="318">
        <v>1243.604</v>
      </c>
      <c r="Q62" s="318">
        <v>130.36999999999989</v>
      </c>
      <c r="R62" s="318">
        <v>764.12999999999988</v>
      </c>
      <c r="S62" s="318">
        <v>571.06000000000017</v>
      </c>
      <c r="T62" s="318">
        <v>118.41999999999985</v>
      </c>
      <c r="U62" s="318">
        <v>559.66000000000031</v>
      </c>
      <c r="V62" s="318">
        <v>146.73999999999978</v>
      </c>
      <c r="W62" s="319"/>
      <c r="X62" s="319"/>
    </row>
    <row r="63" spans="1:24" ht="15.75" x14ac:dyDescent="0.25">
      <c r="A63" s="162"/>
      <c r="B63" s="348" t="s">
        <v>180</v>
      </c>
      <c r="C63" s="320">
        <v>764.03399999999999</v>
      </c>
      <c r="D63" s="320">
        <v>902.77600000000007</v>
      </c>
      <c r="E63" s="320">
        <v>747.72500000000002</v>
      </c>
      <c r="F63" s="320">
        <v>1093.913</v>
      </c>
      <c r="G63" s="320">
        <v>1245.692</v>
      </c>
      <c r="H63" s="320">
        <v>1203.069</v>
      </c>
      <c r="I63" s="320">
        <v>970.24299999999994</v>
      </c>
      <c r="J63" s="320">
        <v>1060.021</v>
      </c>
      <c r="K63" s="320">
        <v>965.25599999999997</v>
      </c>
      <c r="L63" s="320">
        <v>993.03800000000001</v>
      </c>
      <c r="M63" s="320">
        <v>1440.3389999999999</v>
      </c>
      <c r="N63" s="320">
        <v>1440.116</v>
      </c>
      <c r="O63" s="320">
        <v>1442.923</v>
      </c>
      <c r="P63" s="320">
        <v>1177.347</v>
      </c>
      <c r="Q63" s="320">
        <v>1222.8720000000001</v>
      </c>
      <c r="R63" s="320">
        <v>1442.923</v>
      </c>
      <c r="S63" s="320">
        <v>1106.57</v>
      </c>
      <c r="T63" s="320">
        <v>1174.028</v>
      </c>
      <c r="U63" s="320">
        <v>1442.92</v>
      </c>
      <c r="V63" s="320">
        <v>1442.92</v>
      </c>
      <c r="W63" s="319"/>
      <c r="X63" s="319"/>
    </row>
    <row r="64" spans="1:24" ht="15.75" x14ac:dyDescent="0.25">
      <c r="A64" s="162"/>
      <c r="B64" s="348" t="s">
        <v>181</v>
      </c>
      <c r="C64" s="320">
        <v>907.03399999999999</v>
      </c>
      <c r="D64" s="320">
        <v>1031.1759999999999</v>
      </c>
      <c r="E64" s="320">
        <v>885.99499999999989</v>
      </c>
      <c r="F64" s="320">
        <v>1240.223</v>
      </c>
      <c r="G64" s="320">
        <v>1403.4120000000003</v>
      </c>
      <c r="H64" s="320">
        <v>1345.3890000000001</v>
      </c>
      <c r="I64" s="320">
        <v>1119.5929999999998</v>
      </c>
      <c r="J64" s="320">
        <v>1215.4010000000001</v>
      </c>
      <c r="K64" s="320">
        <v>1126.4959999999999</v>
      </c>
      <c r="L64" s="320">
        <v>1155.4680000000003</v>
      </c>
      <c r="M64" s="320">
        <v>1613.7290000000003</v>
      </c>
      <c r="N64" s="320">
        <v>1599.586</v>
      </c>
      <c r="O64" s="320">
        <v>1628.8230000000003</v>
      </c>
      <c r="P64" s="320">
        <v>2420.951</v>
      </c>
      <c r="Q64" s="320">
        <v>1353.242</v>
      </c>
      <c r="R64" s="320">
        <v>2207.0529999999999</v>
      </c>
      <c r="S64" s="320">
        <v>1677.63</v>
      </c>
      <c r="T64" s="320">
        <v>1292.4479999999999</v>
      </c>
      <c r="U64" s="320">
        <v>2002.5800000000004</v>
      </c>
      <c r="V64" s="320">
        <v>1589.6599999999999</v>
      </c>
      <c r="W64" s="319"/>
      <c r="X64" s="319"/>
    </row>
    <row r="67" spans="2:2" x14ac:dyDescent="0.2">
      <c r="B67" t="s">
        <v>320</v>
      </c>
    </row>
  </sheetData>
  <conditionalFormatting sqref="B23">
    <cfRule type="containsText" dxfId="1" priority="1" operator="containsText" text="Early">
      <formula>NOT(ISERROR(SEARCH("Early",B23)))</formula>
    </cfRule>
  </conditionalFormatting>
  <conditionalFormatting sqref="A5:B6">
    <cfRule type="expression" dxfId="0" priority="4" stopIfTrue="1">
      <formula>ROUND($G$321,0)&lt;&gt;0</formula>
    </cfRule>
  </conditionalFormatting>
  <printOptions horizontalCentered="1"/>
  <pageMargins left="0.25" right="0.25" top="0.75" bottom="0.75" header="0.3" footer="0.3"/>
  <pageSetup scale="78" fitToHeight="0" orientation="landscape" r:id="rId1"/>
  <headerFooter alignWithMargins="0">
    <oddFooter>&amp;L&amp;8NPC Group - &amp;F   ( &amp;A )&amp;C &amp;R &amp;8&amp;D  &amp;T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1:F48"/>
  <sheetViews>
    <sheetView zoomScaleNormal="100" workbookViewId="0">
      <selection activeCell="B30" sqref="B30:F30"/>
    </sheetView>
  </sheetViews>
  <sheetFormatPr defaultColWidth="8.83203125" defaultRowHeight="12.75" x14ac:dyDescent="0.2"/>
  <cols>
    <col min="1" max="1" width="2.1640625" style="32" customWidth="1"/>
    <col min="2" max="2" width="22" style="32" customWidth="1"/>
    <col min="3" max="6" width="16.33203125" style="32" customWidth="1"/>
    <col min="7" max="7" width="2.1640625" style="32" customWidth="1"/>
    <col min="8" max="8" width="10" style="32" customWidth="1"/>
    <col min="9" max="16384" width="8.83203125" style="32"/>
  </cols>
  <sheetData>
    <row r="1" spans="2:6" ht="15.75" x14ac:dyDescent="0.25">
      <c r="B1" s="20" t="s">
        <v>94</v>
      </c>
      <c r="C1" s="23"/>
      <c r="D1" s="23"/>
      <c r="E1" s="23"/>
      <c r="F1" s="23"/>
    </row>
    <row r="2" spans="2:6" ht="15.75" x14ac:dyDescent="0.25">
      <c r="B2" s="20" t="s">
        <v>108</v>
      </c>
      <c r="C2" s="23"/>
      <c r="D2" s="23"/>
      <c r="E2" s="23"/>
      <c r="F2" s="23"/>
    </row>
    <row r="3" spans="2:6" ht="15.75" x14ac:dyDescent="0.25">
      <c r="B3" s="20" t="s">
        <v>36</v>
      </c>
      <c r="C3" s="68"/>
      <c r="D3" s="68"/>
      <c r="E3" s="68"/>
      <c r="F3" s="68"/>
    </row>
    <row r="4" spans="2:6" ht="15.75" x14ac:dyDescent="0.25">
      <c r="B4" s="20"/>
      <c r="C4" s="68"/>
      <c r="D4" s="68"/>
      <c r="E4" s="68"/>
      <c r="F4" s="68"/>
    </row>
    <row r="5" spans="2:6" x14ac:dyDescent="0.2">
      <c r="B5" s="21"/>
      <c r="C5" s="24" t="s">
        <v>103</v>
      </c>
      <c r="D5" s="24"/>
      <c r="E5" s="24"/>
      <c r="F5" s="24"/>
    </row>
    <row r="6" spans="2:6" x14ac:dyDescent="0.2">
      <c r="B6" s="25" t="s">
        <v>2</v>
      </c>
      <c r="C6" s="24" t="s">
        <v>104</v>
      </c>
      <c r="D6" s="24"/>
      <c r="E6" s="24" t="s">
        <v>105</v>
      </c>
      <c r="F6" s="24"/>
    </row>
    <row r="7" spans="2:6" x14ac:dyDescent="0.2">
      <c r="B7" s="69"/>
      <c r="C7" s="24" t="s">
        <v>106</v>
      </c>
      <c r="D7" s="24" t="s">
        <v>107</v>
      </c>
      <c r="E7" s="24" t="s">
        <v>106</v>
      </c>
      <c r="F7" s="24" t="s">
        <v>107</v>
      </c>
    </row>
    <row r="8" spans="2:6" x14ac:dyDescent="0.2">
      <c r="C8" s="22" t="s">
        <v>19</v>
      </c>
      <c r="D8" s="22" t="s">
        <v>20</v>
      </c>
      <c r="E8" s="22" t="s">
        <v>21</v>
      </c>
      <c r="F8" s="22" t="s">
        <v>22</v>
      </c>
    </row>
    <row r="9" spans="2:6" x14ac:dyDescent="0.2">
      <c r="C9" s="70"/>
      <c r="D9" s="70"/>
      <c r="E9" s="70"/>
      <c r="F9" s="70"/>
    </row>
    <row r="10" spans="2:6" x14ac:dyDescent="0.2">
      <c r="B10" s="71">
        <f>'Tables 3 to 5'!$B$13</f>
        <v>2016</v>
      </c>
      <c r="C10" s="72">
        <f>VLOOKUP($B10,'OFPC Source'!$W$8:$AA$34,2,FALSE)</f>
        <v>19.079999999999998</v>
      </c>
      <c r="D10" s="72">
        <f>VLOOKUP($B10,'OFPC Source'!$W$8:$AA$34,3,FALSE)</f>
        <v>22.56</v>
      </c>
      <c r="E10" s="72">
        <f>VLOOKUP($B10,'OFPC Source'!$W$8:$AA$34,4,FALSE)</f>
        <v>15.07</v>
      </c>
      <c r="F10" s="72">
        <f>VLOOKUP($B10,'OFPC Source'!$W$8:$AA$34,5,FALSE)</f>
        <v>18.71</v>
      </c>
    </row>
    <row r="11" spans="2:6" x14ac:dyDescent="0.2">
      <c r="B11" s="71">
        <f>B10+1</f>
        <v>2017</v>
      </c>
      <c r="C11" s="72">
        <f>VLOOKUP($B11,'OFPC Source'!$W$8:$AA$34,2,FALSE)</f>
        <v>23.95</v>
      </c>
      <c r="D11" s="72">
        <f>VLOOKUP($B11,'OFPC Source'!$W$8:$AA$34,3,FALSE)</f>
        <v>26.33</v>
      </c>
      <c r="E11" s="72">
        <f>VLOOKUP($B11,'OFPC Source'!$W$8:$AA$34,4,FALSE)</f>
        <v>19.18</v>
      </c>
      <c r="F11" s="72">
        <f>VLOOKUP($B11,'OFPC Source'!$W$8:$AA$34,5,FALSE)</f>
        <v>22.4</v>
      </c>
    </row>
    <row r="12" spans="2:6" x14ac:dyDescent="0.2">
      <c r="B12" s="71">
        <f t="shared" ref="B12:B27" si="0">B11+1</f>
        <v>2018</v>
      </c>
      <c r="C12" s="72">
        <f>VLOOKUP($B12,'OFPC Source'!$W$8:$AA$34,2,FALSE)</f>
        <v>26.28</v>
      </c>
      <c r="D12" s="72">
        <f>VLOOKUP($B12,'OFPC Source'!$W$8:$AA$34,3,FALSE)</f>
        <v>28</v>
      </c>
      <c r="E12" s="72">
        <f>VLOOKUP($B12,'OFPC Source'!$W$8:$AA$34,4,FALSE)</f>
        <v>20.53</v>
      </c>
      <c r="F12" s="72">
        <f>VLOOKUP($B12,'OFPC Source'!$W$8:$AA$34,5,FALSE)</f>
        <v>23.77</v>
      </c>
    </row>
    <row r="13" spans="2:6" x14ac:dyDescent="0.2">
      <c r="B13" s="71">
        <f t="shared" si="0"/>
        <v>2019</v>
      </c>
      <c r="C13" s="72">
        <f>VLOOKUP($B13,'OFPC Source'!$W$8:$AA$34,2,FALSE)</f>
        <v>27.54</v>
      </c>
      <c r="D13" s="72">
        <f>VLOOKUP($B13,'OFPC Source'!$W$8:$AA$34,3,FALSE)</f>
        <v>29.01</v>
      </c>
      <c r="E13" s="72">
        <f>VLOOKUP($B13,'OFPC Source'!$W$8:$AA$34,4,FALSE)</f>
        <v>21.51</v>
      </c>
      <c r="F13" s="72">
        <f>VLOOKUP($B13,'OFPC Source'!$W$8:$AA$34,5,FALSE)</f>
        <v>24.53</v>
      </c>
    </row>
    <row r="14" spans="2:6" x14ac:dyDescent="0.2">
      <c r="B14" s="71">
        <f t="shared" si="0"/>
        <v>2020</v>
      </c>
      <c r="C14" s="72">
        <f>VLOOKUP($B14,'OFPC Source'!$W$8:$AA$34,2,FALSE)</f>
        <v>28.84</v>
      </c>
      <c r="D14" s="72">
        <f>VLOOKUP($B14,'OFPC Source'!$W$8:$AA$34,3,FALSE)</f>
        <v>30.36</v>
      </c>
      <c r="E14" s="72">
        <f>VLOOKUP($B14,'OFPC Source'!$W$8:$AA$34,4,FALSE)</f>
        <v>23.17</v>
      </c>
      <c r="F14" s="72">
        <f>VLOOKUP($B14,'OFPC Source'!$W$8:$AA$34,5,FALSE)</f>
        <v>25.55</v>
      </c>
    </row>
    <row r="15" spans="2:6" x14ac:dyDescent="0.2">
      <c r="B15" s="71">
        <f t="shared" si="0"/>
        <v>2021</v>
      </c>
      <c r="C15" s="72">
        <f>VLOOKUP($B15,'OFPC Source'!$W$8:$AA$34,2,FALSE)</f>
        <v>30.25</v>
      </c>
      <c r="D15" s="72">
        <f>VLOOKUP($B15,'OFPC Source'!$W$8:$AA$34,3,FALSE)</f>
        <v>32.21</v>
      </c>
      <c r="E15" s="72">
        <f>VLOOKUP($B15,'OFPC Source'!$W$8:$AA$34,4,FALSE)</f>
        <v>24.76</v>
      </c>
      <c r="F15" s="72">
        <f>VLOOKUP($B15,'OFPC Source'!$W$8:$AA$34,5,FALSE)</f>
        <v>27.27</v>
      </c>
    </row>
    <row r="16" spans="2:6" x14ac:dyDescent="0.2">
      <c r="B16" s="71">
        <f t="shared" si="0"/>
        <v>2022</v>
      </c>
      <c r="C16" s="72">
        <f>VLOOKUP($B16,'OFPC Source'!$W$8:$AA$34,2,FALSE)</f>
        <v>33.369999999999997</v>
      </c>
      <c r="D16" s="72">
        <f>VLOOKUP($B16,'OFPC Source'!$W$8:$AA$34,3,FALSE)</f>
        <v>35.590000000000003</v>
      </c>
      <c r="E16" s="72">
        <f>VLOOKUP($B16,'OFPC Source'!$W$8:$AA$34,4,FALSE)</f>
        <v>26.99</v>
      </c>
      <c r="F16" s="72">
        <f>VLOOKUP($B16,'OFPC Source'!$W$8:$AA$34,5,FALSE)</f>
        <v>30.61</v>
      </c>
    </row>
    <row r="17" spans="2:6" x14ac:dyDescent="0.2">
      <c r="B17" s="71">
        <f t="shared" si="0"/>
        <v>2023</v>
      </c>
      <c r="C17" s="72">
        <f>VLOOKUP($B17,'OFPC Source'!$W$8:$AA$34,2,FALSE)</f>
        <v>37.619999999999997</v>
      </c>
      <c r="D17" s="72">
        <f>VLOOKUP($B17,'OFPC Source'!$W$8:$AA$34,3,FALSE)</f>
        <v>40.29</v>
      </c>
      <c r="E17" s="72">
        <f>VLOOKUP($B17,'OFPC Source'!$W$8:$AA$34,4,FALSE)</f>
        <v>30.19</v>
      </c>
      <c r="F17" s="72">
        <f>VLOOKUP($B17,'OFPC Source'!$W$8:$AA$34,5,FALSE)</f>
        <v>35.11</v>
      </c>
    </row>
    <row r="18" spans="2:6" x14ac:dyDescent="0.2">
      <c r="B18" s="71">
        <f t="shared" si="0"/>
        <v>2024</v>
      </c>
      <c r="C18" s="72">
        <f>VLOOKUP($B18,'OFPC Source'!$W$8:$AA$34,2,FALSE)</f>
        <v>41.47</v>
      </c>
      <c r="D18" s="72">
        <f>VLOOKUP($B18,'OFPC Source'!$W$8:$AA$34,3,FALSE)</f>
        <v>44.82</v>
      </c>
      <c r="E18" s="72">
        <f>VLOOKUP($B18,'OFPC Source'!$W$8:$AA$34,4,FALSE)</f>
        <v>33.479999999999997</v>
      </c>
      <c r="F18" s="72">
        <f>VLOOKUP($B18,'OFPC Source'!$W$8:$AA$34,5,FALSE)</f>
        <v>39.01</v>
      </c>
    </row>
    <row r="19" spans="2:6" x14ac:dyDescent="0.2">
      <c r="B19" s="71">
        <f t="shared" si="0"/>
        <v>2025</v>
      </c>
      <c r="C19" s="72">
        <f>VLOOKUP($B19,'OFPC Source'!$W$8:$AA$34,2,FALSE)</f>
        <v>43.6</v>
      </c>
      <c r="D19" s="72">
        <f>VLOOKUP($B19,'OFPC Source'!$W$8:$AA$34,3,FALSE)</f>
        <v>47.05</v>
      </c>
      <c r="E19" s="72">
        <f>VLOOKUP($B19,'OFPC Source'!$W$8:$AA$34,4,FALSE)</f>
        <v>35.4</v>
      </c>
      <c r="F19" s="72">
        <f>VLOOKUP($B19,'OFPC Source'!$W$8:$AA$34,5,FALSE)</f>
        <v>41.1</v>
      </c>
    </row>
    <row r="20" spans="2:6" x14ac:dyDescent="0.2">
      <c r="B20" s="71">
        <f t="shared" si="0"/>
        <v>2026</v>
      </c>
      <c r="C20" s="72">
        <f>VLOOKUP($B20,'OFPC Source'!$W$8:$AA$34,2,FALSE)</f>
        <v>45.44</v>
      </c>
      <c r="D20" s="72">
        <f>VLOOKUP($B20,'OFPC Source'!$W$8:$AA$34,3,FALSE)</f>
        <v>49.13</v>
      </c>
      <c r="E20" s="72">
        <f>VLOOKUP($B20,'OFPC Source'!$W$8:$AA$34,4,FALSE)</f>
        <v>36.979999999999997</v>
      </c>
      <c r="F20" s="72">
        <f>VLOOKUP($B20,'OFPC Source'!$W$8:$AA$34,5,FALSE)</f>
        <v>43.07</v>
      </c>
    </row>
    <row r="21" spans="2:6" x14ac:dyDescent="0.2">
      <c r="B21" s="71">
        <f t="shared" si="0"/>
        <v>2027</v>
      </c>
      <c r="C21" s="72">
        <f>VLOOKUP($B21,'OFPC Source'!$W$8:$AA$34,2,FALSE)</f>
        <v>47.69</v>
      </c>
      <c r="D21" s="72">
        <f>VLOOKUP($B21,'OFPC Source'!$W$8:$AA$34,3,FALSE)</f>
        <v>51.16</v>
      </c>
      <c r="E21" s="72">
        <f>VLOOKUP($B21,'OFPC Source'!$W$8:$AA$34,4,FALSE)</f>
        <v>38.99</v>
      </c>
      <c r="F21" s="72">
        <f>VLOOKUP($B21,'OFPC Source'!$W$8:$AA$34,5,FALSE)</f>
        <v>44.99</v>
      </c>
    </row>
    <row r="22" spans="2:6" x14ac:dyDescent="0.2">
      <c r="B22" s="71">
        <f t="shared" si="0"/>
        <v>2028</v>
      </c>
      <c r="C22" s="72">
        <f>VLOOKUP($B22,'OFPC Source'!$W$8:$AA$34,2,FALSE)</f>
        <v>48.92</v>
      </c>
      <c r="D22" s="72">
        <f>VLOOKUP($B22,'OFPC Source'!$W$8:$AA$34,3,FALSE)</f>
        <v>52.09</v>
      </c>
      <c r="E22" s="72">
        <f>VLOOKUP($B22,'OFPC Source'!$W$8:$AA$34,4,FALSE)</f>
        <v>39.86</v>
      </c>
      <c r="F22" s="72">
        <f>VLOOKUP($B22,'OFPC Source'!$W$8:$AA$34,5,FALSE)</f>
        <v>45.89</v>
      </c>
    </row>
    <row r="23" spans="2:6" x14ac:dyDescent="0.2">
      <c r="B23" s="71">
        <f t="shared" si="0"/>
        <v>2029</v>
      </c>
      <c r="C23" s="72">
        <f>VLOOKUP($B23,'OFPC Source'!$W$8:$AA$34,2,FALSE)</f>
        <v>50.27</v>
      </c>
      <c r="D23" s="72">
        <f>VLOOKUP($B23,'OFPC Source'!$W$8:$AA$34,3,FALSE)</f>
        <v>53.11</v>
      </c>
      <c r="E23" s="72">
        <f>VLOOKUP($B23,'OFPC Source'!$W$8:$AA$34,4,FALSE)</f>
        <v>41.03</v>
      </c>
      <c r="F23" s="72">
        <f>VLOOKUP($B23,'OFPC Source'!$W$8:$AA$34,5,FALSE)</f>
        <v>46.87</v>
      </c>
    </row>
    <row r="24" spans="2:6" x14ac:dyDescent="0.2">
      <c r="B24" s="71">
        <f t="shared" si="0"/>
        <v>2030</v>
      </c>
      <c r="C24" s="72">
        <f>VLOOKUP($B24,'OFPC Source'!$W$8:$AA$34,2,FALSE)</f>
        <v>52.49</v>
      </c>
      <c r="D24" s="72">
        <f>VLOOKUP($B24,'OFPC Source'!$W$8:$AA$34,3,FALSE)</f>
        <v>54.6</v>
      </c>
      <c r="E24" s="72">
        <f>VLOOKUP($B24,'OFPC Source'!$W$8:$AA$34,4,FALSE)</f>
        <v>42.65</v>
      </c>
      <c r="F24" s="72">
        <f>VLOOKUP($B24,'OFPC Source'!$W$8:$AA$34,5,FALSE)</f>
        <v>48.47</v>
      </c>
    </row>
    <row r="25" spans="2:6" x14ac:dyDescent="0.2">
      <c r="B25" s="71">
        <f t="shared" si="0"/>
        <v>2031</v>
      </c>
      <c r="C25" s="72">
        <f>VLOOKUP($B25,'OFPC Source'!$W$8:$AA$34,2,FALSE)</f>
        <v>54.41</v>
      </c>
      <c r="D25" s="72">
        <f>VLOOKUP($B25,'OFPC Source'!$W$8:$AA$34,3,FALSE)</f>
        <v>56.18</v>
      </c>
      <c r="E25" s="72">
        <f>VLOOKUP($B25,'OFPC Source'!$W$8:$AA$34,4,FALSE)</f>
        <v>44.33</v>
      </c>
      <c r="F25" s="72">
        <f>VLOOKUP($B25,'OFPC Source'!$W$8:$AA$34,5,FALSE)</f>
        <v>49.76</v>
      </c>
    </row>
    <row r="26" spans="2:6" x14ac:dyDescent="0.2">
      <c r="B26" s="71">
        <f t="shared" si="0"/>
        <v>2032</v>
      </c>
      <c r="C26" s="72">
        <f>VLOOKUP($B26,'OFPC Source'!$W$8:$AA$34,2,FALSE)</f>
        <v>55.42</v>
      </c>
      <c r="D26" s="72">
        <f>VLOOKUP($B26,'OFPC Source'!$W$8:$AA$34,3,FALSE)</f>
        <v>57.47</v>
      </c>
      <c r="E26" s="72">
        <f>VLOOKUP($B26,'OFPC Source'!$W$8:$AA$34,4,FALSE)</f>
        <v>45.33</v>
      </c>
      <c r="F26" s="72">
        <f>VLOOKUP($B26,'OFPC Source'!$W$8:$AA$34,5,FALSE)</f>
        <v>51.11</v>
      </c>
    </row>
    <row r="27" spans="2:6" x14ac:dyDescent="0.2">
      <c r="B27" s="71">
        <f t="shared" si="0"/>
        <v>2033</v>
      </c>
      <c r="C27" s="72">
        <f>VLOOKUP($B27,'OFPC Source'!$W$8:$AA$34,2,FALSE)</f>
        <v>56.98</v>
      </c>
      <c r="D27" s="72">
        <f>VLOOKUP($B27,'OFPC Source'!$W$8:$AA$34,3,FALSE)</f>
        <v>58.71</v>
      </c>
      <c r="E27" s="72">
        <f>VLOOKUP($B27,'OFPC Source'!$W$8:$AA$34,4,FALSE)</f>
        <v>46.76</v>
      </c>
      <c r="F27" s="72">
        <f>VLOOKUP($B27,'OFPC Source'!$W$8:$AA$34,5,FALSE)</f>
        <v>52.36</v>
      </c>
    </row>
    <row r="29" spans="2:6" x14ac:dyDescent="0.2">
      <c r="B29" s="27" t="s">
        <v>95</v>
      </c>
    </row>
    <row r="30" spans="2:6" ht="25.5" customHeight="1" x14ac:dyDescent="0.2">
      <c r="B30" s="476" t="str">
        <f>'Table 8'!B30:D30</f>
        <v>Official Forward Price Curve dated   March 31 2016</v>
      </c>
      <c r="C30" s="476"/>
      <c r="D30" s="476"/>
      <c r="E30" s="476"/>
      <c r="F30" s="476"/>
    </row>
    <row r="33" spans="2:2" x14ac:dyDescent="0.2">
      <c r="B33" s="73"/>
    </row>
    <row r="34" spans="2:2" x14ac:dyDescent="0.2">
      <c r="B34" s="73"/>
    </row>
    <row r="48" spans="2:2" ht="24.75" customHeight="1" x14ac:dyDescent="0.2"/>
  </sheetData>
  <mergeCells count="1">
    <mergeCell ref="B30:F30"/>
  </mergeCells>
  <printOptions horizontalCentered="1"/>
  <pageMargins left="0.25" right="0.25" top="0.75" bottom="0.75" header="0.3" footer="0.3"/>
  <pageSetup orientation="portrait" r:id="rId1"/>
  <headerFooter alignWithMargins="0">
    <oddFooter>&amp;L&amp;8NPC Group - &amp;F   ( &amp;A )&amp;C &amp;R &amp;8&amp;D  &amp;T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E41"/>
  <sheetViews>
    <sheetView zoomScaleNormal="100" workbookViewId="0">
      <selection activeCell="D9" sqref="D9"/>
    </sheetView>
  </sheetViews>
  <sheetFormatPr defaultRowHeight="12.75" x14ac:dyDescent="0.2"/>
  <cols>
    <col min="1" max="1" width="2" customWidth="1"/>
    <col min="2" max="2" width="14.1640625" customWidth="1"/>
    <col min="3" max="5" width="19.6640625" customWidth="1"/>
    <col min="6" max="6" width="1.5" customWidth="1"/>
  </cols>
  <sheetData>
    <row r="1" spans="1:5" ht="15.75" x14ac:dyDescent="0.25">
      <c r="A1" s="32"/>
      <c r="B1" s="20" t="s">
        <v>102</v>
      </c>
      <c r="C1" s="23"/>
      <c r="D1" s="146"/>
      <c r="E1" s="146"/>
    </row>
    <row r="2" spans="1:5" ht="15.75" x14ac:dyDescent="0.25">
      <c r="A2" s="32"/>
      <c r="B2" s="20" t="s">
        <v>134</v>
      </c>
      <c r="C2" s="23"/>
      <c r="D2" s="146"/>
      <c r="E2" s="146"/>
    </row>
    <row r="3" spans="1:5" ht="15.75" x14ac:dyDescent="0.25">
      <c r="A3" s="32"/>
      <c r="B3" s="20" t="s">
        <v>117</v>
      </c>
      <c r="C3" s="68"/>
      <c r="D3" s="146"/>
      <c r="E3" s="146"/>
    </row>
    <row r="4" spans="1:5" ht="15.75" x14ac:dyDescent="0.25">
      <c r="A4" s="32"/>
      <c r="B4" s="20"/>
      <c r="C4" s="68"/>
    </row>
    <row r="5" spans="1:5" ht="25.5" x14ac:dyDescent="0.2">
      <c r="A5" s="32"/>
      <c r="B5" s="21" t="s">
        <v>2</v>
      </c>
      <c r="C5" s="135" t="s">
        <v>133</v>
      </c>
      <c r="D5" s="135" t="s">
        <v>187</v>
      </c>
      <c r="E5" s="135" t="s">
        <v>138</v>
      </c>
    </row>
    <row r="6" spans="1:5" x14ac:dyDescent="0.2">
      <c r="A6" s="32"/>
      <c r="B6" s="69"/>
      <c r="C6" s="136" t="s">
        <v>117</v>
      </c>
      <c r="D6" s="136" t="s">
        <v>117</v>
      </c>
      <c r="E6" s="136" t="s">
        <v>117</v>
      </c>
    </row>
    <row r="7" spans="1:5" x14ac:dyDescent="0.2">
      <c r="A7" s="32"/>
      <c r="B7" s="32"/>
      <c r="C7" s="70" t="s">
        <v>19</v>
      </c>
      <c r="D7" s="70" t="s">
        <v>20</v>
      </c>
      <c r="E7" s="70" t="s">
        <v>139</v>
      </c>
    </row>
    <row r="8" spans="1:5" x14ac:dyDescent="0.2">
      <c r="A8" s="32"/>
      <c r="B8" s="32"/>
      <c r="C8" s="70"/>
    </row>
    <row r="9" spans="1:5" x14ac:dyDescent="0.2">
      <c r="A9" s="32"/>
      <c r="B9" s="71">
        <f>'Tables 3 to 5'!$B$13</f>
        <v>2016</v>
      </c>
      <c r="C9" s="72">
        <f>VLOOKUP($B9,[10]Summary!$B$9:$G$31,5,FALSE)</f>
        <v>0.72</v>
      </c>
      <c r="D9" s="72">
        <f>VLOOKUP($B9,[10]Summary!$B$9:$G$31,4,FALSE)</f>
        <v>1.07</v>
      </c>
      <c r="E9" s="72">
        <f>C9+D9</f>
        <v>1.79</v>
      </c>
    </row>
    <row r="10" spans="1:5" x14ac:dyDescent="0.2">
      <c r="A10" s="32"/>
      <c r="B10" s="71">
        <f>B9+1</f>
        <v>2017</v>
      </c>
      <c r="C10" s="72">
        <f>VLOOKUP($B10,[10]Summary!$B$9:$G$31,5,FALSE)</f>
        <v>0.74</v>
      </c>
      <c r="D10" s="72">
        <f>VLOOKUP($B10,[10]Summary!$B$9:$G$31,4,FALSE)</f>
        <v>0.64</v>
      </c>
      <c r="E10" s="72">
        <f t="shared" ref="E10:E26" si="0">C10+D10</f>
        <v>1.38</v>
      </c>
    </row>
    <row r="11" spans="1:5" x14ac:dyDescent="0.2">
      <c r="A11" s="32"/>
      <c r="B11" s="71">
        <f t="shared" ref="B11:B26" si="1">B10+1</f>
        <v>2018</v>
      </c>
      <c r="C11" s="72">
        <f>VLOOKUP($B11,[10]Summary!$B$9:$G$31,5,FALSE)</f>
        <v>0.76</v>
      </c>
      <c r="D11" s="72">
        <f>VLOOKUP($B11,[10]Summary!$B$9:$G$31,4,FALSE)</f>
        <v>0.85</v>
      </c>
      <c r="E11" s="72">
        <f t="shared" si="0"/>
        <v>1.6099999999999999</v>
      </c>
    </row>
    <row r="12" spans="1:5" x14ac:dyDescent="0.2">
      <c r="A12" s="32"/>
      <c r="B12" s="71">
        <f t="shared" si="1"/>
        <v>2019</v>
      </c>
      <c r="C12" s="72">
        <f>VLOOKUP($B12,[10]Summary!$B$9:$G$31,5,FALSE)</f>
        <v>0.77</v>
      </c>
      <c r="D12" s="72">
        <f>VLOOKUP($B12,[10]Summary!$B$9:$G$31,4,FALSE)</f>
        <v>0.94</v>
      </c>
      <c r="E12" s="72">
        <f t="shared" si="0"/>
        <v>1.71</v>
      </c>
    </row>
    <row r="13" spans="1:5" x14ac:dyDescent="0.2">
      <c r="A13" s="32"/>
      <c r="B13" s="71">
        <f t="shared" si="1"/>
        <v>2020</v>
      </c>
      <c r="C13" s="72">
        <f>VLOOKUP($B13,[10]Summary!$B$9:$G$31,5,FALSE)</f>
        <v>0.79</v>
      </c>
      <c r="D13" s="72">
        <f>VLOOKUP($B13,[10]Summary!$B$9:$G$31,4,FALSE)</f>
        <v>0.81</v>
      </c>
      <c r="E13" s="72">
        <f t="shared" si="0"/>
        <v>1.6</v>
      </c>
    </row>
    <row r="14" spans="1:5" x14ac:dyDescent="0.2">
      <c r="A14" s="32"/>
      <c r="B14" s="71">
        <f t="shared" si="1"/>
        <v>2021</v>
      </c>
      <c r="C14" s="72">
        <f>VLOOKUP($B14,[10]Summary!$B$9:$G$31,5,FALSE)</f>
        <v>0.8</v>
      </c>
      <c r="D14" s="72">
        <f>VLOOKUP($B14,[10]Summary!$B$9:$G$31,4,FALSE)</f>
        <v>0.77</v>
      </c>
      <c r="E14" s="72">
        <f t="shared" si="0"/>
        <v>1.57</v>
      </c>
    </row>
    <row r="15" spans="1:5" x14ac:dyDescent="0.2">
      <c r="A15" s="32"/>
      <c r="B15" s="71">
        <f t="shared" si="1"/>
        <v>2022</v>
      </c>
      <c r="C15" s="72">
        <f>VLOOKUP($B15,[10]Summary!$B$9:$G$31,5,FALSE)</f>
        <v>0.82</v>
      </c>
      <c r="D15" s="72">
        <f>VLOOKUP($B15,[10]Summary!$B$9:$G$31,4,FALSE)</f>
        <v>0.85</v>
      </c>
      <c r="E15" s="72">
        <f t="shared" si="0"/>
        <v>1.67</v>
      </c>
    </row>
    <row r="16" spans="1:5" x14ac:dyDescent="0.2">
      <c r="A16" s="32"/>
      <c r="B16" s="71">
        <f t="shared" si="1"/>
        <v>2023</v>
      </c>
      <c r="C16" s="72">
        <f>VLOOKUP($B16,[10]Summary!$B$9:$G$31,5,FALSE)</f>
        <v>0.84</v>
      </c>
      <c r="D16" s="72">
        <f>VLOOKUP($B16,[10]Summary!$B$9:$G$31,4,FALSE)</f>
        <v>1.0900000000000001</v>
      </c>
      <c r="E16" s="72">
        <f t="shared" si="0"/>
        <v>1.9300000000000002</v>
      </c>
    </row>
    <row r="17" spans="1:5" x14ac:dyDescent="0.2">
      <c r="A17" s="32"/>
      <c r="B17" s="71">
        <f t="shared" si="1"/>
        <v>2024</v>
      </c>
      <c r="C17" s="72">
        <f>VLOOKUP($B17,[10]Summary!$B$9:$G$31,5,FALSE)</f>
        <v>0.86</v>
      </c>
      <c r="D17" s="72">
        <f>VLOOKUP($B17,[10]Summary!$B$9:$G$31,4,FALSE)</f>
        <v>1.1200000000000001</v>
      </c>
      <c r="E17" s="72">
        <f t="shared" si="0"/>
        <v>1.98</v>
      </c>
    </row>
    <row r="18" spans="1:5" x14ac:dyDescent="0.2">
      <c r="A18" s="32"/>
      <c r="B18" s="71">
        <f t="shared" si="1"/>
        <v>2025</v>
      </c>
      <c r="C18" s="72">
        <f>VLOOKUP($B18,[10]Summary!$B$9:$G$31,5,FALSE)</f>
        <v>0.88</v>
      </c>
      <c r="D18" s="72">
        <f>VLOOKUP($B18,[10]Summary!$B$9:$G$31,4,FALSE)</f>
        <v>1.1599999999999999</v>
      </c>
      <c r="E18" s="72">
        <f t="shared" si="0"/>
        <v>2.04</v>
      </c>
    </row>
    <row r="19" spans="1:5" x14ac:dyDescent="0.2">
      <c r="A19" s="32"/>
      <c r="B19" s="71">
        <f t="shared" si="1"/>
        <v>2026</v>
      </c>
      <c r="C19" s="72">
        <f>VLOOKUP($B19,[10]Summary!$B$9:$G$31,5,FALSE)</f>
        <v>0.9</v>
      </c>
      <c r="D19" s="72">
        <f>VLOOKUP($B19,[10]Summary!$B$9:$G$31,4,FALSE)</f>
        <v>1.33</v>
      </c>
      <c r="E19" s="72">
        <f t="shared" si="0"/>
        <v>2.23</v>
      </c>
    </row>
    <row r="20" spans="1:5" x14ac:dyDescent="0.2">
      <c r="A20" s="32"/>
      <c r="B20" s="71">
        <f t="shared" si="1"/>
        <v>2027</v>
      </c>
      <c r="C20" s="72">
        <f>VLOOKUP($B20,[10]Summary!$B$9:$G$31,5,FALSE)</f>
        <v>0.92</v>
      </c>
      <c r="D20" s="72">
        <f>VLOOKUP($B20,[10]Summary!$B$9:$G$31,4,FALSE)</f>
        <v>1.27</v>
      </c>
      <c r="E20" s="72">
        <f t="shared" si="0"/>
        <v>2.19</v>
      </c>
    </row>
    <row r="21" spans="1:5" x14ac:dyDescent="0.2">
      <c r="A21" s="32"/>
      <c r="B21" s="71">
        <f t="shared" si="1"/>
        <v>2028</v>
      </c>
      <c r="C21" s="72">
        <f>VLOOKUP($B21,[10]Summary!$B$9:$G$31,5,FALSE)</f>
        <v>0.94</v>
      </c>
      <c r="D21" s="72">
        <f>VLOOKUP($B21,[10]Summary!$B$9:$G$31,4,FALSE)</f>
        <v>1.43</v>
      </c>
      <c r="E21" s="72">
        <f t="shared" si="0"/>
        <v>2.37</v>
      </c>
    </row>
    <row r="22" spans="1:5" x14ac:dyDescent="0.2">
      <c r="A22" s="32"/>
      <c r="B22" s="71">
        <f t="shared" si="1"/>
        <v>2029</v>
      </c>
      <c r="C22" s="72">
        <f>VLOOKUP($B22,[10]Summary!$B$9:$G$31,5,FALSE)</f>
        <v>0.96</v>
      </c>
      <c r="D22" s="72">
        <f>VLOOKUP($B22,[10]Summary!$B$9:$G$31,4,FALSE)</f>
        <v>1.82</v>
      </c>
      <c r="E22" s="72">
        <f t="shared" si="0"/>
        <v>2.7800000000000002</v>
      </c>
    </row>
    <row r="23" spans="1:5" x14ac:dyDescent="0.2">
      <c r="A23" s="32"/>
      <c r="B23" s="71">
        <f t="shared" si="1"/>
        <v>2030</v>
      </c>
      <c r="C23" s="72">
        <f>VLOOKUP($B23,[10]Summary!$B$9:$G$31,5,FALSE)</f>
        <v>0.98</v>
      </c>
      <c r="D23" s="72">
        <f>VLOOKUP($B23,[10]Summary!$B$9:$G$31,4,FALSE)</f>
        <v>2.2200000000000002</v>
      </c>
      <c r="E23" s="72">
        <f t="shared" si="0"/>
        <v>3.2</v>
      </c>
    </row>
    <row r="24" spans="1:5" x14ac:dyDescent="0.2">
      <c r="A24" s="32"/>
      <c r="B24" s="71">
        <f t="shared" si="1"/>
        <v>2031</v>
      </c>
      <c r="C24" s="72">
        <f>VLOOKUP($B24,[10]Summary!$B$9:$G$31,5,FALSE)</f>
        <v>1</v>
      </c>
      <c r="D24" s="72">
        <f>VLOOKUP($B24,[10]Summary!$B$9:$G$31,4,FALSE)</f>
        <v>2.4</v>
      </c>
      <c r="E24" s="72">
        <f t="shared" si="0"/>
        <v>3.4</v>
      </c>
    </row>
    <row r="25" spans="1:5" x14ac:dyDescent="0.2">
      <c r="A25" s="32"/>
      <c r="B25" s="71">
        <f t="shared" si="1"/>
        <v>2032</v>
      </c>
      <c r="C25" s="72">
        <f>VLOOKUP($B25,[10]Summary!$B$9:$G$31,5,FALSE)</f>
        <v>1.03</v>
      </c>
      <c r="D25" s="72">
        <f>VLOOKUP($B25,[10]Summary!$B$9:$G$31,4,FALSE)</f>
        <v>2.67</v>
      </c>
      <c r="E25" s="72">
        <f t="shared" si="0"/>
        <v>3.7</v>
      </c>
    </row>
    <row r="26" spans="1:5" x14ac:dyDescent="0.2">
      <c r="A26" s="32"/>
      <c r="B26" s="71">
        <f t="shared" si="1"/>
        <v>2033</v>
      </c>
      <c r="C26" s="72">
        <f>VLOOKUP($B26,[10]Summary!$B$9:$G$31,5,FALSE)</f>
        <v>1.05</v>
      </c>
      <c r="D26" s="72">
        <f>VLOOKUP($B26,[10]Summary!$B$9:$G$31,4,FALSE)</f>
        <v>2.21</v>
      </c>
      <c r="E26" s="72">
        <f t="shared" si="0"/>
        <v>3.26</v>
      </c>
    </row>
    <row r="27" spans="1:5" x14ac:dyDescent="0.2">
      <c r="A27" s="32"/>
      <c r="B27" s="71"/>
      <c r="C27" s="72"/>
      <c r="D27" s="72"/>
      <c r="E27" s="72"/>
    </row>
    <row r="28" spans="1:5" x14ac:dyDescent="0.2">
      <c r="A28" s="32"/>
      <c r="B28" s="71"/>
      <c r="C28" s="72"/>
      <c r="D28" s="72"/>
      <c r="E28" s="72"/>
    </row>
    <row r="30" spans="1:5" x14ac:dyDescent="0.2">
      <c r="B30" s="137" t="s">
        <v>80</v>
      </c>
      <c r="C30" s="137"/>
      <c r="D30" s="137"/>
      <c r="E30" s="137"/>
    </row>
    <row r="31" spans="1:5" x14ac:dyDescent="0.2">
      <c r="B31" s="137" t="s">
        <v>196</v>
      </c>
      <c r="C31" s="137"/>
      <c r="D31" s="137"/>
      <c r="E31" s="137"/>
    </row>
    <row r="32" spans="1:5" x14ac:dyDescent="0.2">
      <c r="B32" s="137" t="s">
        <v>294</v>
      </c>
      <c r="C32" s="137"/>
      <c r="D32" s="138"/>
      <c r="E32" s="138"/>
    </row>
    <row r="33" spans="2:5" x14ac:dyDescent="0.2">
      <c r="B33" s="137"/>
      <c r="C33" s="137"/>
      <c r="D33" s="138"/>
      <c r="E33" s="138"/>
    </row>
    <row r="34" spans="2:5" x14ac:dyDescent="0.2">
      <c r="B34" s="137" t="s">
        <v>197</v>
      </c>
      <c r="C34" s="137"/>
      <c r="D34" s="137"/>
      <c r="E34" s="137"/>
    </row>
    <row r="35" spans="2:5" x14ac:dyDescent="0.2">
      <c r="B35" s="137" t="s">
        <v>135</v>
      </c>
      <c r="C35" s="137"/>
      <c r="D35" s="137"/>
      <c r="E35" s="137"/>
    </row>
    <row r="36" spans="2:5" x14ac:dyDescent="0.2">
      <c r="B36" s="137" t="s">
        <v>160</v>
      </c>
      <c r="C36" s="137"/>
      <c r="D36" s="137"/>
      <c r="E36" s="137"/>
    </row>
    <row r="37" spans="2:5" x14ac:dyDescent="0.2">
      <c r="B37" s="137" t="s">
        <v>161</v>
      </c>
      <c r="C37" s="137"/>
      <c r="D37" s="137"/>
      <c r="E37" s="137"/>
    </row>
    <row r="38" spans="2:5" x14ac:dyDescent="0.2">
      <c r="B38" s="137" t="s">
        <v>162</v>
      </c>
      <c r="C38" s="137"/>
      <c r="D38" s="137"/>
      <c r="E38" s="137"/>
    </row>
    <row r="39" spans="2:5" x14ac:dyDescent="0.2">
      <c r="B39" s="137"/>
      <c r="C39" s="137"/>
      <c r="D39" s="137"/>
      <c r="E39" s="137"/>
    </row>
    <row r="40" spans="2:5" x14ac:dyDescent="0.2">
      <c r="B40" s="139">
        <v>2.1800000000000002</v>
      </c>
      <c r="C40" s="137" t="s">
        <v>136</v>
      </c>
      <c r="D40" s="137"/>
      <c r="E40" s="137"/>
    </row>
    <row r="41" spans="2:5" x14ac:dyDescent="0.2">
      <c r="B41" s="139">
        <v>2.83</v>
      </c>
      <c r="C41" s="137" t="s">
        <v>137</v>
      </c>
      <c r="D41" s="137"/>
      <c r="E41" s="137"/>
    </row>
  </sheetData>
  <hyperlinks>
    <hyperlink ref="C33" display="www.pacificorp.com/content/dam/pacificorp/doc/Energy_Sources/Integrated_Resource_Plan/Wind_Integration/PacifiCorp_2010WindIntegrationStudy_090110.pdf"/>
  </hyperlinks>
  <printOptions horizontalCentered="1"/>
  <pageMargins left="0.7" right="0.7" top="0.75" bottom="0.75" header="0.3" footer="0.3"/>
  <pageSetup scale="97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"/>
  <sheetViews>
    <sheetView workbookViewId="0">
      <selection activeCell="D76" sqref="D76"/>
    </sheetView>
  </sheetViews>
  <sheetFormatPr defaultRowHeight="12.75" x14ac:dyDescent="0.2"/>
  <sheetData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rgb="FFFF0000"/>
    <pageSetUpPr fitToPage="1"/>
  </sheetPr>
  <dimension ref="A1:N44"/>
  <sheetViews>
    <sheetView showGridLines="0" zoomScaleNormal="100" workbookViewId="0"/>
  </sheetViews>
  <sheetFormatPr defaultRowHeight="12" x14ac:dyDescent="0.2"/>
  <cols>
    <col min="1" max="1" width="2.83203125" style="114" customWidth="1"/>
    <col min="2" max="2" width="19.6640625" style="114" customWidth="1"/>
    <col min="3" max="6" width="18.83203125" style="114" customWidth="1"/>
    <col min="7" max="7" width="17" style="114" customWidth="1"/>
    <col min="8" max="8" width="9.33203125" style="114"/>
    <col min="9" max="9" width="19" style="114" customWidth="1"/>
    <col min="10" max="10" width="20.1640625" style="114" customWidth="1"/>
    <col min="11" max="11" width="19" style="114" customWidth="1"/>
    <col min="12" max="12" width="26.83203125" style="114" customWidth="1"/>
    <col min="13" max="13" width="12.83203125" style="114" customWidth="1"/>
    <col min="14" max="14" width="16.6640625" style="114" customWidth="1"/>
    <col min="15" max="16384" width="9.33203125" style="114"/>
  </cols>
  <sheetData>
    <row r="1" spans="1:14" x14ac:dyDescent="0.2">
      <c r="A1" s="2"/>
      <c r="B1" s="2"/>
      <c r="C1" s="2"/>
      <c r="D1" s="2"/>
      <c r="E1" s="2"/>
      <c r="F1" s="2"/>
      <c r="G1" s="2"/>
    </row>
    <row r="2" spans="1:14" x14ac:dyDescent="0.2">
      <c r="A2" s="2"/>
      <c r="B2" s="2" t="s">
        <v>101</v>
      </c>
      <c r="C2" s="2"/>
      <c r="D2" s="2"/>
      <c r="E2" s="2"/>
      <c r="F2" s="2"/>
      <c r="G2" s="2"/>
      <c r="I2" s="2"/>
      <c r="J2" s="2"/>
      <c r="K2" s="2"/>
      <c r="L2" s="2"/>
      <c r="M2" s="2"/>
      <c r="N2" s="2"/>
    </row>
    <row r="3" spans="1:14" x14ac:dyDescent="0.2">
      <c r="B3" s="144" t="s">
        <v>150</v>
      </c>
      <c r="I3" s="2"/>
      <c r="J3" s="2"/>
      <c r="K3" s="2"/>
      <c r="L3" s="2"/>
      <c r="M3" s="2"/>
      <c r="N3" s="2"/>
    </row>
    <row r="4" spans="1:14" x14ac:dyDescent="0.2">
      <c r="A4" s="115"/>
      <c r="C4" s="115"/>
      <c r="D4" s="115"/>
      <c r="E4" s="115"/>
      <c r="F4" s="115"/>
      <c r="G4" s="115"/>
      <c r="L4" s="324" t="s">
        <v>230</v>
      </c>
      <c r="M4" s="324"/>
    </row>
    <row r="5" spans="1:14" x14ac:dyDescent="0.2">
      <c r="A5" s="115"/>
      <c r="B5" s="115"/>
    </row>
    <row r="6" spans="1:14" x14ac:dyDescent="0.2">
      <c r="A6" s="115"/>
      <c r="B6" s="116" t="s">
        <v>123</v>
      </c>
      <c r="C6" s="117" t="s">
        <v>231</v>
      </c>
      <c r="D6" s="117"/>
      <c r="E6" s="167" t="s">
        <v>122</v>
      </c>
      <c r="F6" s="117"/>
      <c r="G6" s="117"/>
    </row>
    <row r="7" spans="1:14" ht="14.25" x14ac:dyDescent="0.35">
      <c r="A7" s="115"/>
      <c r="B7" s="116" t="s">
        <v>121</v>
      </c>
      <c r="C7" s="118" t="s">
        <v>58</v>
      </c>
      <c r="D7" s="118" t="s">
        <v>59</v>
      </c>
      <c r="E7" s="118" t="s">
        <v>58</v>
      </c>
      <c r="F7" s="118" t="s">
        <v>59</v>
      </c>
      <c r="G7" s="118"/>
    </row>
    <row r="8" spans="1:14" x14ac:dyDescent="0.2">
      <c r="A8" s="119"/>
      <c r="B8" s="120"/>
      <c r="C8" s="121"/>
      <c r="D8" s="121"/>
      <c r="E8" s="121"/>
      <c r="F8" s="121"/>
      <c r="G8" s="121"/>
    </row>
    <row r="9" spans="1:14" x14ac:dyDescent="0.2">
      <c r="A9" s="119"/>
      <c r="B9" s="120"/>
      <c r="C9" s="121"/>
      <c r="D9" s="121"/>
      <c r="E9" s="121"/>
      <c r="F9" s="121"/>
      <c r="G9" s="121"/>
      <c r="H9" s="325"/>
    </row>
    <row r="10" spans="1:14" x14ac:dyDescent="0.2">
      <c r="A10" s="119"/>
      <c r="B10" s="349">
        <v>2016</v>
      </c>
      <c r="C10" s="122">
        <f>ROUND(INDEX('Table 2A BaseLoad'!$C$84:$C$96,MATCH($B10,'Table 2A BaseLoad'!$A$84:$A$96,0))/10,3)</f>
        <v>1.9239999999999999</v>
      </c>
      <c r="D10" s="122">
        <f>ROUND(INDEX('Table 2A BaseLoad'!$G$84:$G$96,MATCH($B10,'Table 2A BaseLoad'!$A$84:$A$96,0))/10,3)</f>
        <v>2.274</v>
      </c>
      <c r="E10" s="122">
        <f>ROUND(INDEX('Table 2A BaseLoad'!$D$84:$D$96,MATCH($B10,'Table 2A BaseLoad'!$A$84:$A$96,0))/10,3)</f>
        <v>1.65</v>
      </c>
      <c r="F10" s="122">
        <f>ROUND(INDEX('Table 2A BaseLoad'!$H$84:$H$96,MATCH($B10,'Table 2A BaseLoad'!$A$84:$A$96,0))/10,3)</f>
        <v>1.7170000000000001</v>
      </c>
      <c r="G10" s="121"/>
      <c r="H10" s="325"/>
    </row>
    <row r="11" spans="1:14" x14ac:dyDescent="0.2">
      <c r="A11" s="119"/>
      <c r="B11" s="349">
        <v>2017</v>
      </c>
      <c r="C11" s="122">
        <f>ROUND(INDEX('Table 2A BaseLoad'!$C$84:$C$96,MATCH($B11,'Table 2A BaseLoad'!$A$84:$A$96,0))/10,3)</f>
        <v>2.1459999999999999</v>
      </c>
      <c r="D11" s="122">
        <f>ROUND(INDEX('Table 2A BaseLoad'!$G$84:$G$96,MATCH($B11,'Table 2A BaseLoad'!$A$84:$A$96,0))/10,3)</f>
        <v>2.3210000000000002</v>
      </c>
      <c r="E11" s="122">
        <f>ROUND(INDEX('Table 2A BaseLoad'!$D$84:$D$96,MATCH($B11,'Table 2A BaseLoad'!$A$84:$A$96,0))/10,3)</f>
        <v>1.885</v>
      </c>
      <c r="F11" s="122">
        <f>ROUND(INDEX('Table 2A BaseLoad'!$H$84:$H$96,MATCH($B11,'Table 2A BaseLoad'!$A$84:$A$96,0))/10,3)</f>
        <v>1.863</v>
      </c>
      <c r="G11" s="121"/>
      <c r="H11" s="325"/>
    </row>
    <row r="12" spans="1:14" x14ac:dyDescent="0.2">
      <c r="A12" s="119"/>
      <c r="B12" s="349">
        <v>2018</v>
      </c>
      <c r="C12" s="122">
        <f>ROUND(INDEX('Table 2A BaseLoad'!$C$84:$C$96,MATCH($B12,'Table 2A BaseLoad'!$A$84:$A$96,0))/10,3)</f>
        <v>2.407</v>
      </c>
      <c r="D12" s="122">
        <f>ROUND(INDEX('Table 2A BaseLoad'!$G$84:$G$96,MATCH($B12,'Table 2A BaseLoad'!$A$84:$A$96,0))/10,3)</f>
        <v>2.528</v>
      </c>
      <c r="E12" s="122">
        <f>ROUND(INDEX('Table 2A BaseLoad'!$D$84:$D$96,MATCH($B12,'Table 2A BaseLoad'!$A$84:$A$96,0))/10,3)</f>
        <v>2.1339999999999999</v>
      </c>
      <c r="F12" s="122">
        <f>ROUND(INDEX('Table 2A BaseLoad'!$H$84:$H$96,MATCH($B12,'Table 2A BaseLoad'!$A$84:$A$96,0))/10,3)</f>
        <v>1.96</v>
      </c>
      <c r="G12" s="121"/>
      <c r="H12" s="325"/>
    </row>
    <row r="13" spans="1:14" x14ac:dyDescent="0.2">
      <c r="A13" s="119"/>
      <c r="B13" s="349">
        <v>2019</v>
      </c>
      <c r="C13" s="122">
        <f>ROUND(INDEX('Table 2A BaseLoad'!$C$84:$C$96,MATCH($B13,'Table 2A BaseLoad'!$A$84:$A$96,0))/10,3)</f>
        <v>2.472</v>
      </c>
      <c r="D13" s="122">
        <f>ROUND(INDEX('Table 2A BaseLoad'!$G$84:$G$96,MATCH($B13,'Table 2A BaseLoad'!$A$84:$A$96,0))/10,3)</f>
        <v>2.7890000000000001</v>
      </c>
      <c r="E13" s="122">
        <f>ROUND(INDEX('Table 2A BaseLoad'!$D$84:$D$96,MATCH($B13,'Table 2A BaseLoad'!$A$84:$A$96,0))/10,3)</f>
        <v>2.1800000000000002</v>
      </c>
      <c r="F13" s="122">
        <f>ROUND(INDEX('Table 2A BaseLoad'!$H$84:$H$96,MATCH($B13,'Table 2A BaseLoad'!$A$84:$A$96,0))/10,3)</f>
        <v>2.1760000000000002</v>
      </c>
      <c r="G13" s="121"/>
      <c r="H13" s="325"/>
    </row>
    <row r="14" spans="1:14" x14ac:dyDescent="0.2">
      <c r="A14" s="119"/>
      <c r="B14" s="349">
        <v>2020</v>
      </c>
      <c r="C14" s="122">
        <f>ROUND(INDEX('Table 2A BaseLoad'!$C$84:$C$96,MATCH($B14,'Table 2A BaseLoad'!$A$84:$A$96,0))/10,3)</f>
        <v>2.7090000000000001</v>
      </c>
      <c r="D14" s="122">
        <f>ROUND(INDEX('Table 2A BaseLoad'!$G$84:$G$96,MATCH($B14,'Table 2A BaseLoad'!$A$84:$A$96,0))/10,3)</f>
        <v>2.8319999999999999</v>
      </c>
      <c r="E14" s="122">
        <f>ROUND(INDEX('Table 2A BaseLoad'!$D$84:$D$96,MATCH($B14,'Table 2A BaseLoad'!$A$84:$A$96,0))/10,3)</f>
        <v>2.39</v>
      </c>
      <c r="F14" s="122">
        <f>ROUND(INDEX('Table 2A BaseLoad'!$H$84:$H$96,MATCH($B14,'Table 2A BaseLoad'!$A$84:$A$96,0))/10,3)</f>
        <v>2.1709999999999998</v>
      </c>
      <c r="G14" s="121"/>
      <c r="H14" s="325"/>
    </row>
    <row r="15" spans="1:14" x14ac:dyDescent="0.2">
      <c r="A15" s="119"/>
      <c r="B15" s="349">
        <v>2021</v>
      </c>
      <c r="C15" s="122">
        <f>ROUND(INDEX('Table 2A BaseLoad'!$C$84:$C$96,MATCH($B15,'Table 2A BaseLoad'!$A$84:$A$96,0))/10,3)</f>
        <v>2.8319999999999999</v>
      </c>
      <c r="D15" s="122">
        <f>ROUND(INDEX('Table 2A BaseLoad'!$G$84:$G$96,MATCH($B15,'Table 2A BaseLoad'!$A$84:$A$96,0))/10,3)</f>
        <v>3.113</v>
      </c>
      <c r="E15" s="122">
        <f>ROUND(INDEX('Table 2A BaseLoad'!$D$84:$D$96,MATCH($B15,'Table 2A BaseLoad'!$A$84:$A$96,0))/10,3)</f>
        <v>2.4940000000000002</v>
      </c>
      <c r="F15" s="122">
        <f>ROUND(INDEX('Table 2A BaseLoad'!$H$84:$H$96,MATCH($B15,'Table 2A BaseLoad'!$A$84:$A$96,0))/10,3)</f>
        <v>2.4529999999999998</v>
      </c>
      <c r="G15" s="121"/>
      <c r="H15" s="325"/>
    </row>
    <row r="16" spans="1:14" x14ac:dyDescent="0.2">
      <c r="A16" s="119"/>
      <c r="B16" s="349">
        <v>2022</v>
      </c>
      <c r="C16" s="122">
        <f>ROUND(INDEX('Table 2A BaseLoad'!$C$84:$C$96,MATCH($B16,'Table 2A BaseLoad'!$A$84:$A$96,0))/10,3)</f>
        <v>3.0089999999999999</v>
      </c>
      <c r="D16" s="122">
        <f>ROUND(INDEX('Table 2A BaseLoad'!$G$84:$G$96,MATCH($B16,'Table 2A BaseLoad'!$A$84:$A$96,0))/10,3)</f>
        <v>3.4950000000000001</v>
      </c>
      <c r="E16" s="122">
        <f>ROUND(INDEX('Table 2A BaseLoad'!$D$84:$D$96,MATCH($B16,'Table 2A BaseLoad'!$A$84:$A$96,0))/10,3)</f>
        <v>2.665</v>
      </c>
      <c r="F16" s="122">
        <f>ROUND(INDEX('Table 2A BaseLoad'!$H$84:$H$96,MATCH($B16,'Table 2A BaseLoad'!$A$84:$A$96,0))/10,3)</f>
        <v>2.8490000000000002</v>
      </c>
      <c r="G16" s="121"/>
      <c r="H16" s="325"/>
    </row>
    <row r="17" spans="1:8" x14ac:dyDescent="0.2">
      <c r="A17" s="119"/>
      <c r="B17" s="349">
        <v>2023</v>
      </c>
      <c r="C17" s="122">
        <f>ROUND(INDEX('Table 2A BaseLoad'!$C$84:$C$96,MATCH($B17,'Table 2A BaseLoad'!$A$84:$A$96,0))/10,3)</f>
        <v>3.1819999999999999</v>
      </c>
      <c r="D17" s="122">
        <f>ROUND(INDEX('Table 2A BaseLoad'!$G$84:$G$96,MATCH($B17,'Table 2A BaseLoad'!$A$84:$A$96,0))/10,3)</f>
        <v>3.8130000000000002</v>
      </c>
      <c r="E17" s="122">
        <f>ROUND(INDEX('Table 2A BaseLoad'!$D$84:$D$96,MATCH($B17,'Table 2A BaseLoad'!$A$84:$A$96,0))/10,3)</f>
        <v>2.831</v>
      </c>
      <c r="F17" s="122">
        <f>ROUND(INDEX('Table 2A BaseLoad'!$H$84:$H$96,MATCH($B17,'Table 2A BaseLoad'!$A$84:$A$96,0))/10,3)</f>
        <v>3.194</v>
      </c>
      <c r="G17" s="121"/>
      <c r="H17" s="325"/>
    </row>
    <row r="18" spans="1:8" x14ac:dyDescent="0.2">
      <c r="A18" s="119"/>
      <c r="B18" s="349">
        <v>2024</v>
      </c>
      <c r="C18" s="122">
        <f>ROUND(INDEX('Table 2A BaseLoad'!$C$84:$C$96,MATCH($B18,'Table 2A BaseLoad'!$A$84:$A$96,0))/10,3)</f>
        <v>3.6440000000000001</v>
      </c>
      <c r="D18" s="122">
        <f>ROUND(INDEX('Table 2A BaseLoad'!$G$84:$G$96,MATCH($B18,'Table 2A BaseLoad'!$A$84:$A$96,0))/10,3)</f>
        <v>4.1479999999999997</v>
      </c>
      <c r="E18" s="122">
        <f>ROUND(INDEX('Table 2A BaseLoad'!$D$84:$D$96,MATCH($B18,'Table 2A BaseLoad'!$A$84:$A$96,0))/10,3)</f>
        <v>3.2349999999999999</v>
      </c>
      <c r="F18" s="122">
        <f>ROUND(INDEX('Table 2A BaseLoad'!$H$84:$H$96,MATCH($B18,'Table 2A BaseLoad'!$A$84:$A$96,0))/10,3)</f>
        <v>3.4590000000000001</v>
      </c>
      <c r="G18" s="121"/>
      <c r="H18" s="325"/>
    </row>
    <row r="19" spans="1:8" x14ac:dyDescent="0.2">
      <c r="A19" s="119"/>
      <c r="B19" s="349">
        <v>2025</v>
      </c>
      <c r="C19" s="122">
        <f>ROUND(INDEX('Table 2A BaseLoad'!$C$84:$C$96,MATCH($B19,'Table 2A BaseLoad'!$A$84:$A$96,0))/10,3)</f>
        <v>3.9079999999999999</v>
      </c>
      <c r="D19" s="122">
        <f>ROUND(INDEX('Table 2A BaseLoad'!$G$84:$G$96,MATCH($B19,'Table 2A BaseLoad'!$A$84:$A$96,0))/10,3)</f>
        <v>4.3360000000000003</v>
      </c>
      <c r="E19" s="122">
        <f>ROUND(INDEX('Table 2A BaseLoad'!$D$84:$D$96,MATCH($B19,'Table 2A BaseLoad'!$A$84:$A$96,0))/10,3)</f>
        <v>3.4969999999999999</v>
      </c>
      <c r="F19" s="122">
        <f>ROUND(INDEX('Table 2A BaseLoad'!$H$84:$H$96,MATCH($B19,'Table 2A BaseLoad'!$A$84:$A$96,0))/10,3)</f>
        <v>3.6059999999999999</v>
      </c>
      <c r="G19" s="121"/>
      <c r="H19" s="178"/>
    </row>
    <row r="20" spans="1:8" x14ac:dyDescent="0.2">
      <c r="A20" s="119"/>
      <c r="B20" s="349">
        <v>2026</v>
      </c>
      <c r="C20" s="122">
        <f>ROUND(INDEX('Table 2A BaseLoad'!$C$84:$C$96,MATCH($B20,'Table 2A BaseLoad'!$A$84:$A$96,0))/10,3)</f>
        <v>3.91</v>
      </c>
      <c r="D20" s="122">
        <f>ROUND(INDEX('Table 2A BaseLoad'!$G$84:$G$96,MATCH($B20,'Table 2A BaseLoad'!$A$84:$A$96,0))/10,3)</f>
        <v>4.5010000000000003</v>
      </c>
      <c r="E20" s="122">
        <f>ROUND(INDEX('Table 2A BaseLoad'!$D$84:$D$96,MATCH($B20,'Table 2A BaseLoad'!$A$84:$A$96,0))/10,3)</f>
        <v>3.4910000000000001</v>
      </c>
      <c r="F20" s="122">
        <f>ROUND(INDEX('Table 2A BaseLoad'!$H$84:$H$96,MATCH($B20,'Table 2A BaseLoad'!$A$84:$A$96,0))/10,3)</f>
        <v>3.7959999999999998</v>
      </c>
      <c r="G20" s="121"/>
      <c r="H20" s="178"/>
    </row>
    <row r="21" spans="1:8" x14ac:dyDescent="0.2">
      <c r="A21" s="119"/>
      <c r="B21" s="349">
        <v>2027</v>
      </c>
      <c r="C21" s="122">
        <f>ROUND(INDEX('Table 2A BaseLoad'!$C$84:$C$96,MATCH($B21,'Table 2A BaseLoad'!$A$84:$A$96,0))/10,3)</f>
        <v>4.1689999999999996</v>
      </c>
      <c r="D21" s="122">
        <f>ROUND(INDEX('Table 2A BaseLoad'!$G$84:$G$96,MATCH($B21,'Table 2A BaseLoad'!$A$84:$A$96,0))/10,3)</f>
        <v>4.694</v>
      </c>
      <c r="E21" s="122">
        <f>ROUND(INDEX('Table 2A BaseLoad'!$D$84:$D$96,MATCH($B21,'Table 2A BaseLoad'!$A$84:$A$96,0))/10,3)</f>
        <v>3.726</v>
      </c>
      <c r="F21" s="122">
        <f>ROUND(INDEX('Table 2A BaseLoad'!$H$84:$H$96,MATCH($B21,'Table 2A BaseLoad'!$A$84:$A$96,0))/10,3)</f>
        <v>3.9870000000000001</v>
      </c>
      <c r="G21" s="122"/>
      <c r="H21" s="178"/>
    </row>
    <row r="22" spans="1:8" x14ac:dyDescent="0.2">
      <c r="A22" s="119"/>
      <c r="B22" s="349">
        <v>2028</v>
      </c>
      <c r="C22" s="122">
        <f>ROUND(INDEX('Tables 3 to 5'!S:S,MATCH(B22,'Tables 3 to 5'!B:B,0))/10,3)</f>
        <v>6.1349999999999998</v>
      </c>
      <c r="D22" s="122">
        <f t="shared" ref="D22:D27" si="0">C22</f>
        <v>6.1349999999999998</v>
      </c>
      <c r="E22" s="122">
        <f>ROUND(INDEX('Tables 3 to 5'!T:T,MATCH(B22,'Tables 3 to 5'!B:B,0))/10,3)</f>
        <v>3.222</v>
      </c>
      <c r="F22" s="122">
        <f t="shared" ref="F22:F27" si="1">E22</f>
        <v>3.222</v>
      </c>
      <c r="G22" s="122"/>
      <c r="H22" s="178"/>
    </row>
    <row r="23" spans="1:8" x14ac:dyDescent="0.2">
      <c r="A23" s="119"/>
      <c r="B23" s="349">
        <v>2029</v>
      </c>
      <c r="C23" s="122">
        <f>ROUND(INDEX('Tables 3 to 5'!S:S,MATCH(B23,'Tables 3 to 5'!B:B,0))/10,3)</f>
        <v>6.29</v>
      </c>
      <c r="D23" s="122">
        <f t="shared" si="0"/>
        <v>6.29</v>
      </c>
      <c r="E23" s="122">
        <f>ROUND(INDEX('Tables 3 to 5'!T:T,MATCH(B23,'Tables 3 to 5'!B:B,0))/10,3)</f>
        <v>3.3149999999999999</v>
      </c>
      <c r="F23" s="122">
        <f t="shared" si="1"/>
        <v>3.3149999999999999</v>
      </c>
      <c r="G23" s="122"/>
      <c r="H23" s="178"/>
    </row>
    <row r="24" spans="1:8" x14ac:dyDescent="0.2">
      <c r="A24" s="119"/>
      <c r="B24" s="349">
        <v>2030</v>
      </c>
      <c r="C24" s="122">
        <f>ROUND(INDEX('Tables 3 to 5'!S:S,MATCH(B24,'Tables 3 to 5'!B:B,0))/10,3)</f>
        <v>6.5620000000000003</v>
      </c>
      <c r="D24" s="122">
        <f t="shared" si="0"/>
        <v>6.5620000000000003</v>
      </c>
      <c r="E24" s="122">
        <f>ROUND(INDEX('Tables 3 to 5'!T:T,MATCH(B24,'Tables 3 to 5'!B:B,0))/10,3)</f>
        <v>3.5209999999999999</v>
      </c>
      <c r="F24" s="122">
        <f t="shared" si="1"/>
        <v>3.5209999999999999</v>
      </c>
      <c r="G24" s="122"/>
      <c r="H24" s="178"/>
    </row>
    <row r="25" spans="1:8" x14ac:dyDescent="0.2">
      <c r="A25" s="119"/>
      <c r="B25" s="349">
        <v>2031</v>
      </c>
      <c r="C25" s="122">
        <f>ROUND(INDEX('Tables 3 to 5'!S:S,MATCH(B25,'Tables 3 to 5'!B:B,0))/10,3)</f>
        <v>6.72</v>
      </c>
      <c r="D25" s="122">
        <f t="shared" si="0"/>
        <v>6.72</v>
      </c>
      <c r="E25" s="122">
        <f>ROUND(INDEX('Tables 3 to 5'!T:T,MATCH(B25,'Tables 3 to 5'!B:B,0))/10,3)</f>
        <v>3.613</v>
      </c>
      <c r="F25" s="122">
        <f t="shared" si="1"/>
        <v>3.613</v>
      </c>
      <c r="G25" s="122"/>
      <c r="H25" s="178"/>
    </row>
    <row r="26" spans="1:8" x14ac:dyDescent="0.2">
      <c r="A26" s="119"/>
      <c r="B26" s="349">
        <v>2032</v>
      </c>
      <c r="C26" s="122">
        <f>ROUND(INDEX('Tables 3 to 5'!S:S,MATCH(B26,'Tables 3 to 5'!B:B,0))/10,3)</f>
        <v>6.8890000000000002</v>
      </c>
      <c r="D26" s="122">
        <f t="shared" si="0"/>
        <v>6.8890000000000002</v>
      </c>
      <c r="E26" s="122">
        <f>ROUND(INDEX('Tables 3 to 5'!T:T,MATCH(B26,'Tables 3 to 5'!B:B,0))/10,3)</f>
        <v>3.7130000000000001</v>
      </c>
      <c r="F26" s="122">
        <f t="shared" si="1"/>
        <v>3.7130000000000001</v>
      </c>
      <c r="G26" s="122"/>
      <c r="H26" s="178"/>
    </row>
    <row r="27" spans="1:8" x14ac:dyDescent="0.2">
      <c r="A27" s="119"/>
      <c r="B27" s="349">
        <v>2033</v>
      </c>
      <c r="C27" s="122">
        <f>ROUND(INDEX('Tables 3 to 5'!S:S,MATCH(B27,'Tables 3 to 5'!B:B,0))/10,3)</f>
        <v>7.085</v>
      </c>
      <c r="D27" s="122">
        <f t="shared" si="0"/>
        <v>7.085</v>
      </c>
      <c r="E27" s="122">
        <f>ROUND(INDEX('Tables 3 to 5'!T:T,MATCH(B27,'Tables 3 to 5'!B:B,0))/10,3)</f>
        <v>3.839</v>
      </c>
      <c r="F27" s="122">
        <f t="shared" si="1"/>
        <v>3.839</v>
      </c>
      <c r="G27" s="122"/>
      <c r="H27" s="178"/>
    </row>
    <row r="28" spans="1:8" x14ac:dyDescent="0.2">
      <c r="A28" s="119"/>
      <c r="B28" s="120"/>
      <c r="C28" s="122"/>
      <c r="D28" s="121"/>
      <c r="E28" s="122"/>
      <c r="F28" s="122"/>
      <c r="G28" s="122"/>
      <c r="H28" s="325"/>
    </row>
    <row r="29" spans="1:8" hidden="1" x14ac:dyDescent="0.2">
      <c r="A29" s="119"/>
      <c r="B29" s="120"/>
      <c r="C29" s="122"/>
      <c r="D29" s="121"/>
      <c r="E29" s="122"/>
      <c r="F29" s="122"/>
      <c r="G29" s="122"/>
      <c r="H29" s="325"/>
    </row>
    <row r="30" spans="1:8" hidden="1" x14ac:dyDescent="0.2">
      <c r="A30" s="119"/>
      <c r="B30" s="120"/>
      <c r="C30" s="122"/>
      <c r="D30" s="121"/>
      <c r="E30" s="122"/>
      <c r="F30" s="122"/>
      <c r="G30" s="122"/>
      <c r="H30" s="325"/>
    </row>
    <row r="31" spans="1:8" hidden="1" x14ac:dyDescent="0.2">
      <c r="A31" s="119"/>
      <c r="B31" s="120"/>
      <c r="C31" s="122"/>
      <c r="D31" s="121"/>
      <c r="E31" s="122"/>
      <c r="F31" s="122"/>
      <c r="G31" s="122"/>
      <c r="H31" s="325"/>
    </row>
    <row r="32" spans="1:8" hidden="1" x14ac:dyDescent="0.2">
      <c r="A32" s="119"/>
      <c r="B32" s="120"/>
      <c r="C32" s="122"/>
      <c r="D32" s="121"/>
      <c r="E32" s="122"/>
      <c r="F32" s="122"/>
      <c r="G32" s="122"/>
      <c r="H32" s="325"/>
    </row>
    <row r="33" spans="1:14" x14ac:dyDescent="0.2">
      <c r="A33" s="119"/>
      <c r="B33" s="120"/>
      <c r="C33" s="119"/>
      <c r="D33" s="119"/>
      <c r="E33" s="119"/>
      <c r="F33" s="119"/>
      <c r="G33" s="119"/>
      <c r="H33" s="325"/>
      <c r="I33" s="120"/>
      <c r="J33" s="120"/>
      <c r="K33" s="120"/>
      <c r="L33" s="326"/>
      <c r="M33" s="326"/>
      <c r="N33" s="326"/>
    </row>
    <row r="34" spans="1:14" x14ac:dyDescent="0.2">
      <c r="A34" s="119"/>
      <c r="C34" s="117" t="s">
        <v>231</v>
      </c>
      <c r="D34" s="117"/>
      <c r="E34" s="167" t="s">
        <v>122</v>
      </c>
      <c r="F34" s="167"/>
      <c r="G34" s="117"/>
      <c r="H34" s="325"/>
      <c r="I34" s="120"/>
      <c r="J34" s="120"/>
      <c r="K34" s="120"/>
      <c r="M34" s="326"/>
      <c r="N34" s="119"/>
    </row>
    <row r="35" spans="1:14" ht="14.25" x14ac:dyDescent="0.35">
      <c r="A35" s="119"/>
      <c r="B35" s="125"/>
      <c r="C35" s="118" t="s">
        <v>58</v>
      </c>
      <c r="D35" s="118" t="s">
        <v>59</v>
      </c>
      <c r="E35" s="118" t="s">
        <v>58</v>
      </c>
      <c r="F35" s="118" t="s">
        <v>59</v>
      </c>
      <c r="G35" s="118"/>
      <c r="H35" s="325"/>
      <c r="L35" s="326"/>
      <c r="M35" s="326"/>
      <c r="N35" s="119"/>
    </row>
    <row r="36" spans="1:14" ht="36" customHeight="1" x14ac:dyDescent="0.2">
      <c r="B36" s="126" t="s">
        <v>292</v>
      </c>
      <c r="C36" s="127">
        <f>-PMT('Table 6'!$P$39,COUNT(C11:C25),NPV('Table 6'!$P$39,C11:C25))</f>
        <v>3.611541722033051</v>
      </c>
      <c r="D36" s="127">
        <f>-PMT('Table 6'!$P$39,COUNT(D11:D25),NPV('Table 6'!$P$39,D11:D25))</f>
        <v>3.8985479650712138</v>
      </c>
      <c r="E36" s="127">
        <f>-PMT('Table 6'!$P$39,COUNT(E11:E25),NPV('Table 6'!$P$39,E11:E25))</f>
        <v>2.7916455158116422</v>
      </c>
      <c r="F36" s="127">
        <f>-PMT('Table 6'!$P$39,COUNT(F11:F25),NPV('Table 6'!$P$39,F11:F25))</f>
        <v>2.8414538796958535</v>
      </c>
      <c r="G36" s="127"/>
    </row>
    <row r="37" spans="1:14" x14ac:dyDescent="0.2">
      <c r="A37" s="125"/>
    </row>
    <row r="38" spans="1:14" x14ac:dyDescent="0.2">
      <c r="A38" s="128"/>
    </row>
    <row r="39" spans="1:14" x14ac:dyDescent="0.2">
      <c r="A39" s="129"/>
    </row>
    <row r="40" spans="1:14" ht="12.75" x14ac:dyDescent="0.2">
      <c r="A40" s="129"/>
      <c r="B40" s="35"/>
      <c r="C40" s="35"/>
      <c r="D40" s="35"/>
      <c r="E40" s="35"/>
      <c r="F40" s="130"/>
      <c r="G40" s="130"/>
      <c r="I40" s="115"/>
      <c r="J40" s="115"/>
      <c r="K40" s="115"/>
      <c r="M40" s="129"/>
      <c r="N40" s="129"/>
    </row>
    <row r="41" spans="1:14" ht="12.75" x14ac:dyDescent="0.2">
      <c r="A41" s="129"/>
      <c r="B41" s="165"/>
      <c r="C41" s="165"/>
      <c r="D41" s="133"/>
      <c r="E41" s="133"/>
      <c r="F41" s="130"/>
      <c r="G41" s="130"/>
      <c r="I41" s="115"/>
      <c r="J41" s="115"/>
      <c r="K41" s="115"/>
      <c r="M41" s="129"/>
      <c r="N41" s="129"/>
    </row>
    <row r="42" spans="1:14" ht="12.75" x14ac:dyDescent="0.2">
      <c r="A42" s="119"/>
      <c r="B42" s="165"/>
      <c r="C42" s="165"/>
      <c r="D42" s="133"/>
      <c r="E42" s="133"/>
      <c r="F42" s="119"/>
      <c r="G42" s="119"/>
      <c r="I42" s="125"/>
      <c r="J42" s="125"/>
      <c r="K42" s="125"/>
      <c r="L42" s="119"/>
      <c r="M42" s="119"/>
      <c r="N42" s="119"/>
    </row>
    <row r="43" spans="1:14" ht="12.75" x14ac:dyDescent="0.2">
      <c r="A43" s="128"/>
      <c r="B43" s="165"/>
      <c r="C43" s="165"/>
      <c r="D43" s="133"/>
      <c r="E43" s="133"/>
      <c r="L43" s="326"/>
      <c r="N43" s="128"/>
    </row>
    <row r="44" spans="1:14" ht="12.75" x14ac:dyDescent="0.2">
      <c r="A44" s="128"/>
      <c r="B44" s="165"/>
      <c r="C44" s="165"/>
      <c r="D44" s="133"/>
      <c r="E44" s="133"/>
      <c r="N44" s="128"/>
    </row>
  </sheetData>
  <printOptions horizontalCentered="1"/>
  <pageMargins left="0.25" right="0.25" top="0.75" bottom="0.75" header="0.3" footer="0.3"/>
  <pageSetup orientation="landscape" copies="3" r:id="rId1"/>
  <headerFooter alignWithMargins="0">
    <oddFooter>&amp;L&amp;8NPC Group - &amp;F   ( &amp;A )&amp;C &amp;R &amp;8&amp;D  &amp;T</oddFooter>
  </headerFooter>
  <ignoredErrors>
    <ignoredError sqref="E22:E27" 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rgb="FFFF0000"/>
  </sheetPr>
  <dimension ref="A1:AA45"/>
  <sheetViews>
    <sheetView showGridLines="0" topLeftCell="A7" zoomScaleNormal="100" workbookViewId="0">
      <selection activeCell="B44" sqref="B44"/>
    </sheetView>
  </sheetViews>
  <sheetFormatPr defaultRowHeight="12" x14ac:dyDescent="0.2"/>
  <cols>
    <col min="1" max="1" width="2.83203125" style="114" customWidth="1"/>
    <col min="2" max="2" width="19.6640625" style="114" customWidth="1"/>
    <col min="3" max="5" width="18.83203125" style="114" customWidth="1"/>
    <col min="6" max="6" width="15" style="114" customWidth="1"/>
    <col min="7" max="7" width="6.5" style="114" customWidth="1"/>
    <col min="8" max="8" width="9.33203125" style="185"/>
    <col min="9" max="9" width="11.6640625" style="185" customWidth="1"/>
    <col min="10" max="10" width="3.5" style="185" customWidth="1"/>
    <col min="11" max="11" width="17.1640625" style="185" customWidth="1"/>
    <col min="12" max="12" width="12.5" style="185" customWidth="1"/>
    <col min="13" max="13" width="11" style="185" customWidth="1"/>
    <col min="14" max="14" width="3.83203125" style="185" customWidth="1"/>
    <col min="15" max="16" width="12.5" style="185" customWidth="1"/>
    <col min="17" max="17" width="3.83203125" style="185" customWidth="1"/>
    <col min="18" max="19" width="12.5" style="185" customWidth="1"/>
    <col min="20" max="20" width="3.33203125" style="185" customWidth="1"/>
    <col min="21" max="22" width="12.5" style="185" customWidth="1"/>
    <col min="23" max="23" width="9.33203125" style="114" customWidth="1"/>
    <col min="24" max="26" width="5" style="169" customWidth="1"/>
    <col min="27" max="27" width="10.5" style="169" customWidth="1"/>
    <col min="28" max="16384" width="9.33203125" style="114"/>
  </cols>
  <sheetData>
    <row r="1" spans="1:26" x14ac:dyDescent="0.2">
      <c r="A1" s="2"/>
      <c r="B1" s="2"/>
      <c r="C1" s="2"/>
      <c r="D1" s="2"/>
      <c r="E1" s="2"/>
      <c r="F1" s="2"/>
      <c r="G1" s="2"/>
      <c r="I1" s="184"/>
      <c r="J1" s="184"/>
      <c r="X1" s="175"/>
      <c r="Y1" s="175"/>
      <c r="Z1" s="175"/>
    </row>
    <row r="2" spans="1:26" x14ac:dyDescent="0.2">
      <c r="A2" s="2"/>
      <c r="B2" s="2" t="s">
        <v>101</v>
      </c>
      <c r="C2" s="2"/>
      <c r="D2" s="2"/>
      <c r="E2" s="2"/>
      <c r="F2" s="2"/>
      <c r="G2" s="2"/>
      <c r="I2" s="184"/>
      <c r="J2" s="184"/>
      <c r="X2" s="175"/>
      <c r="Y2" s="175"/>
      <c r="Z2" s="175"/>
    </row>
    <row r="3" spans="1:26" x14ac:dyDescent="0.2">
      <c r="I3" s="184"/>
      <c r="J3" s="184"/>
    </row>
    <row r="4" spans="1:26" x14ac:dyDescent="0.2">
      <c r="A4" s="115"/>
      <c r="B4" s="144" t="s">
        <v>189</v>
      </c>
      <c r="C4" s="115"/>
      <c r="D4" s="115"/>
      <c r="E4" s="115"/>
      <c r="F4" s="115"/>
      <c r="G4" s="115"/>
      <c r="I4" s="186"/>
      <c r="J4" s="186"/>
      <c r="L4" s="187"/>
      <c r="O4" s="187"/>
      <c r="R4" s="187"/>
      <c r="U4" s="187"/>
      <c r="X4" s="115"/>
      <c r="Y4" s="115"/>
      <c r="Z4" s="115"/>
    </row>
    <row r="5" spans="1:26" x14ac:dyDescent="0.2">
      <c r="A5" s="115"/>
      <c r="B5" s="115"/>
    </row>
    <row r="6" spans="1:26" x14ac:dyDescent="0.2">
      <c r="A6" s="115"/>
      <c r="B6" s="116" t="s">
        <v>123</v>
      </c>
      <c r="C6" s="117" t="s">
        <v>232</v>
      </c>
      <c r="D6" s="117"/>
      <c r="E6" s="167" t="s">
        <v>151</v>
      </c>
      <c r="F6" s="117"/>
      <c r="G6" s="117"/>
      <c r="J6" s="188"/>
      <c r="L6" s="185" t="s">
        <v>203</v>
      </c>
      <c r="O6" s="185" t="s">
        <v>204</v>
      </c>
      <c r="R6" s="185" t="s">
        <v>205</v>
      </c>
      <c r="U6" s="185" t="s">
        <v>206</v>
      </c>
      <c r="X6" s="117"/>
      <c r="Y6" s="117"/>
      <c r="Z6" s="117"/>
    </row>
    <row r="7" spans="1:26" ht="14.25" x14ac:dyDescent="0.35">
      <c r="A7" s="115"/>
      <c r="B7" s="116" t="s">
        <v>121</v>
      </c>
      <c r="C7" s="118" t="s">
        <v>58</v>
      </c>
      <c r="D7" s="118" t="s">
        <v>59</v>
      </c>
      <c r="E7" s="118" t="s">
        <v>58</v>
      </c>
      <c r="F7" s="118" t="s">
        <v>59</v>
      </c>
      <c r="G7" s="118"/>
      <c r="J7" s="188"/>
      <c r="L7" s="185" t="s">
        <v>203</v>
      </c>
      <c r="O7" s="185" t="s">
        <v>204</v>
      </c>
      <c r="R7" s="185" t="s">
        <v>205</v>
      </c>
      <c r="U7" s="185" t="s">
        <v>206</v>
      </c>
      <c r="X7" s="118"/>
      <c r="Y7" s="118"/>
      <c r="Z7" s="118"/>
    </row>
    <row r="8" spans="1:26" ht="14.25" x14ac:dyDescent="0.35">
      <c r="A8" s="119"/>
      <c r="B8" s="120"/>
      <c r="C8" s="121"/>
      <c r="D8" s="121"/>
      <c r="E8" s="121"/>
      <c r="F8" s="121"/>
      <c r="G8" s="121"/>
      <c r="I8" s="189" t="s">
        <v>207</v>
      </c>
      <c r="J8" s="190"/>
      <c r="K8" s="191" t="s">
        <v>199</v>
      </c>
      <c r="L8" s="191" t="s">
        <v>198</v>
      </c>
      <c r="M8" s="185" t="s">
        <v>200</v>
      </c>
      <c r="O8" s="191" t="s">
        <v>198</v>
      </c>
      <c r="P8" s="185" t="s">
        <v>200</v>
      </c>
      <c r="R8" s="191" t="s">
        <v>198</v>
      </c>
      <c r="S8" s="185" t="s">
        <v>200</v>
      </c>
      <c r="U8" s="191" t="s">
        <v>198</v>
      </c>
      <c r="V8" s="185" t="s">
        <v>200</v>
      </c>
      <c r="X8" s="122"/>
      <c r="Y8" s="122"/>
      <c r="Z8" s="122"/>
    </row>
    <row r="9" spans="1:26" x14ac:dyDescent="0.2">
      <c r="A9" s="119"/>
      <c r="B9" s="120"/>
      <c r="C9" s="121"/>
      <c r="D9" s="121"/>
      <c r="E9" s="121"/>
      <c r="F9" s="121"/>
      <c r="G9" s="121"/>
      <c r="I9" s="192"/>
      <c r="J9" s="193"/>
      <c r="L9" s="194"/>
      <c r="O9" s="194"/>
      <c r="R9" s="194"/>
      <c r="U9" s="194"/>
      <c r="X9" s="122"/>
      <c r="Y9" s="122"/>
      <c r="Z9" s="122"/>
    </row>
    <row r="10" spans="1:26" x14ac:dyDescent="0.2">
      <c r="A10" s="119"/>
      <c r="B10" s="120">
        <v>2016</v>
      </c>
      <c r="C10" s="121">
        <f>ROUND(INDEX('Table 2C SolarFixed'!$C$66:$C$78,MATCH($B10,'Table 2C SolarFixed'!$A$66:$A$78,0))/10,3)</f>
        <v>1.641</v>
      </c>
      <c r="D10" s="121">
        <f>ROUND(INDEX('Table 2C SolarFixed'!$G$66:$G$78,MATCH($B10,'Table 2C SolarFixed'!$A$66:$A$78,0))/10,3)</f>
        <v>1.9910000000000001</v>
      </c>
      <c r="E10" s="121">
        <f>ROUND(INDEX('Table 2C SolarFixed'!$D$66:$D$78,MATCH($B10,'Table 2C SolarFixed'!$A$66:$A$78,0))/10,3)</f>
        <v>1.367</v>
      </c>
      <c r="F10" s="121">
        <f>ROUND(INDEX('Table 2C SolarFixed'!$H$66:$H$78,MATCH($B10,'Table 2C SolarFixed'!$A$66:$A$78,0))/10,3)</f>
        <v>1.4339999999999999</v>
      </c>
      <c r="G10" s="121"/>
      <c r="I10" s="192">
        <v>1</v>
      </c>
      <c r="J10" s="193"/>
      <c r="K10" s="185">
        <f t="shared" ref="K10:K27" si="0">1*8760*$I10</f>
        <v>8760</v>
      </c>
      <c r="L10" s="194">
        <f t="shared" ref="L10:L27" si="1">C10*1*8760*$I10</f>
        <v>14375.16</v>
      </c>
      <c r="M10" s="185">
        <f t="shared" ref="M10:M27" si="2">K10*$M$36</f>
        <v>0</v>
      </c>
      <c r="O10" s="194">
        <f t="shared" ref="O10:O27" si="3">D10*1*8760*$I10</f>
        <v>17441.16</v>
      </c>
      <c r="P10" s="185">
        <f t="shared" ref="P10:P27" si="4">K10*$P$36</f>
        <v>0</v>
      </c>
      <c r="R10" s="194">
        <f t="shared" ref="R10:R27" si="5">E10*1*8760*$I10</f>
        <v>11974.92</v>
      </c>
      <c r="S10" s="185">
        <f t="shared" ref="S10:S27" si="6">K10*$S$36</f>
        <v>0</v>
      </c>
      <c r="U10" s="194">
        <f t="shared" ref="U10:U27" si="7">F10*1*8760*$I10</f>
        <v>12561.84</v>
      </c>
      <c r="V10" s="185">
        <f t="shared" ref="V10:V27" si="8">K10*$V$36</f>
        <v>0</v>
      </c>
      <c r="X10" s="122"/>
      <c r="Y10" s="122"/>
      <c r="Z10" s="122"/>
    </row>
    <row r="11" spans="1:26" x14ac:dyDescent="0.2">
      <c r="A11" s="119"/>
      <c r="B11" s="120">
        <v>2017</v>
      </c>
      <c r="C11" s="121">
        <f>ROUND(INDEX('Table 2C SolarFixed'!$C$66:$C$78,MATCH($B11,'Table 2C SolarFixed'!$A$66:$A$78,0))/10,3)</f>
        <v>1.863</v>
      </c>
      <c r="D11" s="121">
        <f>ROUND(INDEX('Table 2C SolarFixed'!$G$66:$G$78,MATCH($B11,'Table 2C SolarFixed'!$A$66:$A$78,0))/10,3)</f>
        <v>2.0379999999999998</v>
      </c>
      <c r="E11" s="121">
        <f>ROUND(INDEX('Table 2C SolarFixed'!$D$66:$D$78,MATCH($B11,'Table 2C SolarFixed'!$A$66:$A$78,0))/10,3)</f>
        <v>1.6020000000000001</v>
      </c>
      <c r="F11" s="121">
        <f>ROUND(INDEX('Table 2C SolarFixed'!$H$66:$H$78,MATCH($B11,'Table 2C SolarFixed'!$A$66:$A$78,0))/10,3)</f>
        <v>1.58</v>
      </c>
      <c r="G11" s="121"/>
      <c r="I11" s="193">
        <f t="shared" ref="I11:I27" si="9">I10-0.007</f>
        <v>0.99299999999999999</v>
      </c>
      <c r="J11" s="193"/>
      <c r="K11" s="185">
        <f t="shared" si="0"/>
        <v>8698.68</v>
      </c>
      <c r="L11" s="194">
        <f t="shared" si="1"/>
        <v>16205.640839999998</v>
      </c>
      <c r="M11" s="185">
        <f t="shared" si="2"/>
        <v>0</v>
      </c>
      <c r="O11" s="194">
        <f t="shared" si="3"/>
        <v>17727.909839999997</v>
      </c>
      <c r="P11" s="185">
        <f t="shared" si="4"/>
        <v>0</v>
      </c>
      <c r="R11" s="194">
        <f t="shared" si="5"/>
        <v>13935.28536</v>
      </c>
      <c r="S11" s="185">
        <f t="shared" si="6"/>
        <v>0</v>
      </c>
      <c r="U11" s="194">
        <f t="shared" si="7"/>
        <v>13743.914400000001</v>
      </c>
      <c r="V11" s="185">
        <f t="shared" si="8"/>
        <v>0</v>
      </c>
      <c r="X11" s="122"/>
      <c r="Y11" s="122"/>
      <c r="Z11" s="122"/>
    </row>
    <row r="12" spans="1:26" x14ac:dyDescent="0.2">
      <c r="A12" s="119"/>
      <c r="B12" s="120">
        <v>2018</v>
      </c>
      <c r="C12" s="121">
        <f>ROUND(INDEX('Table 2C SolarFixed'!$C$66:$C$78,MATCH($B12,'Table 2C SolarFixed'!$A$66:$A$78,0))/10,3)</f>
        <v>2.1240000000000001</v>
      </c>
      <c r="D12" s="121">
        <f>ROUND(INDEX('Table 2C SolarFixed'!$G$66:$G$78,MATCH($B12,'Table 2C SolarFixed'!$A$66:$A$78,0))/10,3)</f>
        <v>2.2450000000000001</v>
      </c>
      <c r="E12" s="121">
        <f>ROUND(INDEX('Table 2C SolarFixed'!$D$66:$D$78,MATCH($B12,'Table 2C SolarFixed'!$A$66:$A$78,0))/10,3)</f>
        <v>1.851</v>
      </c>
      <c r="F12" s="121">
        <f>ROUND(INDEX('Table 2C SolarFixed'!$H$66:$H$78,MATCH($B12,'Table 2C SolarFixed'!$A$66:$A$78,0))/10,3)</f>
        <v>1.677</v>
      </c>
      <c r="G12" s="121"/>
      <c r="I12" s="193">
        <f t="shared" si="9"/>
        <v>0.98599999999999999</v>
      </c>
      <c r="J12" s="193"/>
      <c r="K12" s="185">
        <f t="shared" si="0"/>
        <v>8637.36</v>
      </c>
      <c r="L12" s="194">
        <f t="shared" si="1"/>
        <v>18345.752640000002</v>
      </c>
      <c r="M12" s="185">
        <f t="shared" si="2"/>
        <v>0</v>
      </c>
      <c r="O12" s="194">
        <f t="shared" si="3"/>
        <v>19390.873200000002</v>
      </c>
      <c r="P12" s="185">
        <f t="shared" si="4"/>
        <v>0</v>
      </c>
      <c r="R12" s="194">
        <f t="shared" si="5"/>
        <v>15987.753360000001</v>
      </c>
      <c r="S12" s="185">
        <f t="shared" si="6"/>
        <v>0</v>
      </c>
      <c r="U12" s="194">
        <f t="shared" si="7"/>
        <v>14484.852720000001</v>
      </c>
      <c r="V12" s="185">
        <f t="shared" si="8"/>
        <v>0</v>
      </c>
      <c r="X12" s="122"/>
      <c r="Y12" s="122"/>
      <c r="Z12" s="122"/>
    </row>
    <row r="13" spans="1:26" x14ac:dyDescent="0.2">
      <c r="A13" s="119"/>
      <c r="B13" s="120">
        <v>2019</v>
      </c>
      <c r="C13" s="121">
        <f>ROUND(INDEX('Table 2C SolarFixed'!$C$66:$C$78,MATCH($B13,'Table 2C SolarFixed'!$A$66:$A$78,0))/10,3)</f>
        <v>2.1890000000000001</v>
      </c>
      <c r="D13" s="121">
        <f>ROUND(INDEX('Table 2C SolarFixed'!$G$66:$G$78,MATCH($B13,'Table 2C SolarFixed'!$A$66:$A$78,0))/10,3)</f>
        <v>2.5059999999999998</v>
      </c>
      <c r="E13" s="121">
        <f>ROUND(INDEX('Table 2C SolarFixed'!$D$66:$D$78,MATCH($B13,'Table 2C SolarFixed'!$A$66:$A$78,0))/10,3)</f>
        <v>1.897</v>
      </c>
      <c r="F13" s="121">
        <f>ROUND(INDEX('Table 2C SolarFixed'!$H$66:$H$78,MATCH($B13,'Table 2C SolarFixed'!$A$66:$A$78,0))/10,3)</f>
        <v>1.893</v>
      </c>
      <c r="G13" s="121"/>
      <c r="I13" s="193">
        <f t="shared" si="9"/>
        <v>0.97899999999999998</v>
      </c>
      <c r="J13" s="193"/>
      <c r="K13" s="185">
        <f t="shared" si="0"/>
        <v>8576.0399999999991</v>
      </c>
      <c r="L13" s="194">
        <f t="shared" si="1"/>
        <v>18772.951559999998</v>
      </c>
      <c r="M13" s="185">
        <f t="shared" si="2"/>
        <v>0</v>
      </c>
      <c r="O13" s="194">
        <f t="shared" si="3"/>
        <v>21491.556239999998</v>
      </c>
      <c r="P13" s="185">
        <f t="shared" si="4"/>
        <v>0</v>
      </c>
      <c r="R13" s="194">
        <f t="shared" si="5"/>
        <v>16268.747880000001</v>
      </c>
      <c r="S13" s="185">
        <f t="shared" si="6"/>
        <v>0</v>
      </c>
      <c r="U13" s="194">
        <f t="shared" si="7"/>
        <v>16234.443719999999</v>
      </c>
      <c r="V13" s="185">
        <f t="shared" si="8"/>
        <v>0</v>
      </c>
      <c r="X13" s="122"/>
      <c r="Y13" s="122"/>
      <c r="Z13" s="122"/>
    </row>
    <row r="14" spans="1:26" x14ac:dyDescent="0.2">
      <c r="A14" s="119"/>
      <c r="B14" s="120">
        <v>2020</v>
      </c>
      <c r="C14" s="121">
        <f>ROUND(INDEX('Table 2C SolarFixed'!$C$66:$C$78,MATCH($B14,'Table 2C SolarFixed'!$A$66:$A$78,0))/10,3)</f>
        <v>2.4260000000000002</v>
      </c>
      <c r="D14" s="121">
        <f>ROUND(INDEX('Table 2C SolarFixed'!$G$66:$G$78,MATCH($B14,'Table 2C SolarFixed'!$A$66:$A$78,0))/10,3)</f>
        <v>2.5489999999999999</v>
      </c>
      <c r="E14" s="121">
        <f>ROUND(INDEX('Table 2C SolarFixed'!$D$66:$D$78,MATCH($B14,'Table 2C SolarFixed'!$A$66:$A$78,0))/10,3)</f>
        <v>2.1070000000000002</v>
      </c>
      <c r="F14" s="121">
        <f>ROUND(INDEX('Table 2C SolarFixed'!$H$66:$H$78,MATCH($B14,'Table 2C SolarFixed'!$A$66:$A$78,0))/10,3)</f>
        <v>1.8879999999999999</v>
      </c>
      <c r="G14" s="121"/>
      <c r="I14" s="193">
        <f t="shared" si="9"/>
        <v>0.97199999999999998</v>
      </c>
      <c r="J14" s="193"/>
      <c r="K14" s="185">
        <f t="shared" si="0"/>
        <v>8514.7199999999993</v>
      </c>
      <c r="L14" s="194">
        <f t="shared" si="1"/>
        <v>20656.710720000003</v>
      </c>
      <c r="M14" s="185">
        <f t="shared" si="2"/>
        <v>0</v>
      </c>
      <c r="O14" s="194">
        <f t="shared" si="3"/>
        <v>21704.021279999997</v>
      </c>
      <c r="P14" s="185">
        <f t="shared" si="4"/>
        <v>0</v>
      </c>
      <c r="R14" s="194">
        <f t="shared" si="5"/>
        <v>17940.515040000002</v>
      </c>
      <c r="S14" s="185">
        <f t="shared" si="6"/>
        <v>0</v>
      </c>
      <c r="U14" s="194">
        <f t="shared" si="7"/>
        <v>16075.791359999997</v>
      </c>
      <c r="V14" s="185">
        <f t="shared" si="8"/>
        <v>0</v>
      </c>
      <c r="X14" s="122"/>
      <c r="Y14" s="122"/>
      <c r="Z14" s="122"/>
    </row>
    <row r="15" spans="1:26" x14ac:dyDescent="0.2">
      <c r="A15" s="119"/>
      <c r="B15" s="120">
        <v>2021</v>
      </c>
      <c r="C15" s="121">
        <f>ROUND(INDEX('Table 2C SolarFixed'!$C$66:$C$78,MATCH($B15,'Table 2C SolarFixed'!$A$66:$A$78,0))/10,3)</f>
        <v>2.5489999999999999</v>
      </c>
      <c r="D15" s="121">
        <f>ROUND(INDEX('Table 2C SolarFixed'!$G$66:$G$78,MATCH($B15,'Table 2C SolarFixed'!$A$66:$A$78,0))/10,3)</f>
        <v>2.83</v>
      </c>
      <c r="E15" s="121">
        <f>ROUND(INDEX('Table 2C SolarFixed'!$D$66:$D$78,MATCH($B15,'Table 2C SolarFixed'!$A$66:$A$78,0))/10,3)</f>
        <v>2.2109999999999999</v>
      </c>
      <c r="F15" s="121">
        <f>ROUND(INDEX('Table 2C SolarFixed'!$H$66:$H$78,MATCH($B15,'Table 2C SolarFixed'!$A$66:$A$78,0))/10,3)</f>
        <v>2.17</v>
      </c>
      <c r="G15" s="121"/>
      <c r="I15" s="193">
        <f t="shared" si="9"/>
        <v>0.96499999999999997</v>
      </c>
      <c r="J15" s="193"/>
      <c r="K15" s="185">
        <f t="shared" si="0"/>
        <v>8453.4</v>
      </c>
      <c r="L15" s="194">
        <f t="shared" si="1"/>
        <v>21547.716599999996</v>
      </c>
      <c r="M15" s="185">
        <f t="shared" si="2"/>
        <v>0</v>
      </c>
      <c r="O15" s="194">
        <f t="shared" si="3"/>
        <v>23923.121999999999</v>
      </c>
      <c r="P15" s="185">
        <f t="shared" si="4"/>
        <v>0</v>
      </c>
      <c r="R15" s="194">
        <f t="shared" si="5"/>
        <v>18690.467399999998</v>
      </c>
      <c r="S15" s="185">
        <f t="shared" si="6"/>
        <v>0</v>
      </c>
      <c r="U15" s="194">
        <f t="shared" si="7"/>
        <v>18343.878000000001</v>
      </c>
      <c r="V15" s="185">
        <f t="shared" si="8"/>
        <v>0</v>
      </c>
      <c r="X15" s="122"/>
      <c r="Y15" s="122"/>
      <c r="Z15" s="122"/>
    </row>
    <row r="16" spans="1:26" x14ac:dyDescent="0.2">
      <c r="A16" s="119"/>
      <c r="B16" s="120">
        <v>2022</v>
      </c>
      <c r="C16" s="121">
        <f>ROUND(INDEX('Table 2C SolarFixed'!$C$66:$C$78,MATCH($B16,'Table 2C SolarFixed'!$A$66:$A$78,0))/10,3)</f>
        <v>2.726</v>
      </c>
      <c r="D16" s="121">
        <f>ROUND(INDEX('Table 2C SolarFixed'!$G$66:$G$78,MATCH($B16,'Table 2C SolarFixed'!$A$66:$A$78,0))/10,3)</f>
        <v>3.2120000000000002</v>
      </c>
      <c r="E16" s="121">
        <f>ROUND(INDEX('Table 2C SolarFixed'!$D$66:$D$78,MATCH($B16,'Table 2C SolarFixed'!$A$66:$A$78,0))/10,3)</f>
        <v>2.3820000000000001</v>
      </c>
      <c r="F16" s="121">
        <f>ROUND(INDEX('Table 2C SolarFixed'!$H$66:$H$78,MATCH($B16,'Table 2C SolarFixed'!$A$66:$A$78,0))/10,3)</f>
        <v>2.5659999999999998</v>
      </c>
      <c r="G16" s="121"/>
      <c r="I16" s="193">
        <f t="shared" si="9"/>
        <v>0.95799999999999996</v>
      </c>
      <c r="J16" s="193"/>
      <c r="K16" s="185">
        <f t="shared" si="0"/>
        <v>8392.08</v>
      </c>
      <c r="L16" s="194">
        <f t="shared" si="1"/>
        <v>22876.810079999999</v>
      </c>
      <c r="M16" s="185">
        <f t="shared" si="2"/>
        <v>0</v>
      </c>
      <c r="O16" s="194">
        <f t="shared" si="3"/>
        <v>26955.360960000002</v>
      </c>
      <c r="P16" s="185">
        <f t="shared" si="4"/>
        <v>0</v>
      </c>
      <c r="R16" s="194">
        <f t="shared" si="5"/>
        <v>19989.934559999998</v>
      </c>
      <c r="S16" s="185">
        <f t="shared" si="6"/>
        <v>0</v>
      </c>
      <c r="U16" s="194">
        <f t="shared" si="7"/>
        <v>21534.077279999998</v>
      </c>
      <c r="V16" s="185">
        <f t="shared" si="8"/>
        <v>0</v>
      </c>
      <c r="X16" s="122"/>
      <c r="Y16" s="122"/>
      <c r="Z16" s="122"/>
    </row>
    <row r="17" spans="1:26" x14ac:dyDescent="0.2">
      <c r="A17" s="119"/>
      <c r="B17" s="120">
        <v>2023</v>
      </c>
      <c r="C17" s="121">
        <f>ROUND(INDEX('Table 2C SolarFixed'!$C$66:$C$78,MATCH($B17,'Table 2C SolarFixed'!$A$66:$A$78,0))/10,3)</f>
        <v>2.899</v>
      </c>
      <c r="D17" s="121">
        <f>ROUND(INDEX('Table 2C SolarFixed'!$G$66:$G$78,MATCH($B17,'Table 2C SolarFixed'!$A$66:$A$78,0))/10,3)</f>
        <v>3.53</v>
      </c>
      <c r="E17" s="121">
        <f>ROUND(INDEX('Table 2C SolarFixed'!$D$66:$D$78,MATCH($B17,'Table 2C SolarFixed'!$A$66:$A$78,0))/10,3)</f>
        <v>2.548</v>
      </c>
      <c r="F17" s="121">
        <f>ROUND(INDEX('Table 2C SolarFixed'!$H$66:$H$78,MATCH($B17,'Table 2C SolarFixed'!$A$66:$A$78,0))/10,3)</f>
        <v>2.911</v>
      </c>
      <c r="G17" s="121"/>
      <c r="I17" s="193">
        <f t="shared" si="9"/>
        <v>0.95099999999999996</v>
      </c>
      <c r="J17" s="193"/>
      <c r="K17" s="185">
        <f t="shared" si="0"/>
        <v>8330.76</v>
      </c>
      <c r="L17" s="194">
        <f t="shared" si="1"/>
        <v>24150.873240000001</v>
      </c>
      <c r="M17" s="185">
        <f t="shared" si="2"/>
        <v>0</v>
      </c>
      <c r="O17" s="194">
        <f t="shared" si="3"/>
        <v>29407.582799999996</v>
      </c>
      <c r="P17" s="185">
        <f t="shared" si="4"/>
        <v>0</v>
      </c>
      <c r="R17" s="194">
        <f t="shared" si="5"/>
        <v>21226.776479999997</v>
      </c>
      <c r="S17" s="185">
        <f t="shared" si="6"/>
        <v>0</v>
      </c>
      <c r="U17" s="194">
        <f t="shared" si="7"/>
        <v>24250.842359999999</v>
      </c>
      <c r="V17" s="185">
        <f t="shared" si="8"/>
        <v>0</v>
      </c>
      <c r="X17" s="122"/>
      <c r="Y17" s="122"/>
      <c r="Z17" s="122"/>
    </row>
    <row r="18" spans="1:26" x14ac:dyDescent="0.2">
      <c r="A18" s="119"/>
      <c r="B18" s="120">
        <v>2024</v>
      </c>
      <c r="C18" s="121">
        <f>ROUND(INDEX('Table 2C SolarFixed'!$C$66:$C$78,MATCH($B18,'Table 2C SolarFixed'!$A$66:$A$78,0))/10,3)</f>
        <v>3.3610000000000002</v>
      </c>
      <c r="D18" s="121">
        <f>ROUND(INDEX('Table 2C SolarFixed'!$G$66:$G$78,MATCH($B18,'Table 2C SolarFixed'!$A$66:$A$78,0))/10,3)</f>
        <v>3.8650000000000002</v>
      </c>
      <c r="E18" s="121">
        <f>ROUND(INDEX('Table 2C SolarFixed'!$D$66:$D$78,MATCH($B18,'Table 2C SolarFixed'!$A$66:$A$78,0))/10,3)</f>
        <v>2.952</v>
      </c>
      <c r="F18" s="121">
        <f>ROUND(INDEX('Table 2C SolarFixed'!$H$66:$H$78,MATCH($B18,'Table 2C SolarFixed'!$A$66:$A$78,0))/10,3)</f>
        <v>3.1760000000000002</v>
      </c>
      <c r="G18" s="121"/>
      <c r="I18" s="193">
        <f t="shared" si="9"/>
        <v>0.94399999999999995</v>
      </c>
      <c r="J18" s="193"/>
      <c r="K18" s="185">
        <f t="shared" si="0"/>
        <v>8269.4399999999987</v>
      </c>
      <c r="L18" s="194">
        <f t="shared" si="1"/>
        <v>27793.58784</v>
      </c>
      <c r="M18" s="185">
        <f t="shared" si="2"/>
        <v>0</v>
      </c>
      <c r="O18" s="194">
        <f t="shared" si="3"/>
        <v>31961.385600000001</v>
      </c>
      <c r="P18" s="185">
        <f t="shared" si="4"/>
        <v>0</v>
      </c>
      <c r="R18" s="194">
        <f t="shared" si="5"/>
        <v>24411.386879999998</v>
      </c>
      <c r="S18" s="185">
        <f t="shared" si="6"/>
        <v>0</v>
      </c>
      <c r="U18" s="194">
        <f t="shared" si="7"/>
        <v>26263.741440000002</v>
      </c>
      <c r="V18" s="185">
        <f t="shared" si="8"/>
        <v>0</v>
      </c>
      <c r="X18" s="122"/>
      <c r="Y18" s="122"/>
      <c r="Z18" s="122"/>
    </row>
    <row r="19" spans="1:26" x14ac:dyDescent="0.2">
      <c r="A19" s="119"/>
      <c r="B19" s="120">
        <v>2025</v>
      </c>
      <c r="C19" s="121">
        <f>ROUND(INDEX('Table 2C SolarFixed'!$C$66:$C$78,MATCH($B19,'Table 2C SolarFixed'!$A$66:$A$78,0))/10,3)</f>
        <v>3.625</v>
      </c>
      <c r="D19" s="121">
        <f>ROUND(INDEX('Table 2C SolarFixed'!$G$66:$G$78,MATCH($B19,'Table 2C SolarFixed'!$A$66:$A$78,0))/10,3)</f>
        <v>4.0529999999999999</v>
      </c>
      <c r="E19" s="121">
        <f>ROUND(INDEX('Table 2C SolarFixed'!$D$66:$D$78,MATCH($B19,'Table 2C SolarFixed'!$A$66:$A$78,0))/10,3)</f>
        <v>3.214</v>
      </c>
      <c r="F19" s="121">
        <f>ROUND(INDEX('Table 2C SolarFixed'!$H$66:$H$78,MATCH($B19,'Table 2C SolarFixed'!$A$66:$A$78,0))/10,3)</f>
        <v>3.323</v>
      </c>
      <c r="G19" s="121"/>
      <c r="I19" s="193">
        <f t="shared" si="9"/>
        <v>0.93699999999999994</v>
      </c>
      <c r="J19" s="193"/>
      <c r="K19" s="185">
        <f t="shared" si="0"/>
        <v>8208.119999999999</v>
      </c>
      <c r="L19" s="194">
        <f t="shared" si="1"/>
        <v>29754.434999999998</v>
      </c>
      <c r="M19" s="185">
        <f t="shared" si="2"/>
        <v>0</v>
      </c>
      <c r="O19" s="194">
        <f t="shared" si="3"/>
        <v>33267.51036</v>
      </c>
      <c r="P19" s="185">
        <f t="shared" si="4"/>
        <v>0</v>
      </c>
      <c r="R19" s="194">
        <f t="shared" si="5"/>
        <v>26380.897679999998</v>
      </c>
      <c r="S19" s="185">
        <f t="shared" si="6"/>
        <v>0</v>
      </c>
      <c r="U19" s="194">
        <f t="shared" si="7"/>
        <v>27275.582759999998</v>
      </c>
      <c r="V19" s="185">
        <f t="shared" si="8"/>
        <v>0</v>
      </c>
      <c r="X19" s="122"/>
      <c r="Y19" s="122"/>
      <c r="Z19" s="122"/>
    </row>
    <row r="20" spans="1:26" x14ac:dyDescent="0.2">
      <c r="A20" s="119"/>
      <c r="B20" s="349">
        <v>2026</v>
      </c>
      <c r="C20" s="122">
        <f>ROUND(INDEX('Table 2C SolarFixed'!$C$66:$C$78,MATCH($B20,'Table 2C SolarFixed'!$A$66:$A$78,0))/10,3)</f>
        <v>3.6269999999999998</v>
      </c>
      <c r="D20" s="122">
        <f>ROUND(INDEX('Table 2C SolarFixed'!$G$66:$G$78,MATCH($B20,'Table 2C SolarFixed'!$A$66:$A$78,0))/10,3)</f>
        <v>4.218</v>
      </c>
      <c r="E20" s="122">
        <f>ROUND(INDEX('Table 2C SolarFixed'!$D$66:$D$78,MATCH($B20,'Table 2C SolarFixed'!$A$66:$A$78,0))/10,3)</f>
        <v>3.2080000000000002</v>
      </c>
      <c r="F20" s="122">
        <f>ROUND(INDEX('Table 2C SolarFixed'!$H$66:$H$78,MATCH($B20,'Table 2C SolarFixed'!$A$66:$A$78,0))/10,3)</f>
        <v>3.5129999999999999</v>
      </c>
      <c r="G20" s="121"/>
      <c r="H20" s="195"/>
      <c r="I20" s="193">
        <f t="shared" si="9"/>
        <v>0.92999999999999994</v>
      </c>
      <c r="J20" s="193"/>
      <c r="K20" s="185">
        <f t="shared" si="0"/>
        <v>8146.7999999999993</v>
      </c>
      <c r="L20" s="194">
        <f t="shared" si="1"/>
        <v>29548.443599999995</v>
      </c>
      <c r="M20" s="185">
        <f t="shared" si="2"/>
        <v>0</v>
      </c>
      <c r="O20" s="194">
        <f t="shared" si="3"/>
        <v>34363.202399999995</v>
      </c>
      <c r="P20" s="185">
        <f t="shared" si="4"/>
        <v>0</v>
      </c>
      <c r="R20" s="194">
        <f t="shared" si="5"/>
        <v>26134.934399999998</v>
      </c>
      <c r="S20" s="185">
        <f t="shared" si="6"/>
        <v>0</v>
      </c>
      <c r="U20" s="194">
        <f t="shared" si="7"/>
        <v>28619.708399999996</v>
      </c>
      <c r="V20" s="185">
        <f t="shared" si="8"/>
        <v>0</v>
      </c>
      <c r="W20" s="123"/>
      <c r="X20" s="122"/>
      <c r="Y20" s="122"/>
      <c r="Z20" s="122"/>
    </row>
    <row r="21" spans="1:26" x14ac:dyDescent="0.2">
      <c r="A21" s="119"/>
      <c r="B21" s="349">
        <v>2027</v>
      </c>
      <c r="C21" s="122">
        <f>ROUND(INDEX('Table 2C SolarFixed'!$C$66:$C$78,MATCH($B21,'Table 2C SolarFixed'!$A$66:$A$78,0))/10,3)</f>
        <v>3.8860000000000001</v>
      </c>
      <c r="D21" s="122">
        <f>ROUND(INDEX('Table 2C SolarFixed'!$G$66:$G$78,MATCH($B21,'Table 2C SolarFixed'!$A$66:$A$78,0))/10,3)</f>
        <v>4.4109999999999996</v>
      </c>
      <c r="E21" s="122">
        <f>ROUND(INDEX('Table 2C SolarFixed'!$D$66:$D$78,MATCH($B21,'Table 2C SolarFixed'!$A$66:$A$78,0))/10,3)</f>
        <v>3.4430000000000001</v>
      </c>
      <c r="F21" s="122">
        <f>ROUND(INDEX('Table 2C SolarFixed'!$H$66:$H$78,MATCH($B21,'Table 2C SolarFixed'!$A$66:$A$78,0))/10,3)</f>
        <v>3.7040000000000002</v>
      </c>
      <c r="G21" s="121"/>
      <c r="I21" s="193">
        <f t="shared" si="9"/>
        <v>0.92299999999999993</v>
      </c>
      <c r="J21" s="193"/>
      <c r="K21" s="185">
        <f t="shared" si="0"/>
        <v>8085.48</v>
      </c>
      <c r="L21" s="194">
        <f t="shared" si="1"/>
        <v>31420.175279999999</v>
      </c>
      <c r="M21" s="185">
        <f t="shared" si="2"/>
        <v>0</v>
      </c>
      <c r="O21" s="194">
        <f t="shared" si="3"/>
        <v>35665.052279999989</v>
      </c>
      <c r="P21" s="185">
        <f t="shared" si="4"/>
        <v>0</v>
      </c>
      <c r="R21" s="194">
        <f t="shared" si="5"/>
        <v>27838.307639999999</v>
      </c>
      <c r="S21" s="185">
        <f t="shared" si="6"/>
        <v>0</v>
      </c>
      <c r="U21" s="194">
        <f t="shared" si="7"/>
        <v>29948.617919999997</v>
      </c>
      <c r="V21" s="185">
        <f t="shared" si="8"/>
        <v>0</v>
      </c>
      <c r="X21" s="122"/>
      <c r="Y21" s="122"/>
      <c r="Z21" s="122"/>
    </row>
    <row r="22" spans="1:26" x14ac:dyDescent="0.2">
      <c r="A22" s="119"/>
      <c r="B22" s="349">
        <v>2028</v>
      </c>
      <c r="C22" s="122">
        <f>ROUND(INDEX('Tables 3 to 5'!AI:AI,MATCH(B22,'Tables 3 to 5'!B:B,0))/10,3)</f>
        <v>3.9329999999999998</v>
      </c>
      <c r="D22" s="122">
        <f t="shared" ref="D22:D27" si="10">C22</f>
        <v>3.9329999999999998</v>
      </c>
      <c r="E22" s="122">
        <f>ROUND(INDEX('Tables 3 to 5'!AJ:AJ,MATCH(B22,'Tables 3 to 5'!B:B,0))/10,3)</f>
        <v>2.9390000000000001</v>
      </c>
      <c r="F22" s="122">
        <f t="shared" ref="F22:F27" si="11">E22</f>
        <v>2.9390000000000001</v>
      </c>
      <c r="G22" s="122"/>
      <c r="I22" s="193">
        <f t="shared" si="9"/>
        <v>0.91599999999999993</v>
      </c>
      <c r="J22" s="193"/>
      <c r="K22" s="185">
        <f t="shared" si="0"/>
        <v>8024.1599999999989</v>
      </c>
      <c r="L22" s="194">
        <f t="shared" si="1"/>
        <v>31559.021280000001</v>
      </c>
      <c r="M22" s="185">
        <f t="shared" si="2"/>
        <v>0</v>
      </c>
      <c r="O22" s="194">
        <f t="shared" si="3"/>
        <v>31559.021280000001</v>
      </c>
      <c r="P22" s="185">
        <f t="shared" si="4"/>
        <v>0</v>
      </c>
      <c r="R22" s="194">
        <f t="shared" si="5"/>
        <v>23583.006239999999</v>
      </c>
      <c r="S22" s="185">
        <f t="shared" si="6"/>
        <v>0</v>
      </c>
      <c r="U22" s="194">
        <f t="shared" si="7"/>
        <v>23583.006239999999</v>
      </c>
      <c r="V22" s="185">
        <f t="shared" si="8"/>
        <v>0</v>
      </c>
      <c r="X22" s="122"/>
      <c r="Y22" s="122"/>
      <c r="Z22" s="122"/>
    </row>
    <row r="23" spans="1:26" x14ac:dyDescent="0.2">
      <c r="A23" s="119"/>
      <c r="B23" s="120">
        <v>2029</v>
      </c>
      <c r="C23" s="122">
        <f>ROUND(INDEX('Tables 3 to 5'!AI:AI,MATCH(B23,'Tables 3 to 5'!B:B,0))/10,3)</f>
        <v>4.0460000000000003</v>
      </c>
      <c r="D23" s="121">
        <f t="shared" si="10"/>
        <v>4.0460000000000003</v>
      </c>
      <c r="E23" s="122">
        <f>ROUND(INDEX('Tables 3 to 5'!AJ:AJ,MATCH(B23,'Tables 3 to 5'!B:B,0))/10,3)</f>
        <v>3.032</v>
      </c>
      <c r="F23" s="122">
        <f t="shared" si="11"/>
        <v>3.032</v>
      </c>
      <c r="G23" s="122"/>
      <c r="I23" s="193">
        <f t="shared" si="9"/>
        <v>0.90899999999999992</v>
      </c>
      <c r="J23" s="193"/>
      <c r="K23" s="185">
        <f t="shared" si="0"/>
        <v>7962.8399999999992</v>
      </c>
      <c r="L23" s="194">
        <f t="shared" si="1"/>
        <v>32217.650639999996</v>
      </c>
      <c r="M23" s="185">
        <f t="shared" si="2"/>
        <v>0</v>
      </c>
      <c r="O23" s="194">
        <f t="shared" si="3"/>
        <v>32217.650639999996</v>
      </c>
      <c r="P23" s="185">
        <f t="shared" si="4"/>
        <v>0</v>
      </c>
      <c r="R23" s="194">
        <f t="shared" si="5"/>
        <v>24143.330879999998</v>
      </c>
      <c r="S23" s="185">
        <f t="shared" si="6"/>
        <v>0</v>
      </c>
      <c r="U23" s="194">
        <f t="shared" si="7"/>
        <v>24143.330879999998</v>
      </c>
      <c r="V23" s="185">
        <f t="shared" si="8"/>
        <v>0</v>
      </c>
      <c r="X23" s="122"/>
      <c r="Y23" s="122"/>
      <c r="Z23" s="122"/>
    </row>
    <row r="24" spans="1:26" x14ac:dyDescent="0.2">
      <c r="A24" s="119"/>
      <c r="B24" s="120">
        <v>2030</v>
      </c>
      <c r="C24" s="122">
        <f>ROUND(INDEX('Tables 3 to 5'!AI:AI,MATCH(B24,'Tables 3 to 5'!B:B,0))/10,3)</f>
        <v>4.2750000000000004</v>
      </c>
      <c r="D24" s="121">
        <f t="shared" si="10"/>
        <v>4.2750000000000004</v>
      </c>
      <c r="E24" s="122">
        <f>ROUND(INDEX('Tables 3 to 5'!AJ:AJ,MATCH(B24,'Tables 3 to 5'!B:B,0))/10,3)</f>
        <v>3.238</v>
      </c>
      <c r="F24" s="122">
        <f t="shared" si="11"/>
        <v>3.238</v>
      </c>
      <c r="G24" s="122"/>
      <c r="I24" s="193">
        <f t="shared" si="9"/>
        <v>0.90199999999999991</v>
      </c>
      <c r="J24" s="193"/>
      <c r="K24" s="185">
        <f t="shared" si="0"/>
        <v>7901.5199999999995</v>
      </c>
      <c r="L24" s="194">
        <f t="shared" si="1"/>
        <v>33778.998</v>
      </c>
      <c r="M24" s="185">
        <f t="shared" si="2"/>
        <v>0</v>
      </c>
      <c r="O24" s="194">
        <f t="shared" si="3"/>
        <v>33778.998</v>
      </c>
      <c r="P24" s="185">
        <f t="shared" si="4"/>
        <v>0</v>
      </c>
      <c r="R24" s="194">
        <f t="shared" si="5"/>
        <v>25585.121759999998</v>
      </c>
      <c r="S24" s="185">
        <f t="shared" si="6"/>
        <v>0</v>
      </c>
      <c r="U24" s="194">
        <f t="shared" si="7"/>
        <v>25585.121759999998</v>
      </c>
      <c r="V24" s="185">
        <f t="shared" si="8"/>
        <v>0</v>
      </c>
      <c r="X24" s="122"/>
      <c r="Y24" s="122"/>
      <c r="Z24" s="122"/>
    </row>
    <row r="25" spans="1:26" x14ac:dyDescent="0.2">
      <c r="A25" s="119"/>
      <c r="B25" s="120">
        <v>2031</v>
      </c>
      <c r="C25" s="122">
        <f>ROUND(INDEX('Tables 3 to 5'!AI:AI,MATCH(B25,'Tables 3 to 5'!B:B,0))/10,3)</f>
        <v>4.3899999999999997</v>
      </c>
      <c r="D25" s="121">
        <f t="shared" si="10"/>
        <v>4.3899999999999997</v>
      </c>
      <c r="E25" s="122">
        <f>ROUND(INDEX('Tables 3 to 5'!AJ:AJ,MATCH(B25,'Tables 3 to 5'!B:B,0))/10,3)</f>
        <v>3.33</v>
      </c>
      <c r="F25" s="122">
        <f t="shared" si="11"/>
        <v>3.33</v>
      </c>
      <c r="G25" s="122"/>
      <c r="I25" s="193">
        <f t="shared" si="9"/>
        <v>0.89499999999999991</v>
      </c>
      <c r="J25" s="193"/>
      <c r="K25" s="185">
        <f t="shared" si="0"/>
        <v>7840.1999999999989</v>
      </c>
      <c r="L25" s="194">
        <f t="shared" si="1"/>
        <v>34418.477999999988</v>
      </c>
      <c r="M25" s="185">
        <f t="shared" si="2"/>
        <v>0</v>
      </c>
      <c r="O25" s="194">
        <f t="shared" si="3"/>
        <v>34418.477999999988</v>
      </c>
      <c r="P25" s="185">
        <f t="shared" si="4"/>
        <v>0</v>
      </c>
      <c r="R25" s="194">
        <f t="shared" si="5"/>
        <v>26107.865999999998</v>
      </c>
      <c r="S25" s="185">
        <f t="shared" si="6"/>
        <v>0</v>
      </c>
      <c r="U25" s="194">
        <f t="shared" si="7"/>
        <v>26107.865999999998</v>
      </c>
      <c r="V25" s="185">
        <f t="shared" si="8"/>
        <v>0</v>
      </c>
      <c r="X25" s="122"/>
      <c r="Y25" s="122"/>
      <c r="Z25" s="122"/>
    </row>
    <row r="26" spans="1:26" x14ac:dyDescent="0.2">
      <c r="A26" s="119"/>
      <c r="B26" s="120">
        <v>2032</v>
      </c>
      <c r="C26" s="122">
        <f>ROUND(INDEX('Tables 3 to 5'!AI:AI,MATCH(B26,'Tables 3 to 5'!B:B,0))/10,3)</f>
        <v>4.5129999999999999</v>
      </c>
      <c r="D26" s="121">
        <f t="shared" si="10"/>
        <v>4.5129999999999999</v>
      </c>
      <c r="E26" s="122">
        <f>ROUND(INDEX('Tables 3 to 5'!AJ:AJ,MATCH(B26,'Tables 3 to 5'!B:B,0))/10,3)</f>
        <v>3.43</v>
      </c>
      <c r="F26" s="122">
        <f>E26</f>
        <v>3.43</v>
      </c>
      <c r="G26" s="122"/>
      <c r="I26" s="193">
        <f t="shared" si="9"/>
        <v>0.8879999999999999</v>
      </c>
      <c r="J26" s="193"/>
      <c r="K26" s="185">
        <f t="shared" si="0"/>
        <v>7778.8799999999992</v>
      </c>
      <c r="L26" s="194">
        <f t="shared" si="1"/>
        <v>35106.085439999995</v>
      </c>
      <c r="M26" s="185">
        <f t="shared" si="2"/>
        <v>0</v>
      </c>
      <c r="O26" s="194">
        <f t="shared" si="3"/>
        <v>35106.085439999995</v>
      </c>
      <c r="P26" s="185">
        <f t="shared" si="4"/>
        <v>0</v>
      </c>
      <c r="R26" s="194">
        <f t="shared" si="5"/>
        <v>26681.558399999998</v>
      </c>
      <c r="S26" s="185">
        <f t="shared" si="6"/>
        <v>0</v>
      </c>
      <c r="U26" s="194">
        <f t="shared" si="7"/>
        <v>26681.558399999998</v>
      </c>
      <c r="V26" s="185">
        <f t="shared" si="8"/>
        <v>0</v>
      </c>
      <c r="X26" s="122"/>
      <c r="Y26" s="122"/>
      <c r="Z26" s="122"/>
    </row>
    <row r="27" spans="1:26" x14ac:dyDescent="0.2">
      <c r="A27" s="119"/>
      <c r="B27" s="120">
        <v>2033</v>
      </c>
      <c r="C27" s="122">
        <f>ROUND(INDEX('Tables 3 to 5'!AI:AI,MATCH(B27,'Tables 3 to 5'!B:B,0))/10,3)</f>
        <v>4.6630000000000003</v>
      </c>
      <c r="D27" s="121">
        <f t="shared" si="10"/>
        <v>4.6630000000000003</v>
      </c>
      <c r="E27" s="122">
        <f>ROUND(INDEX('Tables 3 to 5'!AJ:AJ,MATCH(B27,'Tables 3 to 5'!B:B,0))/10,3)</f>
        <v>3.556</v>
      </c>
      <c r="F27" s="122">
        <f t="shared" si="11"/>
        <v>3.556</v>
      </c>
      <c r="G27" s="122"/>
      <c r="I27" s="193">
        <f t="shared" si="9"/>
        <v>0.88099999999999989</v>
      </c>
      <c r="J27" s="193"/>
      <c r="K27" s="185">
        <f t="shared" si="0"/>
        <v>7717.5599999999995</v>
      </c>
      <c r="L27" s="194">
        <f t="shared" si="1"/>
        <v>35986.982279999997</v>
      </c>
      <c r="M27" s="185">
        <f t="shared" si="2"/>
        <v>0</v>
      </c>
      <c r="O27" s="194">
        <f t="shared" si="3"/>
        <v>35986.982279999997</v>
      </c>
      <c r="P27" s="185">
        <f t="shared" si="4"/>
        <v>0</v>
      </c>
      <c r="R27" s="194">
        <f t="shared" si="5"/>
        <v>27443.643359999998</v>
      </c>
      <c r="S27" s="185">
        <f t="shared" si="6"/>
        <v>0</v>
      </c>
      <c r="U27" s="194">
        <f t="shared" si="7"/>
        <v>27443.643359999998</v>
      </c>
      <c r="V27" s="185">
        <f t="shared" si="8"/>
        <v>0</v>
      </c>
      <c r="X27" s="122"/>
      <c r="Y27" s="122"/>
      <c r="Z27" s="122"/>
    </row>
    <row r="28" spans="1:26" x14ac:dyDescent="0.2">
      <c r="A28" s="119"/>
      <c r="B28" s="120"/>
      <c r="C28" s="122"/>
      <c r="D28" s="121"/>
      <c r="E28" s="122"/>
      <c r="F28" s="122"/>
      <c r="G28" s="122"/>
      <c r="I28" s="193"/>
      <c r="J28" s="193"/>
      <c r="L28" s="194"/>
      <c r="O28" s="194"/>
      <c r="R28" s="194"/>
      <c r="U28" s="194"/>
      <c r="X28" s="122"/>
      <c r="Y28" s="122"/>
      <c r="Z28" s="122"/>
    </row>
    <row r="29" spans="1:26" x14ac:dyDescent="0.2">
      <c r="A29" s="119"/>
      <c r="B29" s="120"/>
      <c r="C29" s="122"/>
      <c r="D29" s="121"/>
      <c r="E29" s="122"/>
      <c r="F29" s="122"/>
      <c r="G29" s="122"/>
      <c r="H29" s="185" t="str">
        <f>'Table 6'!$P$38</f>
        <v>Discount Rate - 2015 IRP Page 141</v>
      </c>
      <c r="I29" s="193"/>
      <c r="J29" s="193"/>
      <c r="L29" s="194"/>
      <c r="O29" s="194"/>
      <c r="R29" s="194"/>
      <c r="U29" s="194"/>
      <c r="X29" s="122"/>
      <c r="Y29" s="122"/>
      <c r="Z29" s="122"/>
    </row>
    <row r="30" spans="1:26" x14ac:dyDescent="0.2">
      <c r="A30" s="119"/>
      <c r="B30" s="120"/>
      <c r="C30" s="122"/>
      <c r="D30" s="121"/>
      <c r="E30" s="122"/>
      <c r="F30" s="122"/>
      <c r="G30" s="122"/>
      <c r="H30" s="196">
        <f>'Table 6'!$P$39</f>
        <v>6.6600000000000006E-2</v>
      </c>
      <c r="I30" s="193"/>
      <c r="J30" s="193"/>
      <c r="L30" s="194"/>
      <c r="O30" s="194"/>
      <c r="R30" s="194"/>
      <c r="U30" s="194"/>
      <c r="W30" s="124"/>
      <c r="X30" s="122"/>
      <c r="Y30" s="122"/>
      <c r="Z30" s="122"/>
    </row>
    <row r="31" spans="1:26" hidden="1" x14ac:dyDescent="0.2">
      <c r="A31" s="119"/>
      <c r="B31" s="120"/>
      <c r="C31" s="122"/>
      <c r="D31" s="121"/>
      <c r="E31" s="122"/>
      <c r="F31" s="122"/>
      <c r="G31" s="122"/>
      <c r="I31" s="193"/>
      <c r="J31" s="193"/>
      <c r="L31" s="194"/>
      <c r="O31" s="194"/>
      <c r="R31" s="194"/>
      <c r="U31" s="194"/>
      <c r="X31" s="122"/>
      <c r="Y31" s="122"/>
      <c r="Z31" s="122"/>
    </row>
    <row r="32" spans="1:26" hidden="1" x14ac:dyDescent="0.2">
      <c r="A32" s="119"/>
      <c r="B32" s="120"/>
      <c r="C32" s="122"/>
      <c r="D32" s="121"/>
      <c r="E32" s="122"/>
      <c r="F32" s="122"/>
      <c r="G32" s="122"/>
      <c r="I32" s="193"/>
      <c r="J32" s="193"/>
      <c r="L32" s="194"/>
      <c r="O32" s="194"/>
      <c r="R32" s="194"/>
      <c r="U32" s="194"/>
      <c r="X32" s="122"/>
      <c r="Y32" s="122"/>
      <c r="Z32" s="122"/>
    </row>
    <row r="33" spans="1:27" hidden="1" x14ac:dyDescent="0.2">
      <c r="A33" s="119"/>
      <c r="B33" s="120"/>
      <c r="C33" s="119"/>
      <c r="D33" s="119"/>
      <c r="E33" s="119"/>
      <c r="F33" s="119"/>
      <c r="G33" s="119"/>
      <c r="I33" s="193"/>
      <c r="J33" s="193"/>
      <c r="L33" s="194"/>
      <c r="O33" s="194"/>
      <c r="R33" s="194"/>
      <c r="U33" s="194"/>
      <c r="X33" s="166"/>
      <c r="Y33" s="166"/>
      <c r="Z33" s="166"/>
    </row>
    <row r="34" spans="1:27" hidden="1" x14ac:dyDescent="0.2">
      <c r="A34" s="119"/>
      <c r="C34" s="117" t="s">
        <v>231</v>
      </c>
      <c r="D34" s="117"/>
      <c r="E34" s="117" t="s">
        <v>122</v>
      </c>
      <c r="F34" s="117"/>
      <c r="G34" s="117"/>
      <c r="L34" s="194"/>
      <c r="O34" s="194"/>
      <c r="R34" s="194"/>
      <c r="U34" s="194"/>
      <c r="X34" s="117"/>
      <c r="Y34" s="117"/>
      <c r="Z34" s="117"/>
    </row>
    <row r="35" spans="1:27" ht="14.25" hidden="1" x14ac:dyDescent="0.35">
      <c r="A35" s="119"/>
      <c r="B35" s="125"/>
      <c r="C35" s="118" t="s">
        <v>58</v>
      </c>
      <c r="D35" s="118" t="s">
        <v>59</v>
      </c>
      <c r="E35" s="118" t="s">
        <v>58</v>
      </c>
      <c r="F35" s="118" t="s">
        <v>59</v>
      </c>
      <c r="G35" s="118"/>
      <c r="I35" s="197"/>
      <c r="J35" s="198" t="s">
        <v>201</v>
      </c>
      <c r="K35" s="199">
        <f>NPV($H$30,K11:K25)</f>
        <v>77638.169210376611</v>
      </c>
      <c r="L35" s="199">
        <f t="shared" ref="L35:V35" si="12">NPV($H$30,L11:L25)</f>
        <v>228766.04395204654</v>
      </c>
      <c r="M35" s="199">
        <f t="shared" si="12"/>
        <v>0</v>
      </c>
      <c r="N35" s="199"/>
      <c r="O35" s="199">
        <f t="shared" si="12"/>
        <v>251069.86147035155</v>
      </c>
      <c r="P35" s="199">
        <f t="shared" si="12"/>
        <v>0</v>
      </c>
      <c r="Q35" s="199"/>
      <c r="R35" s="199">
        <f t="shared" si="12"/>
        <v>193395.01773655621</v>
      </c>
      <c r="S35" s="199">
        <f t="shared" si="12"/>
        <v>0</v>
      </c>
      <c r="T35" s="199"/>
      <c r="U35" s="199">
        <f t="shared" si="12"/>
        <v>197097.760569865</v>
      </c>
      <c r="V35" s="199">
        <f t="shared" si="12"/>
        <v>0</v>
      </c>
      <c r="X35" s="118"/>
      <c r="Y35" s="118"/>
      <c r="Z35" s="118"/>
    </row>
    <row r="36" spans="1:27" ht="28.5" hidden="1" customHeight="1" x14ac:dyDescent="0.2">
      <c r="B36" s="126" t="s">
        <v>292</v>
      </c>
      <c r="C36" s="127">
        <f>-PMT('Table 6'!$P$39,COUNT(C11:C25),NPV('Table 6'!$P$39,C11:C25))</f>
        <v>2.9713662648318175</v>
      </c>
      <c r="D36" s="127">
        <f>-PMT('Table 6'!$P$39,COUNT(D11:D25),NPV('Table 6'!$P$39,D11:D25))</f>
        <v>3.2583725078699808</v>
      </c>
      <c r="E36" s="127">
        <f>-PMT('Table 6'!$P$39,COUNT(E11:E25),NPV('Table 6'!$P$39,E11:E25))</f>
        <v>2.5086455158116423</v>
      </c>
      <c r="F36" s="127">
        <f>-PMT('Table 6'!$P$39,COUNT(F11:F25),NPV('Table 6'!$P$39,F11:F25))</f>
        <v>2.558453879695854</v>
      </c>
      <c r="G36" s="127"/>
      <c r="I36" s="200"/>
      <c r="J36" s="200"/>
      <c r="K36" s="198"/>
      <c r="X36" s="127"/>
      <c r="Y36" s="127"/>
      <c r="Z36" s="127"/>
    </row>
    <row r="37" spans="1:27" hidden="1" x14ac:dyDescent="0.2">
      <c r="A37" s="125"/>
      <c r="I37" s="201"/>
      <c r="J37" s="201" t="s">
        <v>293</v>
      </c>
      <c r="K37" s="202">
        <f>-PMT($H$30,COUNT(K11:K25),NPV($H$30,K11:K25))</f>
        <v>8342.1113445299852</v>
      </c>
      <c r="L37" s="202">
        <f>-PMT($H$30,COUNT(L11:L25),NPV($H$30,L11:L25))</f>
        <v>24580.587485575965</v>
      </c>
      <c r="M37" s="204">
        <f>L37/K37</f>
        <v>2.9465666988122532</v>
      </c>
      <c r="N37" s="203"/>
      <c r="O37" s="202">
        <f>-PMT($H$30,COUNT(O11:O25),NPV($H$30,O11:O25))</f>
        <v>26977.101095287813</v>
      </c>
      <c r="P37" s="204">
        <f>O37/K37</f>
        <v>3.2338457233583915</v>
      </c>
      <c r="Q37" s="203"/>
      <c r="R37" s="202">
        <f>-PMT($H$30,COUNT(R11:R25),NPV($H$30,R11:R25))</f>
        <v>20780.02080476773</v>
      </c>
      <c r="S37" s="204">
        <f>R37/K37</f>
        <v>2.4909785960113586</v>
      </c>
      <c r="T37" s="203"/>
      <c r="U37" s="202">
        <f>-PMT($H$30,COUNT(U11:U25),NPV($H$30,U11:U25))</f>
        <v>21177.875279052449</v>
      </c>
      <c r="V37" s="204">
        <f>U37/K37</f>
        <v>2.538670895700645</v>
      </c>
    </row>
    <row r="38" spans="1:27" hidden="1" x14ac:dyDescent="0.2">
      <c r="K38" s="205"/>
      <c r="L38" s="206"/>
      <c r="M38" s="207"/>
      <c r="O38" s="206"/>
      <c r="P38" s="207"/>
      <c r="R38" s="206"/>
      <c r="S38" s="207"/>
      <c r="U38" s="206"/>
      <c r="V38" s="207"/>
    </row>
    <row r="39" spans="1:27" x14ac:dyDescent="0.2">
      <c r="C39" s="117" t="s">
        <v>231</v>
      </c>
      <c r="D39" s="117"/>
      <c r="E39" s="117" t="s">
        <v>122</v>
      </c>
      <c r="F39" s="117"/>
      <c r="L39" s="208"/>
      <c r="O39" s="208"/>
      <c r="R39" s="208"/>
      <c r="U39" s="208"/>
    </row>
    <row r="40" spans="1:27" ht="36" x14ac:dyDescent="0.35">
      <c r="A40" s="129"/>
      <c r="B40" s="126" t="s">
        <v>295</v>
      </c>
      <c r="C40" s="118" t="s">
        <v>58</v>
      </c>
      <c r="D40" s="118" t="s">
        <v>59</v>
      </c>
      <c r="E40" s="118" t="s">
        <v>58</v>
      </c>
      <c r="F40" s="118" t="s">
        <v>59</v>
      </c>
      <c r="G40" s="127"/>
      <c r="X40" s="127"/>
      <c r="Y40" s="127"/>
      <c r="Z40" s="127"/>
    </row>
    <row r="41" spans="1:27" x14ac:dyDescent="0.2">
      <c r="A41" s="129"/>
      <c r="B41" s="127"/>
      <c r="C41" s="127">
        <f>M37</f>
        <v>2.9465666988122532</v>
      </c>
      <c r="D41" s="127">
        <f>P37</f>
        <v>3.2338457233583915</v>
      </c>
      <c r="E41" s="127">
        <f>S37</f>
        <v>2.4909785960113586</v>
      </c>
      <c r="F41" s="127">
        <f>V37</f>
        <v>2.538670895700645</v>
      </c>
    </row>
    <row r="42" spans="1:27" x14ac:dyDescent="0.2">
      <c r="A42" s="119"/>
      <c r="AA42" s="172"/>
    </row>
    <row r="43" spans="1:27" x14ac:dyDescent="0.2">
      <c r="A43" s="128"/>
      <c r="B43" s="145" t="s">
        <v>317</v>
      </c>
      <c r="G43" s="117"/>
      <c r="X43" s="117"/>
      <c r="Y43" s="117"/>
      <c r="Z43" s="117"/>
    </row>
    <row r="44" spans="1:27" ht="14.25" x14ac:dyDescent="0.35">
      <c r="A44" s="129"/>
      <c r="B44" s="145" t="s">
        <v>188</v>
      </c>
      <c r="G44" s="118"/>
      <c r="X44" s="118"/>
      <c r="Y44" s="118"/>
      <c r="Z44" s="118"/>
    </row>
    <row r="45" spans="1:27" x14ac:dyDescent="0.2">
      <c r="B45" s="145" t="s">
        <v>202</v>
      </c>
    </row>
  </sheetData>
  <printOptions horizontalCentered="1"/>
  <pageMargins left="0.25" right="0.25" top="0.75" bottom="0.75" header="0.3" footer="0.3"/>
  <pageSetup scale="82" orientation="landscape" copies="3" r:id="rId1"/>
  <headerFooter alignWithMargins="0">
    <oddFooter>&amp;L&amp;8NPC Group - &amp;F   ( &amp;A )&amp;C &amp;R &amp;8&amp;D  &amp;T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rgb="FFFF0000"/>
  </sheetPr>
  <dimension ref="A1:AI45"/>
  <sheetViews>
    <sheetView showGridLines="0" zoomScale="90" zoomScaleNormal="90" workbookViewId="0">
      <selection activeCell="B44" sqref="B44"/>
    </sheetView>
  </sheetViews>
  <sheetFormatPr defaultRowHeight="12" x14ac:dyDescent="0.2"/>
  <cols>
    <col min="1" max="1" width="2.83203125" style="114" customWidth="1"/>
    <col min="2" max="2" width="23" style="114" customWidth="1"/>
    <col min="3" max="6" width="18.83203125" style="114" customWidth="1"/>
    <col min="7" max="7" width="4.6640625" style="114" customWidth="1"/>
    <col min="8" max="8" width="9.33203125" style="209"/>
    <col min="9" max="9" width="11.6640625" style="185" customWidth="1"/>
    <col min="10" max="10" width="3.5" style="185" customWidth="1"/>
    <col min="11" max="11" width="17.1640625" style="185" customWidth="1"/>
    <col min="12" max="12" width="12.5" style="185" customWidth="1"/>
    <col min="13" max="13" width="11" style="185" customWidth="1"/>
    <col min="14" max="14" width="3.83203125" style="185" customWidth="1"/>
    <col min="15" max="16" width="12.5" style="185" customWidth="1"/>
    <col min="17" max="17" width="3.83203125" style="185" customWidth="1"/>
    <col min="18" max="19" width="12.5" style="185" customWidth="1"/>
    <col min="20" max="20" width="3.33203125" style="185" customWidth="1"/>
    <col min="21" max="22" width="12.5" style="185" customWidth="1"/>
    <col min="23" max="25" width="4.6640625" style="169" customWidth="1"/>
    <col min="26" max="34" width="5.83203125" style="169" customWidth="1"/>
    <col min="35" max="35" width="9.33203125" style="169"/>
    <col min="36" max="16384" width="9.33203125" style="114"/>
  </cols>
  <sheetData>
    <row r="1" spans="1:31" x14ac:dyDescent="0.2">
      <c r="A1" s="2"/>
      <c r="B1" s="2"/>
      <c r="C1" s="2"/>
      <c r="D1" s="2"/>
      <c r="E1" s="2"/>
      <c r="F1" s="2"/>
      <c r="G1" s="116"/>
      <c r="I1" s="184"/>
      <c r="J1" s="184"/>
      <c r="W1" s="115"/>
      <c r="X1" s="115"/>
      <c r="Y1" s="115"/>
      <c r="Z1" s="115"/>
      <c r="AA1" s="115"/>
    </row>
    <row r="2" spans="1:31" x14ac:dyDescent="0.2">
      <c r="A2" s="2"/>
      <c r="B2" s="2" t="s">
        <v>101</v>
      </c>
      <c r="C2" s="2"/>
      <c r="D2" s="2"/>
      <c r="E2" s="2"/>
      <c r="F2" s="2"/>
      <c r="G2" s="116"/>
      <c r="I2" s="184"/>
      <c r="J2" s="184"/>
      <c r="W2" s="115"/>
      <c r="X2" s="115"/>
      <c r="Y2" s="115"/>
      <c r="Z2" s="115"/>
      <c r="AA2" s="115"/>
    </row>
    <row r="3" spans="1:31" x14ac:dyDescent="0.2">
      <c r="G3" s="116"/>
      <c r="I3" s="184"/>
      <c r="J3" s="184"/>
      <c r="W3" s="115"/>
      <c r="X3" s="115"/>
      <c r="Y3" s="115"/>
      <c r="Z3" s="115"/>
      <c r="AA3" s="115"/>
    </row>
    <row r="4" spans="1:31" x14ac:dyDescent="0.2">
      <c r="A4" s="115"/>
      <c r="B4" s="144" t="s">
        <v>191</v>
      </c>
      <c r="C4" s="115"/>
      <c r="D4" s="115"/>
      <c r="E4" s="115"/>
      <c r="F4" s="115"/>
      <c r="G4" s="116"/>
      <c r="I4" s="186"/>
      <c r="J4" s="186"/>
      <c r="L4" s="187"/>
      <c r="O4" s="187"/>
      <c r="R4" s="187"/>
      <c r="U4" s="187"/>
      <c r="W4" s="115"/>
      <c r="X4" s="115"/>
      <c r="Y4" s="115"/>
      <c r="Z4" s="177"/>
      <c r="AA4" s="177"/>
    </row>
    <row r="5" spans="1:31" x14ac:dyDescent="0.2">
      <c r="A5" s="115"/>
      <c r="B5" s="115"/>
    </row>
    <row r="6" spans="1:31" x14ac:dyDescent="0.2">
      <c r="A6" s="115"/>
      <c r="B6" s="116" t="s">
        <v>123</v>
      </c>
      <c r="C6" s="117" t="s">
        <v>232</v>
      </c>
      <c r="D6" s="117"/>
      <c r="E6" s="117" t="s">
        <v>151</v>
      </c>
      <c r="F6" s="117"/>
      <c r="AA6" s="117"/>
      <c r="AB6" s="117"/>
    </row>
    <row r="7" spans="1:31" ht="14.25" x14ac:dyDescent="0.35">
      <c r="A7" s="115"/>
      <c r="B7" s="116" t="s">
        <v>121</v>
      </c>
      <c r="C7" s="118" t="s">
        <v>58</v>
      </c>
      <c r="D7" s="118" t="s">
        <v>59</v>
      </c>
      <c r="E7" s="118" t="s">
        <v>58</v>
      </c>
      <c r="F7" s="118" t="s">
        <v>59</v>
      </c>
      <c r="J7" s="188"/>
      <c r="L7" s="185" t="s">
        <v>203</v>
      </c>
      <c r="O7" s="185" t="s">
        <v>204</v>
      </c>
      <c r="R7" s="185" t="s">
        <v>205</v>
      </c>
      <c r="U7" s="185" t="s">
        <v>206</v>
      </c>
      <c r="AA7" s="118"/>
      <c r="AC7" s="168"/>
      <c r="AD7" s="168"/>
      <c r="AE7" s="168"/>
    </row>
    <row r="8" spans="1:31" ht="14.25" x14ac:dyDescent="0.35">
      <c r="A8" s="119"/>
      <c r="B8" s="120"/>
      <c r="C8" s="121"/>
      <c r="D8" s="121"/>
      <c r="E8" s="121"/>
      <c r="F8" s="121"/>
      <c r="I8" s="189" t="s">
        <v>207</v>
      </c>
      <c r="J8" s="190"/>
      <c r="K8" s="191" t="s">
        <v>199</v>
      </c>
      <c r="L8" s="191" t="s">
        <v>198</v>
      </c>
      <c r="M8" s="185" t="s">
        <v>200</v>
      </c>
      <c r="O8" s="191" t="s">
        <v>198</v>
      </c>
      <c r="P8" s="185" t="s">
        <v>200</v>
      </c>
      <c r="R8" s="191" t="s">
        <v>198</v>
      </c>
      <c r="S8" s="185" t="s">
        <v>200</v>
      </c>
      <c r="U8" s="191" t="s">
        <v>198</v>
      </c>
      <c r="V8" s="185" t="s">
        <v>200</v>
      </c>
      <c r="Z8" s="178"/>
      <c r="AA8" s="179"/>
      <c r="AB8" s="180"/>
      <c r="AC8" s="180"/>
    </row>
    <row r="9" spans="1:31" x14ac:dyDescent="0.2">
      <c r="A9" s="119"/>
      <c r="B9" s="120"/>
      <c r="C9" s="121"/>
      <c r="D9" s="121"/>
      <c r="E9" s="121"/>
      <c r="F9" s="121"/>
      <c r="I9" s="192"/>
      <c r="J9" s="193"/>
      <c r="L9" s="194"/>
      <c r="O9" s="194"/>
      <c r="R9" s="194"/>
      <c r="U9" s="194"/>
      <c r="Z9" s="179"/>
      <c r="AA9" s="179"/>
      <c r="AB9" s="180"/>
      <c r="AC9" s="180"/>
    </row>
    <row r="10" spans="1:31" x14ac:dyDescent="0.2">
      <c r="A10" s="119"/>
      <c r="B10" s="349">
        <v>2016</v>
      </c>
      <c r="C10" s="122">
        <f>ROUND(INDEX('Table 2D SolarTracking'!$C$66:$C$78,MATCH($B10,'Table 2D SolarTracking'!$A$66:$A$78,0))/10,3)</f>
        <v>1.706</v>
      </c>
      <c r="D10" s="122">
        <f>ROUND(INDEX('Table 2D SolarTracking'!$G$66:$G$78,MATCH($B10,'Table 2D SolarTracking'!$A$66:$A$78,0))/10,3)</f>
        <v>2.056</v>
      </c>
      <c r="E10" s="122">
        <f>ROUND(INDEX('Table 2D SolarTracking'!$D$66:$D$78,MATCH($B10,'Table 2D SolarTracking'!$A$66:$A$78,0))/10,3)</f>
        <v>1.4319999999999999</v>
      </c>
      <c r="F10" s="122">
        <f>ROUND(INDEX('Table 2D SolarTracking'!$H$66:$H$78,MATCH($B10,'Table 2D SolarTracking'!$A$66:$A$78,0))/10,3)</f>
        <v>1.4990000000000001</v>
      </c>
      <c r="I10" s="192">
        <v>1</v>
      </c>
      <c r="J10" s="193"/>
      <c r="K10" s="185">
        <f t="shared" ref="K10:K27" si="0">1*8760*$I10</f>
        <v>8760</v>
      </c>
      <c r="L10" s="194">
        <f>C10*1*8760*$I10</f>
        <v>14944.56</v>
      </c>
      <c r="M10" s="185">
        <f t="shared" ref="M10:M27" si="1">K10*$M$37</f>
        <v>26606.85726660836</v>
      </c>
      <c r="O10" s="194">
        <f>D10*1*8760*$I10</f>
        <v>18010.560000000001</v>
      </c>
      <c r="P10" s="185">
        <f t="shared" ref="P10:P27" si="2">K10*$P$37</f>
        <v>29123.421521632528</v>
      </c>
      <c r="R10" s="194">
        <f>E10*1*8760*$I10</f>
        <v>12544.32</v>
      </c>
      <c r="S10" s="185">
        <f t="shared" ref="S10:S27" si="3">K10*$S$37</f>
        <v>22390.372501059504</v>
      </c>
      <c r="U10" s="194">
        <f>F10*1*8760*$I10</f>
        <v>13131.240000000002</v>
      </c>
      <c r="V10" s="185">
        <f t="shared" ref="V10:V27" si="4">K10*$V$37</f>
        <v>22808.157046337645</v>
      </c>
      <c r="Z10" s="179"/>
      <c r="AA10" s="179"/>
      <c r="AB10" s="180"/>
      <c r="AC10" s="180"/>
    </row>
    <row r="11" spans="1:31" x14ac:dyDescent="0.2">
      <c r="A11" s="119"/>
      <c r="B11" s="349">
        <v>2017</v>
      </c>
      <c r="C11" s="122">
        <f>ROUND(INDEX('Table 2D SolarTracking'!$C$66:$C$78,MATCH($B11,'Table 2D SolarTracking'!$A$66:$A$78,0))/10,3)</f>
        <v>1.9279999999999999</v>
      </c>
      <c r="D11" s="122">
        <f>ROUND(INDEX('Table 2D SolarTracking'!$G$66:$G$78,MATCH($B11,'Table 2D SolarTracking'!$A$66:$A$78,0))/10,3)</f>
        <v>2.1030000000000002</v>
      </c>
      <c r="E11" s="122">
        <f>ROUND(INDEX('Table 2D SolarTracking'!$D$66:$D$78,MATCH($B11,'Table 2D SolarTracking'!$A$66:$A$78,0))/10,3)</f>
        <v>1.667</v>
      </c>
      <c r="F11" s="122">
        <f>ROUND(INDEX('Table 2D SolarTracking'!$H$66:$H$78,MATCH($B11,'Table 2D SolarTracking'!$A$66:$A$78,0))/10,3)</f>
        <v>1.645</v>
      </c>
      <c r="I11" s="193">
        <f t="shared" ref="I11:I27" si="5">I10-0.007</f>
        <v>0.99299999999999999</v>
      </c>
      <c r="J11" s="193"/>
      <c r="K11" s="185">
        <f t="shared" si="0"/>
        <v>8698.68</v>
      </c>
      <c r="L11" s="194">
        <f t="shared" ref="L11:L27" si="6">C11*1*8760*$I11</f>
        <v>16771.055039999999</v>
      </c>
      <c r="M11" s="185">
        <f t="shared" si="1"/>
        <v>26420.609265742103</v>
      </c>
      <c r="O11" s="194">
        <f t="shared" ref="O11:O27" si="7">D11*1*8760*$I11</f>
        <v>18293.324040000003</v>
      </c>
      <c r="P11" s="185">
        <f t="shared" si="2"/>
        <v>28919.557570981102</v>
      </c>
      <c r="R11" s="194">
        <f t="shared" ref="R11:R27" si="8">E11*1*8760*$I11</f>
        <v>14500.699559999999</v>
      </c>
      <c r="S11" s="185">
        <f t="shared" si="3"/>
        <v>22233.639893552088</v>
      </c>
      <c r="U11" s="194">
        <f t="shared" ref="U11:U27" si="9">F11*1*8760*$I11</f>
        <v>14309.328600000001</v>
      </c>
      <c r="V11" s="185">
        <f t="shared" si="4"/>
        <v>22648.499947013283</v>
      </c>
      <c r="Z11" s="179"/>
      <c r="AA11" s="179"/>
      <c r="AB11" s="180"/>
      <c r="AC11" s="180"/>
    </row>
    <row r="12" spans="1:31" x14ac:dyDescent="0.2">
      <c r="A12" s="119"/>
      <c r="B12" s="349">
        <v>2018</v>
      </c>
      <c r="C12" s="122">
        <f>ROUND(INDEX('Table 2D SolarTracking'!$C$66:$C$78,MATCH($B12,'Table 2D SolarTracking'!$A$66:$A$78,0))/10,3)</f>
        <v>2.1890000000000001</v>
      </c>
      <c r="D12" s="122">
        <f>ROUND(INDEX('Table 2D SolarTracking'!$G$66:$G$78,MATCH($B12,'Table 2D SolarTracking'!$A$66:$A$78,0))/10,3)</f>
        <v>2.31</v>
      </c>
      <c r="E12" s="122">
        <f>ROUND(INDEX('Table 2D SolarTracking'!$D$66:$D$78,MATCH($B12,'Table 2D SolarTracking'!$A$66:$A$78,0))/10,3)</f>
        <v>1.9159999999999999</v>
      </c>
      <c r="F12" s="122">
        <f>ROUND(INDEX('Table 2D SolarTracking'!$H$66:$H$78,MATCH($B12,'Table 2D SolarTracking'!$A$66:$A$78,0))/10,3)</f>
        <v>1.742</v>
      </c>
      <c r="I12" s="193">
        <f t="shared" si="5"/>
        <v>0.98599999999999999</v>
      </c>
      <c r="J12" s="193"/>
      <c r="K12" s="185">
        <f t="shared" si="0"/>
        <v>8637.36</v>
      </c>
      <c r="L12" s="194">
        <f t="shared" si="6"/>
        <v>18907.181039999999</v>
      </c>
      <c r="M12" s="185">
        <f t="shared" si="1"/>
        <v>26234.361264875846</v>
      </c>
      <c r="O12" s="194">
        <f t="shared" si="7"/>
        <v>19952.301600000003</v>
      </c>
      <c r="P12" s="185">
        <f t="shared" si="2"/>
        <v>28715.693620329675</v>
      </c>
      <c r="R12" s="194">
        <f t="shared" si="8"/>
        <v>16549.181759999999</v>
      </c>
      <c r="S12" s="185">
        <f t="shared" si="3"/>
        <v>22076.907286044672</v>
      </c>
      <c r="U12" s="194">
        <f t="shared" si="9"/>
        <v>15046.28112</v>
      </c>
      <c r="V12" s="185">
        <f t="shared" si="4"/>
        <v>22488.84284768892</v>
      </c>
      <c r="Z12" s="179"/>
      <c r="AA12" s="179"/>
      <c r="AB12" s="180"/>
      <c r="AC12" s="180"/>
    </row>
    <row r="13" spans="1:31" x14ac:dyDescent="0.2">
      <c r="A13" s="119"/>
      <c r="B13" s="349">
        <v>2019</v>
      </c>
      <c r="C13" s="122">
        <f>ROUND(INDEX('Table 2D SolarTracking'!$C$66:$C$78,MATCH($B13,'Table 2D SolarTracking'!$A$66:$A$78,0))/10,3)</f>
        <v>2.254</v>
      </c>
      <c r="D13" s="122">
        <f>ROUND(INDEX('Table 2D SolarTracking'!$G$66:$G$78,MATCH($B13,'Table 2D SolarTracking'!$A$66:$A$78,0))/10,3)</f>
        <v>2.5710000000000002</v>
      </c>
      <c r="E13" s="122">
        <f>ROUND(INDEX('Table 2D SolarTracking'!$D$66:$D$78,MATCH($B13,'Table 2D SolarTracking'!$A$66:$A$78,0))/10,3)</f>
        <v>1.962</v>
      </c>
      <c r="F13" s="122">
        <f>ROUND(INDEX('Table 2D SolarTracking'!$H$66:$H$78,MATCH($B13,'Table 2D SolarTracking'!$A$66:$A$78,0))/10,3)</f>
        <v>1.958</v>
      </c>
      <c r="I13" s="193">
        <f t="shared" si="5"/>
        <v>0.97899999999999998</v>
      </c>
      <c r="J13" s="193"/>
      <c r="K13" s="185">
        <f t="shared" si="0"/>
        <v>8576.0399999999991</v>
      </c>
      <c r="L13" s="194">
        <f t="shared" si="6"/>
        <v>19330.39416</v>
      </c>
      <c r="M13" s="185">
        <f t="shared" si="1"/>
        <v>26048.113264009582</v>
      </c>
      <c r="O13" s="194">
        <f t="shared" si="7"/>
        <v>22048.998840000004</v>
      </c>
      <c r="P13" s="185">
        <f t="shared" si="2"/>
        <v>28511.829669678242</v>
      </c>
      <c r="R13" s="194">
        <f t="shared" si="8"/>
        <v>16826.190479999997</v>
      </c>
      <c r="S13" s="185">
        <f t="shared" si="3"/>
        <v>21920.174678537252</v>
      </c>
      <c r="U13" s="194">
        <f t="shared" si="9"/>
        <v>16791.886319999998</v>
      </c>
      <c r="V13" s="185">
        <f t="shared" si="4"/>
        <v>22329.185748364551</v>
      </c>
      <c r="Z13" s="179"/>
      <c r="AA13" s="179"/>
      <c r="AB13" s="180"/>
      <c r="AC13" s="180"/>
    </row>
    <row r="14" spans="1:31" x14ac:dyDescent="0.2">
      <c r="A14" s="119"/>
      <c r="B14" s="349">
        <v>2020</v>
      </c>
      <c r="C14" s="122">
        <f>ROUND(INDEX('Table 2D SolarTracking'!$C$66:$C$78,MATCH($B14,'Table 2D SolarTracking'!$A$66:$A$78,0))/10,3)</f>
        <v>2.4910000000000001</v>
      </c>
      <c r="D14" s="122">
        <f>ROUND(INDEX('Table 2D SolarTracking'!$G$66:$G$78,MATCH($B14,'Table 2D SolarTracking'!$A$66:$A$78,0))/10,3)</f>
        <v>2.6139999999999999</v>
      </c>
      <c r="E14" s="122">
        <f>ROUND(INDEX('Table 2D SolarTracking'!$D$66:$D$78,MATCH($B14,'Table 2D SolarTracking'!$A$66:$A$78,0))/10,3)</f>
        <v>2.1720000000000002</v>
      </c>
      <c r="F14" s="122">
        <f>ROUND(INDEX('Table 2D SolarTracking'!$H$66:$H$78,MATCH($B14,'Table 2D SolarTracking'!$A$66:$A$78,0))/10,3)</f>
        <v>1.9530000000000001</v>
      </c>
      <c r="I14" s="193">
        <f t="shared" si="5"/>
        <v>0.97199999999999998</v>
      </c>
      <c r="J14" s="193"/>
      <c r="K14" s="185">
        <f t="shared" si="0"/>
        <v>8514.7199999999993</v>
      </c>
      <c r="L14" s="194">
        <f t="shared" si="6"/>
        <v>21210.167519999999</v>
      </c>
      <c r="M14" s="185">
        <f t="shared" si="1"/>
        <v>25861.865263143325</v>
      </c>
      <c r="O14" s="194">
        <f t="shared" si="7"/>
        <v>22257.478079999997</v>
      </c>
      <c r="P14" s="185">
        <f t="shared" si="2"/>
        <v>28307.965719026815</v>
      </c>
      <c r="R14" s="194">
        <f t="shared" si="8"/>
        <v>18493.971840000002</v>
      </c>
      <c r="S14" s="185">
        <f t="shared" si="3"/>
        <v>21763.442071029836</v>
      </c>
      <c r="U14" s="194">
        <f t="shared" si="9"/>
        <v>16629.248159999999</v>
      </c>
      <c r="V14" s="185">
        <f t="shared" si="4"/>
        <v>22169.528649040189</v>
      </c>
      <c r="Z14" s="179"/>
      <c r="AA14" s="179"/>
      <c r="AB14" s="180"/>
      <c r="AC14" s="180"/>
    </row>
    <row r="15" spans="1:31" x14ac:dyDescent="0.2">
      <c r="A15" s="119"/>
      <c r="B15" s="349">
        <v>2021</v>
      </c>
      <c r="C15" s="122">
        <f>ROUND(INDEX('Table 2D SolarTracking'!$C$66:$C$78,MATCH($B15,'Table 2D SolarTracking'!$A$66:$A$78,0))/10,3)</f>
        <v>2.6139999999999999</v>
      </c>
      <c r="D15" s="122">
        <f>ROUND(INDEX('Table 2D SolarTracking'!$G$66:$G$78,MATCH($B15,'Table 2D SolarTracking'!$A$66:$A$78,0))/10,3)</f>
        <v>2.895</v>
      </c>
      <c r="E15" s="122">
        <f>ROUND(INDEX('Table 2D SolarTracking'!$D$66:$D$78,MATCH($B15,'Table 2D SolarTracking'!$A$66:$A$78,0))/10,3)</f>
        <v>2.2759999999999998</v>
      </c>
      <c r="F15" s="122">
        <f>ROUND(INDEX('Table 2D SolarTracking'!$H$66:$H$78,MATCH($B15,'Table 2D SolarTracking'!$A$66:$A$78,0))/10,3)</f>
        <v>2.2349999999999999</v>
      </c>
      <c r="I15" s="193">
        <f t="shared" si="5"/>
        <v>0.96499999999999997</v>
      </c>
      <c r="J15" s="193"/>
      <c r="K15" s="185">
        <f t="shared" si="0"/>
        <v>8453.4</v>
      </c>
      <c r="L15" s="194">
        <f t="shared" si="6"/>
        <v>22097.187599999997</v>
      </c>
      <c r="M15" s="185">
        <f t="shared" si="1"/>
        <v>25675.617262277068</v>
      </c>
      <c r="O15" s="194">
        <f t="shared" si="7"/>
        <v>24472.593000000001</v>
      </c>
      <c r="P15" s="185">
        <f t="shared" si="2"/>
        <v>28104.101768375389</v>
      </c>
      <c r="R15" s="194">
        <f t="shared" si="8"/>
        <v>19239.938399999999</v>
      </c>
      <c r="S15" s="185">
        <f t="shared" si="3"/>
        <v>21606.70946352242</v>
      </c>
      <c r="U15" s="194">
        <f t="shared" si="9"/>
        <v>18893.348999999998</v>
      </c>
      <c r="V15" s="185">
        <f t="shared" si="4"/>
        <v>22009.871549715826</v>
      </c>
      <c r="Z15" s="179"/>
      <c r="AA15" s="179"/>
      <c r="AB15" s="180"/>
      <c r="AC15" s="180"/>
    </row>
    <row r="16" spans="1:31" x14ac:dyDescent="0.2">
      <c r="A16" s="119"/>
      <c r="B16" s="349">
        <v>2022</v>
      </c>
      <c r="C16" s="122">
        <f>ROUND(INDEX('Table 2D SolarTracking'!$C$66:$C$78,MATCH($B16,'Table 2D SolarTracking'!$A$66:$A$78,0))/10,3)</f>
        <v>2.7909999999999999</v>
      </c>
      <c r="D16" s="122">
        <f>ROUND(INDEX('Table 2D SolarTracking'!$G$66:$G$78,MATCH($B16,'Table 2D SolarTracking'!$A$66:$A$78,0))/10,3)</f>
        <v>3.2770000000000001</v>
      </c>
      <c r="E16" s="122">
        <f>ROUND(INDEX('Table 2D SolarTracking'!$D$66:$D$78,MATCH($B16,'Table 2D SolarTracking'!$A$66:$A$78,0))/10,3)</f>
        <v>2.4470000000000001</v>
      </c>
      <c r="F16" s="122">
        <f>ROUND(INDEX('Table 2D SolarTracking'!$H$66:$H$78,MATCH($B16,'Table 2D SolarTracking'!$A$66:$A$78,0))/10,3)</f>
        <v>2.6309999999999998</v>
      </c>
      <c r="I16" s="193">
        <f t="shared" si="5"/>
        <v>0.95799999999999996</v>
      </c>
      <c r="J16" s="193"/>
      <c r="K16" s="185">
        <f t="shared" si="0"/>
        <v>8392.08</v>
      </c>
      <c r="L16" s="194">
        <f t="shared" si="6"/>
        <v>23422.295279999998</v>
      </c>
      <c r="M16" s="185">
        <f t="shared" si="1"/>
        <v>25489.369261410811</v>
      </c>
      <c r="O16" s="194">
        <f t="shared" si="7"/>
        <v>27500.846160000001</v>
      </c>
      <c r="P16" s="185">
        <f t="shared" si="2"/>
        <v>27900.237817723963</v>
      </c>
      <c r="R16" s="194">
        <f t="shared" si="8"/>
        <v>20535.419760000001</v>
      </c>
      <c r="S16" s="185">
        <f t="shared" si="3"/>
        <v>21449.976856015004</v>
      </c>
      <c r="U16" s="194">
        <f t="shared" si="9"/>
        <v>22079.562479999997</v>
      </c>
      <c r="V16" s="185">
        <f t="shared" si="4"/>
        <v>21850.214450391464</v>
      </c>
      <c r="Z16" s="179"/>
      <c r="AA16" s="179"/>
      <c r="AB16" s="180"/>
      <c r="AC16" s="180"/>
    </row>
    <row r="17" spans="1:29" x14ac:dyDescent="0.2">
      <c r="A17" s="119"/>
      <c r="B17" s="349">
        <v>2023</v>
      </c>
      <c r="C17" s="122">
        <f>ROUND(INDEX('Table 2D SolarTracking'!$C$66:$C$78,MATCH($B17,'Table 2D SolarTracking'!$A$66:$A$78,0))/10,3)</f>
        <v>2.964</v>
      </c>
      <c r="D17" s="122">
        <f>ROUND(INDEX('Table 2D SolarTracking'!$G$66:$G$78,MATCH($B17,'Table 2D SolarTracking'!$A$66:$A$78,0))/10,3)</f>
        <v>3.5950000000000002</v>
      </c>
      <c r="E17" s="122">
        <f>ROUND(INDEX('Table 2D SolarTracking'!$D$66:$D$78,MATCH($B17,'Table 2D SolarTracking'!$A$66:$A$78,0))/10,3)</f>
        <v>2.613</v>
      </c>
      <c r="F17" s="122">
        <f>ROUND(INDEX('Table 2D SolarTracking'!$H$66:$H$78,MATCH($B17,'Table 2D SolarTracking'!$A$66:$A$78,0))/10,3)</f>
        <v>2.976</v>
      </c>
      <c r="I17" s="193">
        <f t="shared" si="5"/>
        <v>0.95099999999999996</v>
      </c>
      <c r="J17" s="193"/>
      <c r="K17" s="185">
        <f t="shared" si="0"/>
        <v>8330.76</v>
      </c>
      <c r="L17" s="194">
        <f t="shared" si="6"/>
        <v>24692.372639999998</v>
      </c>
      <c r="M17" s="185">
        <f t="shared" si="1"/>
        <v>25303.121260544551</v>
      </c>
      <c r="O17" s="194">
        <f t="shared" si="7"/>
        <v>29949.082200000001</v>
      </c>
      <c r="P17" s="185">
        <f t="shared" si="2"/>
        <v>27696.373867072536</v>
      </c>
      <c r="R17" s="194">
        <f t="shared" si="8"/>
        <v>21768.275880000001</v>
      </c>
      <c r="S17" s="185">
        <f t="shared" si="3"/>
        <v>21293.244248507588</v>
      </c>
      <c r="U17" s="194">
        <f t="shared" si="9"/>
        <v>24792.341759999996</v>
      </c>
      <c r="V17" s="185">
        <f t="shared" si="4"/>
        <v>21690.557351067102</v>
      </c>
      <c r="Z17" s="179"/>
      <c r="AA17" s="179"/>
      <c r="AB17" s="180"/>
      <c r="AC17" s="180"/>
    </row>
    <row r="18" spans="1:29" x14ac:dyDescent="0.2">
      <c r="A18" s="119"/>
      <c r="B18" s="349">
        <v>2024</v>
      </c>
      <c r="C18" s="122">
        <f>ROUND(INDEX('Table 2D SolarTracking'!$C$66:$C$78,MATCH($B18,'Table 2D SolarTracking'!$A$66:$A$78,0))/10,3)</f>
        <v>3.4260000000000002</v>
      </c>
      <c r="D18" s="122">
        <f>ROUND(INDEX('Table 2D SolarTracking'!$G$66:$G$78,MATCH($B18,'Table 2D SolarTracking'!$A$66:$A$78,0))/10,3)</f>
        <v>3.93</v>
      </c>
      <c r="E18" s="122">
        <f>ROUND(INDEX('Table 2D SolarTracking'!$D$66:$D$78,MATCH($B18,'Table 2D SolarTracking'!$A$66:$A$78,0))/10,3)</f>
        <v>3.0169999999999999</v>
      </c>
      <c r="F18" s="122">
        <f>ROUND(INDEX('Table 2D SolarTracking'!$H$66:$H$78,MATCH($B18,'Table 2D SolarTracking'!$A$66:$A$78,0))/10,3)</f>
        <v>3.2410000000000001</v>
      </c>
      <c r="I18" s="193">
        <f t="shared" si="5"/>
        <v>0.94399999999999995</v>
      </c>
      <c r="J18" s="193"/>
      <c r="K18" s="185">
        <f t="shared" si="0"/>
        <v>8269.4399999999987</v>
      </c>
      <c r="L18" s="194">
        <f t="shared" si="6"/>
        <v>28331.101440000002</v>
      </c>
      <c r="M18" s="185">
        <f t="shared" si="1"/>
        <v>25116.87325967829</v>
      </c>
      <c r="O18" s="194">
        <f t="shared" si="7"/>
        <v>32498.8992</v>
      </c>
      <c r="P18" s="185">
        <f t="shared" si="2"/>
        <v>27492.509916421102</v>
      </c>
      <c r="R18" s="194">
        <f t="shared" si="8"/>
        <v>24948.900479999997</v>
      </c>
      <c r="S18" s="185">
        <f t="shared" si="3"/>
        <v>21136.511641000168</v>
      </c>
      <c r="U18" s="194">
        <f t="shared" si="9"/>
        <v>26801.25504</v>
      </c>
      <c r="V18" s="185">
        <f t="shared" si="4"/>
        <v>21530.900251742733</v>
      </c>
      <c r="Z18" s="179"/>
      <c r="AA18" s="179"/>
      <c r="AB18" s="180"/>
      <c r="AC18" s="180"/>
    </row>
    <row r="19" spans="1:29" x14ac:dyDescent="0.2">
      <c r="A19" s="119"/>
      <c r="B19" s="349">
        <v>2025</v>
      </c>
      <c r="C19" s="122">
        <f>ROUND(INDEX('Table 2D SolarTracking'!$C$66:$C$78,MATCH($B19,'Table 2D SolarTracking'!$A$66:$A$78,0))/10,3)</f>
        <v>3.69</v>
      </c>
      <c r="D19" s="122">
        <f>ROUND(INDEX('Table 2D SolarTracking'!$G$66:$G$78,MATCH($B19,'Table 2D SolarTracking'!$A$66:$A$78,0))/10,3)</f>
        <v>4.1180000000000003</v>
      </c>
      <c r="E19" s="122">
        <f>ROUND(INDEX('Table 2D SolarTracking'!$D$66:$D$78,MATCH($B19,'Table 2D SolarTracking'!$A$66:$A$78,0))/10,3)</f>
        <v>3.2789999999999999</v>
      </c>
      <c r="F19" s="122">
        <f>ROUND(INDEX('Table 2D SolarTracking'!$H$66:$H$78,MATCH($B19,'Table 2D SolarTracking'!$A$66:$A$78,0))/10,3)</f>
        <v>3.3879999999999999</v>
      </c>
      <c r="I19" s="193">
        <f t="shared" si="5"/>
        <v>0.93699999999999994</v>
      </c>
      <c r="J19" s="193"/>
      <c r="K19" s="185">
        <f t="shared" si="0"/>
        <v>8208.119999999999</v>
      </c>
      <c r="L19" s="194">
        <f t="shared" si="6"/>
        <v>30287.962799999998</v>
      </c>
      <c r="M19" s="185">
        <f t="shared" si="1"/>
        <v>24930.62525881203</v>
      </c>
      <c r="O19" s="194">
        <f t="shared" si="7"/>
        <v>33801.038159999996</v>
      </c>
      <c r="P19" s="185">
        <f t="shared" si="2"/>
        <v>27288.645965769676</v>
      </c>
      <c r="R19" s="194">
        <f t="shared" si="8"/>
        <v>26914.425479999998</v>
      </c>
      <c r="S19" s="185">
        <f t="shared" si="3"/>
        <v>20979.779033492752</v>
      </c>
      <c r="U19" s="194">
        <f t="shared" si="9"/>
        <v>27809.110559999997</v>
      </c>
      <c r="V19" s="185">
        <f t="shared" si="4"/>
        <v>21371.24315241837</v>
      </c>
      <c r="Z19" s="179"/>
      <c r="AA19" s="179"/>
      <c r="AB19" s="180"/>
      <c r="AC19" s="180"/>
    </row>
    <row r="20" spans="1:29" x14ac:dyDescent="0.2">
      <c r="A20" s="119"/>
      <c r="B20" s="349">
        <v>2026</v>
      </c>
      <c r="C20" s="122">
        <f>ROUND(INDEX('Table 2D SolarTracking'!$C$66:$C$78,MATCH($B20,'Table 2D SolarTracking'!$A$66:$A$78,0))/10,3)</f>
        <v>3.6920000000000002</v>
      </c>
      <c r="D20" s="122">
        <f>ROUND(INDEX('Table 2D SolarTracking'!$G$66:$G$78,MATCH($B20,'Table 2D SolarTracking'!$A$66:$A$78,0))/10,3)</f>
        <v>4.2830000000000004</v>
      </c>
      <c r="E20" s="122">
        <f>ROUND(INDEX('Table 2D SolarTracking'!$D$66:$D$78,MATCH($B20,'Table 2D SolarTracking'!$A$66:$A$78,0))/10,3)</f>
        <v>3.2730000000000001</v>
      </c>
      <c r="F20" s="122">
        <f>ROUND(INDEX('Table 2D SolarTracking'!$H$66:$H$78,MATCH($B20,'Table 2D SolarTracking'!$A$66:$A$78,0))/10,3)</f>
        <v>3.5779999999999998</v>
      </c>
      <c r="I20" s="193">
        <f t="shared" si="5"/>
        <v>0.92999999999999994</v>
      </c>
      <c r="J20" s="193"/>
      <c r="K20" s="185">
        <f t="shared" si="0"/>
        <v>8146.7999999999993</v>
      </c>
      <c r="L20" s="194">
        <f t="shared" si="6"/>
        <v>30077.9856</v>
      </c>
      <c r="M20" s="185">
        <f t="shared" si="1"/>
        <v>24744.377257945773</v>
      </c>
      <c r="O20" s="194">
        <f t="shared" si="7"/>
        <v>34892.744399999996</v>
      </c>
      <c r="P20" s="185">
        <f t="shared" si="2"/>
        <v>27084.78201511825</v>
      </c>
      <c r="R20" s="194">
        <f t="shared" si="8"/>
        <v>26664.4764</v>
      </c>
      <c r="S20" s="185">
        <f t="shared" si="3"/>
        <v>20823.046425985336</v>
      </c>
      <c r="U20" s="194">
        <f t="shared" si="9"/>
        <v>29149.250399999997</v>
      </c>
      <c r="V20" s="185">
        <f t="shared" si="4"/>
        <v>21211.586053094008</v>
      </c>
      <c r="Z20" s="179"/>
      <c r="AA20" s="179"/>
      <c r="AB20" s="180"/>
      <c r="AC20" s="180"/>
    </row>
    <row r="21" spans="1:29" x14ac:dyDescent="0.2">
      <c r="A21" s="119"/>
      <c r="B21" s="349">
        <v>2027</v>
      </c>
      <c r="C21" s="122">
        <f>ROUND(INDEX('Table 2D SolarTracking'!$C$66:$C$78,MATCH($B21,'Table 2D SolarTracking'!$A$66:$A$78,0))/10,3)</f>
        <v>3.9510000000000001</v>
      </c>
      <c r="D21" s="122">
        <f>ROUND(INDEX('Table 2D SolarTracking'!$G$66:$G$78,MATCH($B21,'Table 2D SolarTracking'!$A$66:$A$78,0))/10,3)</f>
        <v>4.476</v>
      </c>
      <c r="E21" s="122">
        <f>ROUND(INDEX('Table 2D SolarTracking'!$D$66:$D$78,MATCH($B21,'Table 2D SolarTracking'!$A$66:$A$78,0))/10,3)</f>
        <v>3.508</v>
      </c>
      <c r="F21" s="122">
        <f>ROUND(INDEX('Table 2D SolarTracking'!$H$66:$H$78,MATCH($B21,'Table 2D SolarTracking'!$A$66:$A$78,0))/10,3)</f>
        <v>3.7690000000000001</v>
      </c>
      <c r="I21" s="193">
        <f t="shared" si="5"/>
        <v>0.92299999999999993</v>
      </c>
      <c r="J21" s="193"/>
      <c r="K21" s="185">
        <f t="shared" si="0"/>
        <v>8085.48</v>
      </c>
      <c r="L21" s="194">
        <f t="shared" si="6"/>
        <v>31945.731479999999</v>
      </c>
      <c r="M21" s="185">
        <f t="shared" si="1"/>
        <v>24558.129257079516</v>
      </c>
      <c r="O21" s="194">
        <f t="shared" si="7"/>
        <v>36190.608480000003</v>
      </c>
      <c r="P21" s="185">
        <f t="shared" si="2"/>
        <v>26880.918064466823</v>
      </c>
      <c r="R21" s="194">
        <f t="shared" si="8"/>
        <v>28363.863839999998</v>
      </c>
      <c r="S21" s="185">
        <f t="shared" si="3"/>
        <v>20666.313818477924</v>
      </c>
      <c r="U21" s="194">
        <f t="shared" si="9"/>
        <v>30474.17412</v>
      </c>
      <c r="V21" s="185">
        <f t="shared" si="4"/>
        <v>21051.928953769646</v>
      </c>
      <c r="Z21" s="179"/>
      <c r="AA21" s="179"/>
      <c r="AB21" s="180"/>
      <c r="AC21" s="180"/>
    </row>
    <row r="22" spans="1:29" x14ac:dyDescent="0.2">
      <c r="A22" s="119"/>
      <c r="B22" s="349">
        <v>2028</v>
      </c>
      <c r="C22" s="122">
        <f>ROUND(INDEX('Tables 3 to 5'!AQ:AQ,MATCH(B22,'Tables 3 to 5'!B:B,0))/10,3)</f>
        <v>4.1429999999999998</v>
      </c>
      <c r="D22" s="122">
        <f t="shared" ref="D22:D27" si="10">C22</f>
        <v>4.1429999999999998</v>
      </c>
      <c r="E22" s="122">
        <f>ROUND(INDEX('Tables 3 to 5'!AR:AR,MATCH(B22,'Tables 3 to 5'!B:B,0))/10,3)</f>
        <v>3.004</v>
      </c>
      <c r="F22" s="122">
        <f t="shared" ref="F22:F27" si="11">E22</f>
        <v>3.004</v>
      </c>
      <c r="I22" s="193">
        <f t="shared" si="5"/>
        <v>0.91599999999999993</v>
      </c>
      <c r="J22" s="193"/>
      <c r="K22" s="185">
        <f t="shared" si="0"/>
        <v>8024.1599999999989</v>
      </c>
      <c r="L22" s="194">
        <f t="shared" si="6"/>
        <v>33244.094879999997</v>
      </c>
      <c r="M22" s="185">
        <f t="shared" si="1"/>
        <v>24371.881256213255</v>
      </c>
      <c r="O22" s="194">
        <f t="shared" si="7"/>
        <v>33244.094879999997</v>
      </c>
      <c r="P22" s="185">
        <f t="shared" si="2"/>
        <v>26677.054113815393</v>
      </c>
      <c r="R22" s="194">
        <f t="shared" si="8"/>
        <v>24104.576639999999</v>
      </c>
      <c r="S22" s="185">
        <f t="shared" si="3"/>
        <v>20509.581210970504</v>
      </c>
      <c r="U22" s="194">
        <f t="shared" si="9"/>
        <v>24104.576639999999</v>
      </c>
      <c r="V22" s="185">
        <f t="shared" si="4"/>
        <v>20892.27185444528</v>
      </c>
      <c r="Z22" s="179"/>
      <c r="AA22" s="179"/>
      <c r="AB22" s="180"/>
      <c r="AC22" s="180"/>
    </row>
    <row r="23" spans="1:29" x14ac:dyDescent="0.2">
      <c r="A23" s="119"/>
      <c r="B23" s="349">
        <v>2029</v>
      </c>
      <c r="C23" s="122">
        <f>ROUND(INDEX('Tables 3 to 5'!AQ:AQ,MATCH(B23,'Tables 3 to 5'!B:B,0))/10,3)</f>
        <v>4.26</v>
      </c>
      <c r="D23" s="122">
        <f t="shared" si="10"/>
        <v>4.26</v>
      </c>
      <c r="E23" s="122">
        <f>ROUND(INDEX('Tables 3 to 5'!AR:AR,MATCH(B23,'Tables 3 to 5'!B:B,0))/10,3)</f>
        <v>3.097</v>
      </c>
      <c r="F23" s="122">
        <f t="shared" si="11"/>
        <v>3.097</v>
      </c>
      <c r="I23" s="193">
        <f t="shared" si="5"/>
        <v>0.90899999999999992</v>
      </c>
      <c r="J23" s="193"/>
      <c r="K23" s="185">
        <f t="shared" si="0"/>
        <v>7962.8399999999992</v>
      </c>
      <c r="L23" s="194">
        <f t="shared" si="6"/>
        <v>33921.698399999994</v>
      </c>
      <c r="M23" s="185">
        <f t="shared" si="1"/>
        <v>24185.633255346998</v>
      </c>
      <c r="O23" s="194">
        <f t="shared" si="7"/>
        <v>33921.698399999994</v>
      </c>
      <c r="P23" s="185">
        <f t="shared" si="2"/>
        <v>26473.190163163967</v>
      </c>
      <c r="R23" s="194">
        <f t="shared" si="8"/>
        <v>24660.91548</v>
      </c>
      <c r="S23" s="185">
        <f t="shared" si="3"/>
        <v>20352.848603463088</v>
      </c>
      <c r="U23" s="194">
        <f t="shared" si="9"/>
        <v>24660.91548</v>
      </c>
      <c r="V23" s="185">
        <f t="shared" si="4"/>
        <v>20732.614755120918</v>
      </c>
      <c r="Z23" s="179"/>
      <c r="AA23" s="179"/>
      <c r="AB23" s="180"/>
      <c r="AC23" s="180"/>
    </row>
    <row r="24" spans="1:29" x14ac:dyDescent="0.2">
      <c r="A24" s="119"/>
      <c r="B24" s="349">
        <v>2030</v>
      </c>
      <c r="C24" s="122">
        <f>ROUND(INDEX('Tables 3 to 5'!AQ:AQ,MATCH(B24,'Tables 3 to 5'!B:B,0))/10,3)</f>
        <v>4.492</v>
      </c>
      <c r="D24" s="122">
        <f t="shared" si="10"/>
        <v>4.492</v>
      </c>
      <c r="E24" s="122">
        <f>ROUND(INDEX('Tables 3 to 5'!AR:AR,MATCH(B24,'Tables 3 to 5'!B:B,0))/10,3)</f>
        <v>3.3029999999999999</v>
      </c>
      <c r="F24" s="122">
        <f t="shared" si="11"/>
        <v>3.3029999999999999</v>
      </c>
      <c r="I24" s="193">
        <f t="shared" si="5"/>
        <v>0.90199999999999991</v>
      </c>
      <c r="J24" s="193"/>
      <c r="K24" s="185">
        <f t="shared" si="0"/>
        <v>7901.5199999999995</v>
      </c>
      <c r="L24" s="194">
        <f t="shared" si="6"/>
        <v>35493.627839999994</v>
      </c>
      <c r="M24" s="185">
        <f t="shared" si="1"/>
        <v>23999.385254480741</v>
      </c>
      <c r="O24" s="194">
        <f t="shared" si="7"/>
        <v>35493.627839999994</v>
      </c>
      <c r="P24" s="185">
        <f t="shared" si="2"/>
        <v>26269.32621251254</v>
      </c>
      <c r="R24" s="194">
        <f t="shared" si="8"/>
        <v>26098.720559999998</v>
      </c>
      <c r="S24" s="185">
        <f t="shared" si="3"/>
        <v>20196.115995955672</v>
      </c>
      <c r="U24" s="194">
        <f t="shared" si="9"/>
        <v>26098.720559999998</v>
      </c>
      <c r="V24" s="185">
        <f t="shared" si="4"/>
        <v>20572.957655796556</v>
      </c>
      <c r="Z24" s="179"/>
      <c r="AA24" s="179"/>
      <c r="AB24" s="180"/>
      <c r="AC24" s="180"/>
    </row>
    <row r="25" spans="1:29" x14ac:dyDescent="0.2">
      <c r="A25" s="119"/>
      <c r="B25" s="349">
        <v>2031</v>
      </c>
      <c r="C25" s="122">
        <f>ROUND(INDEX('Tables 3 to 5'!AQ:AQ,MATCH(B25,'Tables 3 to 5'!B:B,0))/10,3)</f>
        <v>4.6100000000000003</v>
      </c>
      <c r="D25" s="122">
        <f t="shared" si="10"/>
        <v>4.6100000000000003</v>
      </c>
      <c r="E25" s="122">
        <f>ROUND(INDEX('Tables 3 to 5'!AR:AR,MATCH(B25,'Tables 3 to 5'!B:B,0))/10,3)</f>
        <v>3.395</v>
      </c>
      <c r="F25" s="122">
        <f t="shared" si="11"/>
        <v>3.395</v>
      </c>
      <c r="I25" s="193">
        <f t="shared" si="5"/>
        <v>0.89499999999999991</v>
      </c>
      <c r="J25" s="193"/>
      <c r="K25" s="185">
        <f t="shared" si="0"/>
        <v>7840.1999999999989</v>
      </c>
      <c r="L25" s="194">
        <f t="shared" si="6"/>
        <v>36143.322</v>
      </c>
      <c r="M25" s="185">
        <f t="shared" si="1"/>
        <v>23813.137253614481</v>
      </c>
      <c r="O25" s="194">
        <f t="shared" si="7"/>
        <v>36143.322</v>
      </c>
      <c r="P25" s="185">
        <f t="shared" si="2"/>
        <v>26065.46226186111</v>
      </c>
      <c r="R25" s="194">
        <f t="shared" si="8"/>
        <v>26617.478999999999</v>
      </c>
      <c r="S25" s="185">
        <f t="shared" si="3"/>
        <v>20039.383388448256</v>
      </c>
      <c r="U25" s="194">
        <f t="shared" si="9"/>
        <v>26617.478999999999</v>
      </c>
      <c r="V25" s="185">
        <f t="shared" si="4"/>
        <v>20413.30055647219</v>
      </c>
      <c r="Z25" s="179"/>
      <c r="AA25" s="179"/>
      <c r="AB25" s="180"/>
      <c r="AC25" s="180"/>
    </row>
    <row r="26" spans="1:29" x14ac:dyDescent="0.2">
      <c r="A26" s="119"/>
      <c r="B26" s="349">
        <v>2032</v>
      </c>
      <c r="C26" s="122">
        <f>ROUND(INDEX('Tables 3 to 5'!AQ:AQ,MATCH(B26,'Tables 3 to 5'!B:B,0))/10,3)</f>
        <v>4.7370000000000001</v>
      </c>
      <c r="D26" s="122">
        <f t="shared" si="10"/>
        <v>4.7370000000000001</v>
      </c>
      <c r="E26" s="122">
        <f>ROUND(INDEX('Tables 3 to 5'!AR:AR,MATCH(B26,'Tables 3 to 5'!B:B,0))/10,3)</f>
        <v>3.4950000000000001</v>
      </c>
      <c r="F26" s="122">
        <f t="shared" si="11"/>
        <v>3.4950000000000001</v>
      </c>
      <c r="I26" s="193">
        <f t="shared" si="5"/>
        <v>0.8879999999999999</v>
      </c>
      <c r="J26" s="193"/>
      <c r="K26" s="185">
        <f t="shared" si="0"/>
        <v>7778.8799999999992</v>
      </c>
      <c r="L26" s="194">
        <f t="shared" si="6"/>
        <v>36848.554559999997</v>
      </c>
      <c r="M26" s="185">
        <f t="shared" si="1"/>
        <v>23626.889252748224</v>
      </c>
      <c r="O26" s="194">
        <f t="shared" si="7"/>
        <v>36848.554559999997</v>
      </c>
      <c r="P26" s="185">
        <f t="shared" si="2"/>
        <v>25861.598311209684</v>
      </c>
      <c r="R26" s="194">
        <f t="shared" si="8"/>
        <v>27187.185599999997</v>
      </c>
      <c r="S26" s="185">
        <f t="shared" si="3"/>
        <v>19882.650780940839</v>
      </c>
      <c r="U26" s="194">
        <f t="shared" si="9"/>
        <v>27187.185599999997</v>
      </c>
      <c r="V26" s="185">
        <f t="shared" si="4"/>
        <v>20253.643457147828</v>
      </c>
      <c r="Z26" s="179"/>
      <c r="AA26" s="179"/>
      <c r="AB26" s="180"/>
      <c r="AC26" s="180"/>
    </row>
    <row r="27" spans="1:29" x14ac:dyDescent="0.2">
      <c r="A27" s="119"/>
      <c r="B27" s="349">
        <v>2033</v>
      </c>
      <c r="C27" s="122">
        <f>ROUND(INDEX('Tables 3 to 5'!AQ:AQ,MATCH(B27,'Tables 3 to 5'!B:B,0))/10,3)</f>
        <v>4.8899999999999997</v>
      </c>
      <c r="D27" s="122">
        <f t="shared" si="10"/>
        <v>4.8899999999999997</v>
      </c>
      <c r="E27" s="122">
        <f>ROUND(INDEX('Tables 3 to 5'!AR:AR,MATCH(B27,'Tables 3 to 5'!B:B,0))/10,3)</f>
        <v>3.621</v>
      </c>
      <c r="F27" s="122">
        <f t="shared" si="11"/>
        <v>3.621</v>
      </c>
      <c r="I27" s="193">
        <f t="shared" si="5"/>
        <v>0.88099999999999989</v>
      </c>
      <c r="J27" s="193"/>
      <c r="K27" s="185">
        <f t="shared" si="0"/>
        <v>7717.5599999999995</v>
      </c>
      <c r="L27" s="194">
        <f t="shared" si="6"/>
        <v>37738.868399999992</v>
      </c>
      <c r="M27" s="185">
        <f t="shared" si="1"/>
        <v>23440.641251881963</v>
      </c>
      <c r="O27" s="194">
        <f t="shared" si="7"/>
        <v>37738.868399999992</v>
      </c>
      <c r="P27" s="185">
        <f t="shared" si="2"/>
        <v>25657.734360558257</v>
      </c>
      <c r="R27" s="194">
        <f t="shared" si="8"/>
        <v>27945.284759999995</v>
      </c>
      <c r="S27" s="185">
        <f t="shared" si="3"/>
        <v>19725.918173433423</v>
      </c>
      <c r="U27" s="194">
        <f t="shared" si="9"/>
        <v>27945.284759999995</v>
      </c>
      <c r="V27" s="185">
        <f t="shared" si="4"/>
        <v>20093.986357823465</v>
      </c>
      <c r="Z27" s="179"/>
      <c r="AA27" s="179"/>
      <c r="AB27" s="180"/>
      <c r="AC27" s="180"/>
    </row>
    <row r="28" spans="1:29" x14ac:dyDescent="0.2">
      <c r="A28" s="119"/>
      <c r="B28" s="120"/>
      <c r="C28" s="122"/>
      <c r="D28" s="121"/>
      <c r="E28" s="122"/>
      <c r="F28" s="122"/>
      <c r="I28" s="193"/>
      <c r="J28" s="193"/>
      <c r="L28" s="194"/>
      <c r="O28" s="194"/>
      <c r="R28" s="194"/>
      <c r="U28" s="194"/>
      <c r="Z28" s="179"/>
      <c r="AA28" s="179"/>
      <c r="AB28" s="180"/>
      <c r="AC28" s="180"/>
    </row>
    <row r="29" spans="1:29" x14ac:dyDescent="0.2">
      <c r="A29" s="119"/>
      <c r="B29" s="120"/>
      <c r="C29" s="122"/>
      <c r="D29" s="121"/>
      <c r="E29" s="122"/>
      <c r="F29" s="122"/>
      <c r="H29" s="185" t="str">
        <f>'Table 6'!$P$38</f>
        <v>Discount Rate - 2015 IRP Page 141</v>
      </c>
      <c r="I29" s="193"/>
      <c r="J29" s="193"/>
      <c r="L29" s="194"/>
      <c r="O29" s="194"/>
      <c r="R29" s="194"/>
      <c r="U29" s="194"/>
      <c r="Z29" s="179"/>
      <c r="AA29" s="179"/>
      <c r="AB29" s="180"/>
      <c r="AC29" s="180"/>
    </row>
    <row r="30" spans="1:29" x14ac:dyDescent="0.2">
      <c r="A30" s="119"/>
      <c r="B30" s="120"/>
      <c r="C30" s="122"/>
      <c r="D30" s="121"/>
      <c r="E30" s="122"/>
      <c r="F30" s="122"/>
      <c r="H30" s="196">
        <f>'Table 6'!$P$39</f>
        <v>6.6600000000000006E-2</v>
      </c>
      <c r="I30" s="193"/>
      <c r="J30" s="193"/>
      <c r="L30" s="194"/>
      <c r="O30" s="194"/>
      <c r="R30" s="194"/>
      <c r="U30" s="194"/>
      <c r="Z30" s="179"/>
      <c r="AA30" s="179"/>
      <c r="AB30" s="180"/>
      <c r="AC30" s="180"/>
    </row>
    <row r="31" spans="1:29" hidden="1" x14ac:dyDescent="0.2">
      <c r="A31" s="119"/>
      <c r="B31" s="120"/>
      <c r="C31" s="122"/>
      <c r="D31" s="121"/>
      <c r="E31" s="122"/>
      <c r="F31" s="122"/>
      <c r="I31" s="193"/>
      <c r="J31" s="193"/>
      <c r="L31" s="194"/>
      <c r="O31" s="194"/>
      <c r="R31" s="194"/>
      <c r="U31" s="194"/>
      <c r="Z31" s="179"/>
      <c r="AA31" s="179"/>
      <c r="AB31" s="180"/>
      <c r="AC31" s="180"/>
    </row>
    <row r="32" spans="1:29" hidden="1" x14ac:dyDescent="0.2">
      <c r="A32" s="119"/>
      <c r="B32" s="120"/>
      <c r="C32" s="122"/>
      <c r="D32" s="121"/>
      <c r="E32" s="122"/>
      <c r="F32" s="122"/>
      <c r="I32" s="193"/>
      <c r="J32" s="193"/>
      <c r="L32" s="194"/>
      <c r="O32" s="194"/>
      <c r="R32" s="194"/>
      <c r="U32" s="194"/>
      <c r="Z32" s="179"/>
      <c r="AA32" s="179"/>
      <c r="AB32" s="180"/>
      <c r="AC32" s="180"/>
    </row>
    <row r="33" spans="1:34" ht="15.75" hidden="1" customHeight="1" x14ac:dyDescent="0.2">
      <c r="A33" s="119"/>
      <c r="B33" s="120"/>
      <c r="C33" s="119"/>
      <c r="D33" s="119"/>
      <c r="E33" s="119"/>
      <c r="F33" s="119"/>
      <c r="I33" s="193"/>
      <c r="J33" s="193"/>
      <c r="L33" s="194"/>
      <c r="O33" s="194"/>
      <c r="R33" s="194"/>
      <c r="U33" s="194"/>
      <c r="AB33" s="180"/>
      <c r="AC33" s="180"/>
    </row>
    <row r="34" spans="1:34" hidden="1" x14ac:dyDescent="0.2">
      <c r="A34" s="119"/>
      <c r="C34" s="117" t="s">
        <v>231</v>
      </c>
      <c r="D34" s="117"/>
      <c r="E34" s="117" t="s">
        <v>122</v>
      </c>
      <c r="F34" s="117"/>
      <c r="L34" s="194"/>
      <c r="O34" s="194"/>
      <c r="R34" s="194"/>
      <c r="U34" s="194"/>
    </row>
    <row r="35" spans="1:34" ht="14.25" hidden="1" x14ac:dyDescent="0.35">
      <c r="A35" s="119"/>
      <c r="B35" s="125"/>
      <c r="C35" s="118" t="s">
        <v>58</v>
      </c>
      <c r="D35" s="118" t="s">
        <v>59</v>
      </c>
      <c r="E35" s="118" t="s">
        <v>58</v>
      </c>
      <c r="F35" s="118" t="s">
        <v>59</v>
      </c>
      <c r="I35" s="197"/>
      <c r="J35" s="198" t="s">
        <v>201</v>
      </c>
      <c r="K35" s="199">
        <f>NPV($H$30,K11:K25)</f>
        <v>77638.169210376611</v>
      </c>
      <c r="L35" s="199">
        <f t="shared" ref="L35:V35" si="12">NPV($H$30,L11:L25)</f>
        <v>235811.37975128746</v>
      </c>
      <c r="M35" s="199">
        <f t="shared" si="12"/>
        <v>235811.37975128758</v>
      </c>
      <c r="N35" s="199"/>
      <c r="O35" s="199">
        <f t="shared" si="12"/>
        <v>258115.19726959249</v>
      </c>
      <c r="P35" s="199">
        <f t="shared" si="12"/>
        <v>258115.19726959258</v>
      </c>
      <c r="Q35" s="199"/>
      <c r="R35" s="199">
        <f t="shared" si="12"/>
        <v>198441.49873523071</v>
      </c>
      <c r="S35" s="199">
        <f t="shared" si="12"/>
        <v>198441.49873523071</v>
      </c>
      <c r="T35" s="199"/>
      <c r="U35" s="199">
        <f t="shared" si="12"/>
        <v>202144.24156853944</v>
      </c>
      <c r="V35" s="199">
        <f t="shared" si="12"/>
        <v>202144.2415685395</v>
      </c>
    </row>
    <row r="36" spans="1:34" ht="33.75" hidden="1" customHeight="1" x14ac:dyDescent="0.2">
      <c r="B36" s="126" t="s">
        <v>292</v>
      </c>
      <c r="C36" s="127">
        <f>-PMT('Table 6'!$P$39,COUNT(C11:C25),NPV('Table 6'!$P$39,C11:C25))</f>
        <v>3.0634314827349147</v>
      </c>
      <c r="D36" s="127">
        <f>-PMT('Table 6'!$P$39,COUNT(D11:D25),NPV('Table 6'!$P$39,D11:D25))</f>
        <v>3.3504377257730771</v>
      </c>
      <c r="E36" s="127">
        <f>-PMT('Table 6'!$P$39,COUNT(E11:E25),NPV('Table 6'!$P$39,E11:E25))</f>
        <v>2.5736455158116422</v>
      </c>
      <c r="F36" s="127">
        <f>-PMT('Table 6'!$P$39,COUNT(F11:F25),NPV('Table 6'!$P$39,F11:F25))</f>
        <v>2.6234538796958535</v>
      </c>
      <c r="I36" s="200"/>
      <c r="J36" s="200"/>
      <c r="K36" s="198"/>
      <c r="Z36" s="127"/>
    </row>
    <row r="37" spans="1:34" hidden="1" x14ac:dyDescent="0.2">
      <c r="A37" s="125"/>
      <c r="I37" s="201"/>
      <c r="J37" s="201" t="s">
        <v>293</v>
      </c>
      <c r="K37" s="202">
        <f>-PMT($H$30,COUNT(K11:K25),NPV($H$30,K11:K25))</f>
        <v>8342.1113445299852</v>
      </c>
      <c r="L37" s="202">
        <f>-PMT($H$30,COUNT(L11:L25),NPV($H$30,L11:L25))</f>
        <v>25337.598840874849</v>
      </c>
      <c r="M37" s="204">
        <f>L37/K37</f>
        <v>3.0373124733571188</v>
      </c>
      <c r="N37" s="203"/>
      <c r="O37" s="202">
        <f>-PMT($H$30,COUNT(O11:O25),NPV($H$30,O11:O25))</f>
        <v>27734.112450586694</v>
      </c>
      <c r="P37" s="204">
        <f>O37/K37</f>
        <v>3.3245914979032567</v>
      </c>
      <c r="Q37" s="203"/>
      <c r="R37" s="202">
        <f>-PMT($H$30,COUNT(R11:R25),NPV($H$30,R11:R25))</f>
        <v>21322.258042162182</v>
      </c>
      <c r="S37" s="204">
        <f>R37/K37</f>
        <v>2.555978596011359</v>
      </c>
      <c r="T37" s="203"/>
      <c r="U37" s="202">
        <f>-PMT($H$30,COUNT(U11:U25),NPV($H$30,U11:U25))</f>
        <v>21720.112516446894</v>
      </c>
      <c r="V37" s="204">
        <f>U37/K37</f>
        <v>2.6036708957006445</v>
      </c>
    </row>
    <row r="38" spans="1:34" x14ac:dyDescent="0.2">
      <c r="K38" s="205"/>
      <c r="L38" s="206"/>
      <c r="M38" s="207"/>
      <c r="O38" s="206"/>
      <c r="P38" s="207"/>
      <c r="R38" s="206"/>
      <c r="S38" s="207"/>
      <c r="U38" s="206"/>
      <c r="V38" s="207"/>
    </row>
    <row r="39" spans="1:34" x14ac:dyDescent="0.2">
      <c r="C39" s="117" t="s">
        <v>231</v>
      </c>
      <c r="D39" s="117"/>
      <c r="E39" s="117" t="s">
        <v>122</v>
      </c>
      <c r="F39" s="117"/>
      <c r="L39" s="208"/>
      <c r="O39" s="208"/>
      <c r="R39" s="208"/>
      <c r="U39" s="208"/>
    </row>
    <row r="40" spans="1:34" ht="33" customHeight="1" x14ac:dyDescent="0.35">
      <c r="A40" s="129"/>
      <c r="B40" s="126" t="s">
        <v>295</v>
      </c>
      <c r="C40" s="118" t="s">
        <v>58</v>
      </c>
      <c r="D40" s="118" t="s">
        <v>59</v>
      </c>
      <c r="E40" s="118" t="s">
        <v>58</v>
      </c>
      <c r="F40" s="118" t="s">
        <v>59</v>
      </c>
      <c r="AB40" s="170"/>
      <c r="AC40" s="180"/>
      <c r="AD40" s="180"/>
      <c r="AE40" s="181"/>
      <c r="AF40" s="181"/>
      <c r="AG40" s="180"/>
    </row>
    <row r="41" spans="1:34" x14ac:dyDescent="0.2">
      <c r="A41" s="129"/>
      <c r="B41" s="127"/>
      <c r="C41" s="127">
        <f>M37</f>
        <v>3.0373124733571188</v>
      </c>
      <c r="D41" s="127">
        <f>P37</f>
        <v>3.3245914979032567</v>
      </c>
      <c r="E41" s="127">
        <f>S37</f>
        <v>2.555978596011359</v>
      </c>
      <c r="F41" s="127">
        <f>V37</f>
        <v>2.6036708957006445</v>
      </c>
      <c r="AB41" s="170"/>
    </row>
    <row r="42" spans="1:34" x14ac:dyDescent="0.2">
      <c r="A42" s="119"/>
      <c r="B42" s="125"/>
      <c r="C42" s="119"/>
      <c r="D42" s="119"/>
      <c r="E42" s="119"/>
      <c r="F42" s="119"/>
      <c r="AB42" s="176"/>
      <c r="AC42" s="172"/>
      <c r="AD42" s="172"/>
      <c r="AE42" s="171"/>
      <c r="AF42" s="173"/>
      <c r="AG42" s="172"/>
      <c r="AH42" s="172"/>
    </row>
    <row r="43" spans="1:34" x14ac:dyDescent="0.2">
      <c r="A43" s="128"/>
      <c r="B43" s="145" t="s">
        <v>318</v>
      </c>
      <c r="AB43" s="182"/>
      <c r="AC43" s="182"/>
      <c r="AD43" s="174"/>
      <c r="AE43" s="182"/>
      <c r="AF43" s="183"/>
    </row>
    <row r="44" spans="1:34" x14ac:dyDescent="0.2">
      <c r="A44" s="129"/>
      <c r="B44" s="145" t="s">
        <v>190</v>
      </c>
    </row>
    <row r="45" spans="1:34" x14ac:dyDescent="0.2">
      <c r="B45" s="145" t="s">
        <v>202</v>
      </c>
    </row>
  </sheetData>
  <printOptions horizontalCentered="1"/>
  <pageMargins left="0.25" right="0.25" top="0.75" bottom="0.75" header="0.3" footer="0.3"/>
  <pageSetup scale="89" orientation="landscape" copies="3" r:id="rId1"/>
  <headerFooter alignWithMargins="0">
    <oddFooter>&amp;L&amp;8NPC Group - &amp;F   ( &amp;A )&amp;C &amp;R &amp;8&amp;D  &amp;T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tabColor rgb="FFFF0000"/>
  </sheetPr>
  <dimension ref="A1:H44"/>
  <sheetViews>
    <sheetView showGridLines="0" workbookViewId="0">
      <selection activeCell="B39" sqref="B39"/>
    </sheetView>
  </sheetViews>
  <sheetFormatPr defaultRowHeight="12" x14ac:dyDescent="0.2"/>
  <cols>
    <col min="1" max="1" width="2.83203125" style="114" customWidth="1"/>
    <col min="2" max="2" width="19.6640625" style="114" customWidth="1"/>
    <col min="3" max="6" width="18.83203125" style="114" customWidth="1"/>
    <col min="7" max="7" width="4.6640625" style="114" customWidth="1"/>
    <col min="8" max="16384" width="9.33203125" style="114"/>
  </cols>
  <sheetData>
    <row r="1" spans="1:7" x14ac:dyDescent="0.2">
      <c r="A1" s="2"/>
      <c r="B1" s="2"/>
      <c r="C1" s="2"/>
      <c r="D1" s="2"/>
      <c r="E1" s="2"/>
      <c r="F1" s="2"/>
      <c r="G1" s="116"/>
    </row>
    <row r="2" spans="1:7" x14ac:dyDescent="0.2">
      <c r="A2" s="2"/>
      <c r="B2" s="2" t="s">
        <v>101</v>
      </c>
      <c r="C2" s="2"/>
      <c r="D2" s="2"/>
      <c r="E2" s="2"/>
      <c r="F2" s="2"/>
      <c r="G2" s="116"/>
    </row>
    <row r="3" spans="1:7" x14ac:dyDescent="0.2">
      <c r="G3" s="116"/>
    </row>
    <row r="4" spans="1:7" x14ac:dyDescent="0.2">
      <c r="A4" s="115"/>
      <c r="B4" s="144" t="s">
        <v>149</v>
      </c>
      <c r="C4" s="115"/>
      <c r="D4" s="115"/>
      <c r="E4" s="115"/>
      <c r="F4" s="115"/>
      <c r="G4" s="116"/>
    </row>
    <row r="5" spans="1:7" x14ac:dyDescent="0.2">
      <c r="A5" s="115"/>
      <c r="B5" s="115"/>
    </row>
    <row r="6" spans="1:7" x14ac:dyDescent="0.2">
      <c r="A6" s="115"/>
      <c r="B6" s="116" t="s">
        <v>123</v>
      </c>
      <c r="C6" s="117" t="s">
        <v>232</v>
      </c>
      <c r="D6" s="117"/>
      <c r="E6" s="117" t="s">
        <v>151</v>
      </c>
      <c r="F6" s="117"/>
    </row>
    <row r="7" spans="1:7" ht="14.25" x14ac:dyDescent="0.35">
      <c r="A7" s="115"/>
      <c r="B7" s="116" t="s">
        <v>121</v>
      </c>
      <c r="C7" s="118" t="s">
        <v>58</v>
      </c>
      <c r="D7" s="118" t="s">
        <v>59</v>
      </c>
      <c r="E7" s="118" t="s">
        <v>58</v>
      </c>
      <c r="F7" s="118" t="s">
        <v>59</v>
      </c>
    </row>
    <row r="8" spans="1:7" x14ac:dyDescent="0.2">
      <c r="A8" s="119"/>
      <c r="B8" s="120"/>
      <c r="C8" s="121"/>
      <c r="D8" s="121"/>
      <c r="E8" s="121"/>
      <c r="F8" s="121"/>
    </row>
    <row r="9" spans="1:7" x14ac:dyDescent="0.2">
      <c r="A9" s="119"/>
      <c r="B9" s="120"/>
      <c r="C9" s="121"/>
      <c r="D9" s="121"/>
      <c r="E9" s="121"/>
      <c r="F9" s="121"/>
    </row>
    <row r="10" spans="1:7" x14ac:dyDescent="0.2">
      <c r="A10" s="119"/>
      <c r="B10" s="349">
        <v>2016</v>
      </c>
      <c r="C10" s="122">
        <f>ROUND(INDEX('Table 2B Wind'!$C$66:$C$78,MATCH($B10,'Table 2B Wind'!$A$66:$A$78,0))/10,3)</f>
        <v>1.7450000000000001</v>
      </c>
      <c r="D10" s="122">
        <f>ROUND(INDEX('Table 2B Wind'!$G$66:$G$78,MATCH($B10,'Table 2B Wind'!$A$66:$A$78,0))/10,3)</f>
        <v>2.0950000000000002</v>
      </c>
      <c r="E10" s="122">
        <f>ROUND(INDEX('Table 2B Wind'!$D$66:$D$78,MATCH($B10,'Table 2B Wind'!$A$66:$A$78,0))/10,3)</f>
        <v>1.4710000000000001</v>
      </c>
      <c r="F10" s="122">
        <f>ROUND(INDEX('Table 2B Wind'!$H$66:$H$78,MATCH($B10,'Table 2B Wind'!$A$66:$A$78,0))/10,3)</f>
        <v>1.538</v>
      </c>
    </row>
    <row r="11" spans="1:7" x14ac:dyDescent="0.2">
      <c r="A11" s="119"/>
      <c r="B11" s="349">
        <v>2017</v>
      </c>
      <c r="C11" s="122">
        <f>ROUND(INDEX('Table 2B Wind'!$C$66:$C$78,MATCH($B11,'Table 2B Wind'!$A$66:$A$78,0))/10,3)</f>
        <v>2.008</v>
      </c>
      <c r="D11" s="122">
        <f>ROUND(INDEX('Table 2B Wind'!$G$66:$G$78,MATCH($B11,'Table 2B Wind'!$A$66:$A$78,0))/10,3)</f>
        <v>2.1829999999999998</v>
      </c>
      <c r="E11" s="122">
        <f>ROUND(INDEX('Table 2B Wind'!$D$66:$D$78,MATCH($B11,'Table 2B Wind'!$A$66:$A$78,0))/10,3)</f>
        <v>1.7470000000000001</v>
      </c>
      <c r="F11" s="122">
        <f>ROUND(INDEX('Table 2B Wind'!$H$66:$H$78,MATCH($B11,'Table 2B Wind'!$A$66:$A$78,0))/10,3)</f>
        <v>1.7250000000000001</v>
      </c>
    </row>
    <row r="12" spans="1:7" x14ac:dyDescent="0.2">
      <c r="A12" s="119"/>
      <c r="B12" s="349">
        <v>2018</v>
      </c>
      <c r="C12" s="122">
        <f>ROUND(INDEX('Table 2B Wind'!$C$66:$C$78,MATCH($B12,'Table 2B Wind'!$A$66:$A$78,0))/10,3)</f>
        <v>2.246</v>
      </c>
      <c r="D12" s="122">
        <f>ROUND(INDEX('Table 2B Wind'!$G$66:$G$78,MATCH($B12,'Table 2B Wind'!$A$66:$A$78,0))/10,3)</f>
        <v>2.367</v>
      </c>
      <c r="E12" s="122">
        <f>ROUND(INDEX('Table 2B Wind'!$D$66:$D$78,MATCH($B12,'Table 2B Wind'!$A$66:$A$78,0))/10,3)</f>
        <v>1.9730000000000001</v>
      </c>
      <c r="F12" s="122">
        <f>ROUND(INDEX('Table 2B Wind'!$H$66:$H$78,MATCH($B12,'Table 2B Wind'!$A$66:$A$78,0))/10,3)</f>
        <v>1.7989999999999999</v>
      </c>
    </row>
    <row r="13" spans="1:7" x14ac:dyDescent="0.2">
      <c r="A13" s="119"/>
      <c r="B13" s="349">
        <v>2019</v>
      </c>
      <c r="C13" s="122">
        <f>ROUND(INDEX('Table 2B Wind'!$C$66:$C$78,MATCH($B13,'Table 2B Wind'!$A$66:$A$78,0))/10,3)</f>
        <v>2.3010000000000002</v>
      </c>
      <c r="D13" s="122">
        <f>ROUND(INDEX('Table 2B Wind'!$G$66:$G$78,MATCH($B13,'Table 2B Wind'!$A$66:$A$78,0))/10,3)</f>
        <v>2.6179999999999999</v>
      </c>
      <c r="E13" s="122">
        <f>ROUND(INDEX('Table 2B Wind'!$D$66:$D$78,MATCH($B13,'Table 2B Wind'!$A$66:$A$78,0))/10,3)</f>
        <v>2.0089999999999999</v>
      </c>
      <c r="F13" s="122">
        <f>ROUND(INDEX('Table 2B Wind'!$H$66:$H$78,MATCH($B13,'Table 2B Wind'!$A$66:$A$78,0))/10,3)</f>
        <v>2.0049999999999999</v>
      </c>
    </row>
    <row r="14" spans="1:7" x14ac:dyDescent="0.2">
      <c r="A14" s="119"/>
      <c r="B14" s="349">
        <v>2020</v>
      </c>
      <c r="C14" s="122">
        <f>ROUND(INDEX('Table 2B Wind'!$C$66:$C$78,MATCH($B14,'Table 2B Wind'!$A$66:$A$78,0))/10,3)</f>
        <v>2.5489999999999999</v>
      </c>
      <c r="D14" s="122">
        <f>ROUND(INDEX('Table 2B Wind'!$G$66:$G$78,MATCH($B14,'Table 2B Wind'!$A$66:$A$78,0))/10,3)</f>
        <v>2.6720000000000002</v>
      </c>
      <c r="E14" s="122">
        <f>ROUND(INDEX('Table 2B Wind'!$D$66:$D$78,MATCH($B14,'Table 2B Wind'!$A$66:$A$78,0))/10,3)</f>
        <v>2.23</v>
      </c>
      <c r="F14" s="122">
        <f>ROUND(INDEX('Table 2B Wind'!$H$66:$H$78,MATCH($B14,'Table 2B Wind'!$A$66:$A$78,0))/10,3)</f>
        <v>2.0110000000000001</v>
      </c>
    </row>
    <row r="15" spans="1:7" x14ac:dyDescent="0.2">
      <c r="A15" s="119"/>
      <c r="B15" s="349">
        <v>2021</v>
      </c>
      <c r="C15" s="122">
        <f>ROUND(INDEX('Table 2B Wind'!$C$66:$C$78,MATCH($B15,'Table 2B Wind'!$A$66:$A$78,0))/10,3)</f>
        <v>2.6749999999999998</v>
      </c>
      <c r="D15" s="122">
        <f>ROUND(INDEX('Table 2B Wind'!$G$66:$G$78,MATCH($B15,'Table 2B Wind'!$A$66:$A$78,0))/10,3)</f>
        <v>2.956</v>
      </c>
      <c r="E15" s="122">
        <f>ROUND(INDEX('Table 2B Wind'!$D$66:$D$78,MATCH($B15,'Table 2B Wind'!$A$66:$A$78,0))/10,3)</f>
        <v>2.3370000000000002</v>
      </c>
      <c r="F15" s="122">
        <f>ROUND(INDEX('Table 2B Wind'!$H$66:$H$78,MATCH($B15,'Table 2B Wind'!$A$66:$A$78,0))/10,3)</f>
        <v>2.2959999999999998</v>
      </c>
    </row>
    <row r="16" spans="1:7" x14ac:dyDescent="0.2">
      <c r="A16" s="119"/>
      <c r="B16" s="349">
        <v>2022</v>
      </c>
      <c r="C16" s="122">
        <f>ROUND(INDEX('Table 2B Wind'!$C$66:$C$78,MATCH($B16,'Table 2B Wind'!$A$66:$A$78,0))/10,3)</f>
        <v>2.8420000000000001</v>
      </c>
      <c r="D16" s="122">
        <f>ROUND(INDEX('Table 2B Wind'!$G$66:$G$78,MATCH($B16,'Table 2B Wind'!$A$66:$A$78,0))/10,3)</f>
        <v>3.3279999999999998</v>
      </c>
      <c r="E16" s="122">
        <f>ROUND(INDEX('Table 2B Wind'!$D$66:$D$78,MATCH($B16,'Table 2B Wind'!$A$66:$A$78,0))/10,3)</f>
        <v>2.4980000000000002</v>
      </c>
      <c r="F16" s="122">
        <f>ROUND(INDEX('Table 2B Wind'!$H$66:$H$78,MATCH($B16,'Table 2B Wind'!$A$66:$A$78,0))/10,3)</f>
        <v>2.6819999999999999</v>
      </c>
    </row>
    <row r="17" spans="1:8" x14ac:dyDescent="0.2">
      <c r="A17" s="119"/>
      <c r="B17" s="349">
        <v>2023</v>
      </c>
      <c r="C17" s="122">
        <f>ROUND(INDEX('Table 2B Wind'!$C$66:$C$78,MATCH($B17,'Table 2B Wind'!$A$66:$A$78,0))/10,3)</f>
        <v>2.9889999999999999</v>
      </c>
      <c r="D17" s="122">
        <f>ROUND(INDEX('Table 2B Wind'!$G$66:$G$78,MATCH($B17,'Table 2B Wind'!$A$66:$A$78,0))/10,3)</f>
        <v>3.62</v>
      </c>
      <c r="E17" s="122">
        <f>ROUND(INDEX('Table 2B Wind'!$D$66:$D$78,MATCH($B17,'Table 2B Wind'!$A$66:$A$78,0))/10,3)</f>
        <v>2.6379999999999999</v>
      </c>
      <c r="F17" s="122">
        <f>ROUND(INDEX('Table 2B Wind'!$H$66:$H$78,MATCH($B17,'Table 2B Wind'!$A$66:$A$78,0))/10,3)</f>
        <v>3.0009999999999999</v>
      </c>
    </row>
    <row r="18" spans="1:8" x14ac:dyDescent="0.2">
      <c r="A18" s="119"/>
      <c r="B18" s="349">
        <v>2024</v>
      </c>
      <c r="C18" s="122">
        <f>ROUND(INDEX('Table 2B Wind'!$C$66:$C$78,MATCH($B18,'Table 2B Wind'!$A$66:$A$78,0))/10,3)</f>
        <v>3.4460000000000002</v>
      </c>
      <c r="D18" s="122">
        <f>ROUND(INDEX('Table 2B Wind'!$G$66:$G$78,MATCH($B18,'Table 2B Wind'!$A$66:$A$78,0))/10,3)</f>
        <v>3.95</v>
      </c>
      <c r="E18" s="122">
        <f>ROUND(INDEX('Table 2B Wind'!$D$66:$D$78,MATCH($B18,'Table 2B Wind'!$A$66:$A$78,0))/10,3)</f>
        <v>3.0369999999999999</v>
      </c>
      <c r="F18" s="122">
        <f>ROUND(INDEX('Table 2B Wind'!$H$66:$H$78,MATCH($B18,'Table 2B Wind'!$A$66:$A$78,0))/10,3)</f>
        <v>3.2610000000000001</v>
      </c>
    </row>
    <row r="19" spans="1:8" x14ac:dyDescent="0.2">
      <c r="A19" s="119"/>
      <c r="B19" s="349">
        <v>2025</v>
      </c>
      <c r="C19" s="122">
        <f>ROUND(INDEX('Table 2B Wind'!$C$66:$C$78,MATCH($B19,'Table 2B Wind'!$A$66:$A$78,0))/10,3)</f>
        <v>3.7040000000000002</v>
      </c>
      <c r="D19" s="122">
        <f>ROUND(INDEX('Table 2B Wind'!$G$66:$G$78,MATCH($B19,'Table 2B Wind'!$A$66:$A$78,0))/10,3)</f>
        <v>4.1319999999999997</v>
      </c>
      <c r="E19" s="122">
        <f>ROUND(INDEX('Table 2B Wind'!$D$66:$D$78,MATCH($B19,'Table 2B Wind'!$A$66:$A$78,0))/10,3)</f>
        <v>3.2930000000000001</v>
      </c>
      <c r="F19" s="122">
        <f>ROUND(INDEX('Table 2B Wind'!$H$66:$H$78,MATCH($B19,'Table 2B Wind'!$A$66:$A$78,0))/10,3)</f>
        <v>3.4020000000000001</v>
      </c>
    </row>
    <row r="20" spans="1:8" x14ac:dyDescent="0.2">
      <c r="A20" s="119"/>
      <c r="B20" s="349">
        <v>2026</v>
      </c>
      <c r="C20" s="122">
        <f>ROUND(INDEX('Table 2B Wind'!$C$66:$C$78,MATCH($B20,'Table 2B Wind'!$A$66:$A$78,0))/10,3)</f>
        <v>3.6869999999999998</v>
      </c>
      <c r="D20" s="122">
        <f>ROUND(INDEX('Table 2B Wind'!$G$66:$G$78,MATCH($B20,'Table 2B Wind'!$A$66:$A$78,0))/10,3)</f>
        <v>4.2779999999999996</v>
      </c>
      <c r="E20" s="122">
        <f>ROUND(INDEX('Table 2B Wind'!$D$66:$D$78,MATCH($B20,'Table 2B Wind'!$A$66:$A$78,0))/10,3)</f>
        <v>3.2679999999999998</v>
      </c>
      <c r="F20" s="122">
        <f>ROUND(INDEX('Table 2B Wind'!$H$66:$H$78,MATCH($B20,'Table 2B Wind'!$A$66:$A$78,0))/10,3)</f>
        <v>3.573</v>
      </c>
      <c r="H20" s="123"/>
    </row>
    <row r="21" spans="1:8" x14ac:dyDescent="0.2">
      <c r="A21" s="119"/>
      <c r="B21" s="349">
        <v>2027</v>
      </c>
      <c r="C21" s="122">
        <f>ROUND(INDEX('Table 2B Wind'!$C$66:$C$78,MATCH($B21,'Table 2B Wind'!$A$66:$A$78,0))/10,3)</f>
        <v>3.95</v>
      </c>
      <c r="D21" s="122">
        <f>ROUND(INDEX('Table 2B Wind'!$G$66:$G$78,MATCH($B21,'Table 2B Wind'!$A$66:$A$78,0))/10,3)</f>
        <v>4.4749999999999996</v>
      </c>
      <c r="E21" s="122">
        <f>ROUND(INDEX('Table 2B Wind'!$D$66:$D$78,MATCH($B21,'Table 2B Wind'!$A$66:$A$78,0))/10,3)</f>
        <v>3.5070000000000001</v>
      </c>
      <c r="F21" s="122">
        <f>ROUND(INDEX('Table 2B Wind'!$H$66:$H$78,MATCH($B21,'Table 2B Wind'!$A$66:$A$78,0))/10,3)</f>
        <v>3.7679999999999998</v>
      </c>
    </row>
    <row r="22" spans="1:8" x14ac:dyDescent="0.2">
      <c r="A22" s="119"/>
      <c r="B22" s="349">
        <v>2028</v>
      </c>
      <c r="C22" s="122">
        <f>ROUND(INDEX('Tables 3 to 5'!AA:AA,MATCH(B22,'Tables 3 to 5'!B:B,0))/10,3)</f>
        <v>3.4079999999999999</v>
      </c>
      <c r="D22" s="122">
        <f t="shared" ref="D22:D27" si="0">C22</f>
        <v>3.4079999999999999</v>
      </c>
      <c r="E22" s="122">
        <f>ROUND(INDEX('Tables 3 to 5'!AB:AB,MATCH(B22,'Tables 3 to 5'!B:B,0))/10,3)</f>
        <v>2.9849999999999999</v>
      </c>
      <c r="F22" s="122">
        <f t="shared" ref="F22:F27" si="1">E22</f>
        <v>2.9849999999999999</v>
      </c>
    </row>
    <row r="23" spans="1:8" x14ac:dyDescent="0.2">
      <c r="A23" s="119"/>
      <c r="B23" s="349">
        <v>2029</v>
      </c>
      <c r="C23" s="122">
        <f>ROUND(INDEX('Tables 3 to 5'!AA:AA,MATCH(B23,'Tables 3 to 5'!B:B,0))/10,3)</f>
        <v>3.468</v>
      </c>
      <c r="D23" s="122">
        <f t="shared" si="0"/>
        <v>3.468</v>
      </c>
      <c r="E23" s="122">
        <f>ROUND(INDEX('Tables 3 to 5'!AB:AB,MATCH(B23,'Tables 3 to 5'!B:B,0))/10,3)</f>
        <v>3.0369999999999999</v>
      </c>
      <c r="F23" s="122">
        <f t="shared" si="1"/>
        <v>3.0369999999999999</v>
      </c>
    </row>
    <row r="24" spans="1:8" x14ac:dyDescent="0.2">
      <c r="A24" s="119"/>
      <c r="B24" s="349">
        <v>2030</v>
      </c>
      <c r="C24" s="122">
        <f>ROUND(INDEX('Tables 3 to 5'!AA:AA,MATCH(B24,'Tables 3 to 5'!B:B,0))/10,3)</f>
        <v>3.641</v>
      </c>
      <c r="D24" s="122">
        <f t="shared" si="0"/>
        <v>3.641</v>
      </c>
      <c r="E24" s="122">
        <f>ROUND(INDEX('Tables 3 to 5'!AB:AB,MATCH(B24,'Tables 3 to 5'!B:B,0))/10,3)</f>
        <v>3.2010000000000001</v>
      </c>
      <c r="F24" s="122">
        <f t="shared" si="1"/>
        <v>3.2010000000000001</v>
      </c>
    </row>
    <row r="25" spans="1:8" x14ac:dyDescent="0.2">
      <c r="A25" s="119"/>
      <c r="B25" s="349">
        <v>2031</v>
      </c>
      <c r="C25" s="122">
        <f>ROUND(INDEX('Tables 3 to 5'!AA:AA,MATCH(B25,'Tables 3 to 5'!B:B,0))/10,3)</f>
        <v>3.7240000000000002</v>
      </c>
      <c r="D25" s="122">
        <f t="shared" si="0"/>
        <v>3.7240000000000002</v>
      </c>
      <c r="E25" s="122">
        <f>ROUND(INDEX('Tables 3 to 5'!AB:AB,MATCH(B25,'Tables 3 to 5'!B:B,0))/10,3)</f>
        <v>3.2730000000000001</v>
      </c>
      <c r="F25" s="122">
        <f t="shared" si="1"/>
        <v>3.2730000000000001</v>
      </c>
    </row>
    <row r="26" spans="1:8" x14ac:dyDescent="0.2">
      <c r="A26" s="119"/>
      <c r="B26" s="349">
        <v>2032</v>
      </c>
      <c r="C26" s="122">
        <f>ROUND(INDEX('Tables 3 to 5'!AA:AA,MATCH(B26,'Tables 3 to 5'!B:B,0))/10,3)</f>
        <v>3.8029999999999999</v>
      </c>
      <c r="D26" s="122">
        <f t="shared" si="0"/>
        <v>3.8029999999999999</v>
      </c>
      <c r="E26" s="122">
        <f>ROUND(INDEX('Tables 3 to 5'!AB:AB,MATCH(B26,'Tables 3 to 5'!B:B,0))/10,3)</f>
        <v>3.343</v>
      </c>
      <c r="F26" s="122">
        <f t="shared" si="1"/>
        <v>3.343</v>
      </c>
    </row>
    <row r="27" spans="1:8" x14ac:dyDescent="0.2">
      <c r="A27" s="119"/>
      <c r="B27" s="349">
        <v>2033</v>
      </c>
      <c r="C27" s="122">
        <f>ROUND(INDEX('Tables 3 to 5'!AA:AA,MATCH(B27,'Tables 3 to 5'!B:B,0))/10,3)</f>
        <v>3.9830000000000001</v>
      </c>
      <c r="D27" s="122">
        <f t="shared" si="0"/>
        <v>3.9830000000000001</v>
      </c>
      <c r="E27" s="122">
        <f>ROUND(INDEX('Tables 3 to 5'!AB:AB,MATCH(B27,'Tables 3 to 5'!B:B,0))/10,3)</f>
        <v>3.5129999999999999</v>
      </c>
      <c r="F27" s="122">
        <f t="shared" si="1"/>
        <v>3.5129999999999999</v>
      </c>
    </row>
    <row r="28" spans="1:8" x14ac:dyDescent="0.2">
      <c r="A28" s="119"/>
      <c r="B28" s="120"/>
      <c r="C28" s="122"/>
      <c r="D28" s="121"/>
      <c r="E28" s="122"/>
      <c r="F28" s="122"/>
    </row>
    <row r="29" spans="1:8" x14ac:dyDescent="0.2">
      <c r="A29" s="119"/>
      <c r="B29" s="120"/>
      <c r="C29" s="122"/>
      <c r="D29" s="121"/>
      <c r="E29" s="122"/>
      <c r="F29" s="122"/>
      <c r="H29" s="114" t="str">
        <f>'Table 6'!$P$38</f>
        <v>Discount Rate - 2015 IRP Page 141</v>
      </c>
    </row>
    <row r="30" spans="1:8" hidden="1" x14ac:dyDescent="0.2">
      <c r="A30" s="119"/>
      <c r="B30" s="120"/>
      <c r="C30" s="122"/>
      <c r="D30" s="121"/>
      <c r="E30" s="122"/>
      <c r="F30" s="122"/>
      <c r="H30" s="124">
        <f>'Table 6'!$P$39</f>
        <v>6.6600000000000006E-2</v>
      </c>
    </row>
    <row r="31" spans="1:8" hidden="1" x14ac:dyDescent="0.2">
      <c r="A31" s="119"/>
      <c r="B31" s="120"/>
      <c r="C31" s="122"/>
      <c r="D31" s="121"/>
      <c r="E31" s="122"/>
      <c r="F31" s="122"/>
    </row>
    <row r="32" spans="1:8" x14ac:dyDescent="0.2">
      <c r="A32" s="119"/>
      <c r="B32" s="120"/>
      <c r="C32" s="122"/>
      <c r="D32" s="121"/>
      <c r="E32" s="122"/>
      <c r="F32" s="122"/>
    </row>
    <row r="33" spans="1:6" x14ac:dyDescent="0.2">
      <c r="A33" s="119"/>
      <c r="B33" s="120"/>
      <c r="C33" s="119"/>
      <c r="D33" s="119"/>
      <c r="E33" s="119"/>
      <c r="F33" s="119"/>
    </row>
    <row r="34" spans="1:6" x14ac:dyDescent="0.2">
      <c r="A34" s="119"/>
      <c r="C34" s="117" t="s">
        <v>231</v>
      </c>
      <c r="D34" s="117"/>
      <c r="E34" s="117" t="s">
        <v>122</v>
      </c>
      <c r="F34" s="117"/>
    </row>
    <row r="35" spans="1:6" ht="14.25" x14ac:dyDescent="0.35">
      <c r="A35" s="119"/>
      <c r="B35" s="125"/>
      <c r="C35" s="118" t="s">
        <v>58</v>
      </c>
      <c r="D35" s="118" t="s">
        <v>59</v>
      </c>
      <c r="E35" s="118" t="s">
        <v>58</v>
      </c>
      <c r="F35" s="118" t="s">
        <v>59</v>
      </c>
    </row>
    <row r="36" spans="1:6" ht="24" x14ac:dyDescent="0.2">
      <c r="B36" s="126" t="s">
        <v>292</v>
      </c>
      <c r="C36" s="127">
        <f>-PMT('Table 6'!$P$39,COUNT(C11:C25),NPV('Table 6'!$P$39,C11:C25))</f>
        <v>2.9513172813023552</v>
      </c>
      <c r="D36" s="127">
        <f>-PMT('Table 6'!$P$39,COUNT(D11:D25),NPV('Table 6'!$P$39,D11:D25))</f>
        <v>3.2383235243405166</v>
      </c>
      <c r="E36" s="127">
        <f>-PMT('Table 6'!$P$39,COUNT(E11:E25),NPV('Table 6'!$P$39,E11:E25))</f>
        <v>2.594878597138139</v>
      </c>
      <c r="F36" s="127">
        <f>-PMT('Table 6'!$P$39,COUNT(F11:F25),NPV('Table 6'!$P$39,F11:F25))</f>
        <v>2.6446869610223498</v>
      </c>
    </row>
    <row r="37" spans="1:6" x14ac:dyDescent="0.2">
      <c r="A37" s="125"/>
    </row>
    <row r="38" spans="1:6" x14ac:dyDescent="0.2">
      <c r="A38" s="128"/>
      <c r="B38" s="145" t="s">
        <v>319</v>
      </c>
    </row>
    <row r="39" spans="1:6" x14ac:dyDescent="0.2">
      <c r="A39" s="129"/>
      <c r="B39" s="145" t="s">
        <v>188</v>
      </c>
    </row>
    <row r="40" spans="1:6" x14ac:dyDescent="0.2">
      <c r="A40" s="129"/>
      <c r="B40" s="119"/>
      <c r="C40" s="130"/>
      <c r="D40" s="130"/>
      <c r="E40" s="130"/>
      <c r="F40" s="130"/>
    </row>
    <row r="41" spans="1:6" x14ac:dyDescent="0.2">
      <c r="A41" s="129"/>
      <c r="B41" s="126"/>
      <c r="C41" s="130"/>
      <c r="D41" s="130"/>
      <c r="E41" s="130"/>
      <c r="F41" s="130"/>
    </row>
    <row r="42" spans="1:6" x14ac:dyDescent="0.2">
      <c r="A42" s="119"/>
      <c r="B42" s="125"/>
      <c r="C42" s="119"/>
      <c r="D42" s="119"/>
      <c r="E42" s="119"/>
      <c r="F42" s="119"/>
    </row>
    <row r="43" spans="1:6" x14ac:dyDescent="0.2">
      <c r="A43" s="128"/>
    </row>
    <row r="44" spans="1:6" x14ac:dyDescent="0.2">
      <c r="A44" s="128"/>
    </row>
  </sheetData>
  <printOptions horizontalCentered="1"/>
  <pageMargins left="0.25" right="0.25" top="0.75" bottom="0.75" header="0.3" footer="0.3"/>
  <pageSetup scale="89" orientation="landscape" copies="3" r:id="rId1"/>
  <headerFooter alignWithMargins="0">
    <oddFooter>&amp;L&amp;8NPC Group - &amp;F   ( &amp;A )&amp;C &amp;R &amp;8&amp;D  &amp;T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tabColor rgb="FFFF0000"/>
    <pageSetUpPr fitToPage="1"/>
  </sheetPr>
  <dimension ref="B1:AO228"/>
  <sheetViews>
    <sheetView workbookViewId="0">
      <selection activeCell="I18" sqref="I18"/>
    </sheetView>
  </sheetViews>
  <sheetFormatPr defaultColWidth="8.83203125" defaultRowHeight="12.75" x14ac:dyDescent="0.2"/>
  <cols>
    <col min="1" max="1" width="1.5" style="213" customWidth="1"/>
    <col min="2" max="2" width="25.83203125" style="213" bestFit="1" customWidth="1"/>
    <col min="3" max="4" width="18.83203125" style="213" customWidth="1"/>
    <col min="5" max="5" width="7.83203125" style="213" bestFit="1" customWidth="1"/>
    <col min="6" max="6" width="3" style="213" customWidth="1"/>
    <col min="7" max="7" width="8.1640625" style="213" customWidth="1"/>
    <col min="8" max="9" width="21.1640625" style="213" customWidth="1"/>
    <col min="10" max="12" width="8.83203125" style="213"/>
    <col min="13" max="13" width="14" style="265" bestFit="1" customWidth="1"/>
    <col min="14" max="14" width="9" style="268" bestFit="1" customWidth="1"/>
    <col min="15" max="15" width="7.83203125" style="268" bestFit="1" customWidth="1"/>
    <col min="16" max="16" width="9" style="268" bestFit="1" customWidth="1"/>
    <col min="17" max="17" width="10.33203125" style="268" customWidth="1"/>
    <col min="18" max="18" width="3.1640625" style="213" customWidth="1"/>
    <col min="19" max="19" width="10" style="132" customWidth="1"/>
    <col min="20" max="20" width="10.83203125" style="213" customWidth="1"/>
    <col min="21" max="21" width="10.1640625" style="213" customWidth="1"/>
    <col min="22" max="22" width="3.1640625" style="213" customWidth="1"/>
    <col min="23" max="23" width="8.83203125" style="213"/>
    <col min="24" max="24" width="10.1640625" style="213" customWidth="1"/>
    <col min="25" max="25" width="9.6640625" style="213" customWidth="1"/>
    <col min="26" max="26" width="8.83203125" style="213"/>
    <col min="27" max="27" width="9.83203125" style="213" customWidth="1"/>
    <col min="28" max="28" width="8.83203125" style="213"/>
    <col min="29" max="29" width="10.5" style="213" customWidth="1"/>
    <col min="30" max="16384" width="8.83203125" style="213"/>
  </cols>
  <sheetData>
    <row r="1" spans="2:41" ht="15.75" x14ac:dyDescent="0.25">
      <c r="B1" s="1" t="s">
        <v>211</v>
      </c>
      <c r="C1" s="212"/>
      <c r="D1" s="212"/>
      <c r="E1" s="212"/>
      <c r="F1" s="212"/>
      <c r="G1" s="212"/>
      <c r="H1" s="212"/>
      <c r="I1" s="212"/>
      <c r="M1" s="214" t="s">
        <v>212</v>
      </c>
      <c r="N1" s="215"/>
      <c r="O1" s="214"/>
      <c r="P1" s="215"/>
      <c r="Q1" s="216"/>
    </row>
    <row r="2" spans="2:41" ht="15.75" x14ac:dyDescent="0.25">
      <c r="B2" s="1" t="s">
        <v>213</v>
      </c>
      <c r="C2" s="212"/>
      <c r="D2" s="212"/>
      <c r="E2" s="212"/>
      <c r="F2" s="212"/>
      <c r="G2" s="212"/>
      <c r="H2" s="212"/>
      <c r="I2" s="212"/>
      <c r="M2" s="217"/>
      <c r="N2" s="218"/>
      <c r="O2" s="218"/>
      <c r="P2" s="218"/>
      <c r="Q2" s="218"/>
    </row>
    <row r="3" spans="2:41" x14ac:dyDescent="0.2">
      <c r="B3" s="212"/>
      <c r="C3" s="212"/>
      <c r="D3" s="212"/>
      <c r="E3" s="212"/>
      <c r="F3" s="212"/>
      <c r="G3" s="212"/>
      <c r="H3" s="212"/>
      <c r="I3" s="212"/>
      <c r="M3" s="219" t="str">
        <f>"Official Forward Price Curve dated "&amp;TEXT(C4,"mmmm YYYY")</f>
        <v>Official Forward Price Curve dated March 2016</v>
      </c>
      <c r="N3" s="220"/>
      <c r="O3" s="220"/>
      <c r="P3" s="220"/>
      <c r="Q3" s="220"/>
    </row>
    <row r="4" spans="2:41" ht="13.5" thickBot="1" x14ac:dyDescent="0.25">
      <c r="B4" s="221" t="s">
        <v>214</v>
      </c>
      <c r="C4" s="222">
        <f>'[9]Forward Price Curve'!$G$2</f>
        <v>42460</v>
      </c>
      <c r="D4" s="222"/>
      <c r="E4" s="212"/>
      <c r="F4" s="223"/>
      <c r="G4" s="212"/>
      <c r="H4" s="212"/>
      <c r="I4" s="212"/>
      <c r="M4" s="224"/>
      <c r="N4" s="225"/>
      <c r="O4" s="225"/>
      <c r="P4" s="225"/>
      <c r="Q4" s="225"/>
    </row>
    <row r="5" spans="2:41" ht="13.5" thickBot="1" x14ac:dyDescent="0.25">
      <c r="B5" s="221"/>
      <c r="C5" s="226"/>
      <c r="D5" s="226"/>
      <c r="F5" s="223"/>
      <c r="G5" s="466"/>
      <c r="H5" s="467" t="s">
        <v>315</v>
      </c>
      <c r="I5" s="468"/>
      <c r="M5" s="227"/>
      <c r="N5" s="228" t="s">
        <v>212</v>
      </c>
      <c r="O5" s="228"/>
      <c r="P5" s="228"/>
      <c r="Q5" s="228"/>
      <c r="W5" s="227"/>
      <c r="X5" s="228" t="s">
        <v>212</v>
      </c>
      <c r="Y5" s="228"/>
      <c r="Z5" s="228"/>
      <c r="AA5" s="228"/>
      <c r="AD5" s="213" t="s">
        <v>44</v>
      </c>
      <c r="AE5" s="213" t="s">
        <v>45</v>
      </c>
      <c r="AF5" s="213" t="s">
        <v>46</v>
      </c>
      <c r="AG5" s="213" t="s">
        <v>47</v>
      </c>
      <c r="AH5" s="213" t="s">
        <v>48</v>
      </c>
      <c r="AI5" s="213" t="s">
        <v>49</v>
      </c>
      <c r="AJ5" s="213" t="s">
        <v>50</v>
      </c>
      <c r="AK5" s="213" t="s">
        <v>51</v>
      </c>
      <c r="AL5" s="213" t="s">
        <v>52</v>
      </c>
      <c r="AM5" s="213" t="s">
        <v>53</v>
      </c>
      <c r="AN5" s="213" t="s">
        <v>54</v>
      </c>
      <c r="AO5" s="213" t="s">
        <v>55</v>
      </c>
    </row>
    <row r="6" spans="2:41" x14ac:dyDescent="0.2">
      <c r="B6" s="229" t="s">
        <v>215</v>
      </c>
      <c r="G6" s="230" t="s">
        <v>2</v>
      </c>
      <c r="H6" s="231" t="str">
        <f>C7</f>
        <v>IRP - Wyo NE</v>
      </c>
      <c r="I6" s="231" t="str">
        <f>D7</f>
        <v>West Side</v>
      </c>
      <c r="M6" s="232"/>
      <c r="N6" s="228" t="s">
        <v>104</v>
      </c>
      <c r="O6" s="228"/>
      <c r="P6" s="228" t="s">
        <v>105</v>
      </c>
      <c r="Q6" s="228"/>
      <c r="W6" s="232"/>
      <c r="X6" s="228" t="s">
        <v>104</v>
      </c>
      <c r="Y6" s="228"/>
      <c r="Z6" s="228" t="s">
        <v>105</v>
      </c>
      <c r="AA6" s="228"/>
      <c r="AC6" s="213" t="s">
        <v>224</v>
      </c>
      <c r="AD6" s="213">
        <v>1</v>
      </c>
      <c r="AE6" s="213">
        <v>2</v>
      </c>
      <c r="AF6" s="213">
        <v>3</v>
      </c>
      <c r="AG6" s="213">
        <v>4</v>
      </c>
      <c r="AH6" s="213">
        <v>5</v>
      </c>
      <c r="AI6" s="213">
        <v>6</v>
      </c>
      <c r="AJ6" s="213">
        <v>7</v>
      </c>
      <c r="AK6" s="213">
        <v>8</v>
      </c>
      <c r="AL6" s="213">
        <v>9</v>
      </c>
      <c r="AM6" s="213">
        <v>10</v>
      </c>
      <c r="AN6" s="213">
        <v>11</v>
      </c>
      <c r="AO6" s="213">
        <v>12</v>
      </c>
    </row>
    <row r="7" spans="2:41" ht="39" thickBot="1" x14ac:dyDescent="0.25">
      <c r="B7" s="233" t="s">
        <v>113</v>
      </c>
      <c r="C7" s="234" t="str">
        <f>C225</f>
        <v>IRP - Wyo NE</v>
      </c>
      <c r="D7" s="234" t="str">
        <f>D225</f>
        <v>West Side</v>
      </c>
      <c r="E7" s="235" t="s">
        <v>2</v>
      </c>
      <c r="G7" s="236"/>
      <c r="H7" s="237" t="s">
        <v>37</v>
      </c>
      <c r="I7" s="237" t="s">
        <v>37</v>
      </c>
      <c r="K7" s="213" t="s">
        <v>113</v>
      </c>
      <c r="L7" s="213" t="s">
        <v>2</v>
      </c>
      <c r="M7" s="238" t="s">
        <v>216</v>
      </c>
      <c r="N7" s="239" t="s">
        <v>217</v>
      </c>
      <c r="O7" s="239" t="s">
        <v>218</v>
      </c>
      <c r="P7" s="239" t="s">
        <v>217</v>
      </c>
      <c r="Q7" s="240" t="s">
        <v>218</v>
      </c>
      <c r="S7" s="132" t="s">
        <v>222</v>
      </c>
      <c r="T7" s="272" t="s">
        <v>221</v>
      </c>
      <c r="U7" s="272" t="s">
        <v>223</v>
      </c>
      <c r="V7" s="272"/>
      <c r="W7" s="238" t="s">
        <v>2</v>
      </c>
      <c r="X7" s="239" t="s">
        <v>217</v>
      </c>
      <c r="Y7" s="239" t="s">
        <v>218</v>
      </c>
      <c r="Z7" s="239" t="s">
        <v>217</v>
      </c>
      <c r="AA7" s="240" t="s">
        <v>218</v>
      </c>
      <c r="AD7" s="213" t="s">
        <v>44</v>
      </c>
      <c r="AE7" s="213" t="s">
        <v>45</v>
      </c>
      <c r="AF7" s="213" t="s">
        <v>46</v>
      </c>
      <c r="AG7" s="213" t="s">
        <v>47</v>
      </c>
      <c r="AH7" s="213" t="s">
        <v>48</v>
      </c>
      <c r="AI7" s="213" t="s">
        <v>49</v>
      </c>
      <c r="AJ7" s="213" t="s">
        <v>50</v>
      </c>
      <c r="AK7" s="213" t="s">
        <v>51</v>
      </c>
      <c r="AL7" s="213" t="s">
        <v>52</v>
      </c>
      <c r="AM7" s="213" t="s">
        <v>53</v>
      </c>
      <c r="AN7" s="213" t="s">
        <v>54</v>
      </c>
      <c r="AO7" s="213" t="s">
        <v>55</v>
      </c>
    </row>
    <row r="8" spans="2:41" x14ac:dyDescent="0.2">
      <c r="B8" s="241">
        <v>42370</v>
      </c>
      <c r="C8" s="242">
        <f>INDEX('[9]Forward Price Curve'!$A:$IV,MATCH(B8,'[9]Forward Price Curve'!$D$1:$D$65536,FALSE),$C$226)</f>
        <v>2.2757987901986261</v>
      </c>
      <c r="D8" s="242">
        <f>INDEX('[9]Forward Price Curve'!$A:$IV,MATCH(B8,'[9]Forward Price Curve'!$D$1:$D$65536,FALSE),$D$226)</f>
        <v>2.3763731830894246</v>
      </c>
      <c r="E8" s="243">
        <f t="shared" ref="E8:E71" si="0">YEAR(B8)</f>
        <v>2016</v>
      </c>
      <c r="G8" s="244">
        <f>YEAR(B8)</f>
        <v>2016</v>
      </c>
      <c r="H8" s="245">
        <f t="shared" ref="H8:H25" si="1">ROUND(AVERAGEIF($E$8:$E$223,$G8,$C$8:$C$223),2)</f>
        <v>2.02</v>
      </c>
      <c r="I8" s="245">
        <f t="shared" ref="I8:I25" si="2">ROUND(AVERAGEIF($E$8:$E$223,$G8,$D$8:$D$223),2)</f>
        <v>1.99</v>
      </c>
      <c r="K8" s="35">
        <f>MONTH(M8)</f>
        <v>1</v>
      </c>
      <c r="L8" s="274">
        <f>YEAR(M8)</f>
        <v>2016</v>
      </c>
      <c r="M8" s="246">
        <f t="shared" ref="M8:M71" si="3">B8</f>
        <v>42370</v>
      </c>
      <c r="N8" s="247">
        <f>INDEX('[9]Forward Price Curve'!$A$1:$P$65536,MATCH($M8,'[9]Forward Price Curve'!$D$1:$D$65536,FALSE),N$226)</f>
        <v>22.762000000000008</v>
      </c>
      <c r="O8" s="247">
        <f>INDEX('[9]Forward Price Curve'!$A$1:$P$65536,MATCH($M8,'[9]Forward Price Curve'!$D$1:$D$65536,FALSE),O$226)</f>
        <v>21.312800000000003</v>
      </c>
      <c r="P8" s="247">
        <f>INDEX('[9]Forward Price Curve'!$A$1:$P$65536,MATCH($M8,'[9]Forward Price Curve'!$D$1:$D$65536,FALSE),P$226)</f>
        <v>21.876976744186056</v>
      </c>
      <c r="Q8" s="248">
        <f>INDEX('[9]Forward Price Curve'!$A$1:$P$65536,MATCH($M8,'[9]Forward Price Curve'!$D$1:$D$65536,FALSE),Q$226)</f>
        <v>19.874418604651169</v>
      </c>
      <c r="S8" s="271">
        <f>INDEX('[9]Forward Price Curve'!$V:$V,MATCH($M8,'[9]Forward Price Curve'!$D:$D,FALSE),1)</f>
        <v>20.647741935483879</v>
      </c>
      <c r="T8" s="273">
        <f>O8/S8</f>
        <v>1.0322097237845267</v>
      </c>
      <c r="U8" s="273">
        <f>Q8/S8</f>
        <v>0.96254683280868958</v>
      </c>
      <c r="W8" s="244">
        <f>G8</f>
        <v>2016</v>
      </c>
      <c r="X8" s="249">
        <f t="shared" ref="X8:X25" si="4">ROUND(AVERAGEIF($E$8:$E$223,$W8,N$8:N$223),2)</f>
        <v>19.079999999999998</v>
      </c>
      <c r="Y8" s="249">
        <f t="shared" ref="Y8:Y25" si="5">ROUND(AVERAGEIF($E$8:$E$223,$W8,O$8:O$223),2)</f>
        <v>22.56</v>
      </c>
      <c r="Z8" s="249">
        <f t="shared" ref="Z8:Z25" si="6">ROUND(AVERAGEIF($E$8:$E$223,$W8,P$8:P$223),2)</f>
        <v>15.07</v>
      </c>
      <c r="AA8" s="249">
        <f t="shared" ref="AA8:AA25" si="7">ROUND(AVERAGEIF($E$8:$E$223,$W8,Q$8:Q$223),2)</f>
        <v>18.71</v>
      </c>
      <c r="AC8" s="213">
        <v>2015</v>
      </c>
      <c r="AD8" s="260">
        <f t="shared" ref="AD8:AO21" si="8">SUMIFS($T:$T,$L:$L,$AC8,$K:$K,AD$6)</f>
        <v>0</v>
      </c>
      <c r="AE8" s="260">
        <f t="shared" si="8"/>
        <v>0</v>
      </c>
      <c r="AF8" s="260">
        <f t="shared" si="8"/>
        <v>0</v>
      </c>
      <c r="AG8" s="260">
        <f t="shared" si="8"/>
        <v>0</v>
      </c>
      <c r="AH8" s="260">
        <f t="shared" si="8"/>
        <v>0</v>
      </c>
      <c r="AI8" s="260">
        <f t="shared" si="8"/>
        <v>0</v>
      </c>
      <c r="AJ8" s="260">
        <f t="shared" si="8"/>
        <v>0</v>
      </c>
      <c r="AK8" s="260">
        <f t="shared" si="8"/>
        <v>0</v>
      </c>
      <c r="AL8" s="260">
        <f t="shared" si="8"/>
        <v>0</v>
      </c>
      <c r="AM8" s="260">
        <f t="shared" si="8"/>
        <v>0</v>
      </c>
      <c r="AN8" s="260">
        <f t="shared" si="8"/>
        <v>0</v>
      </c>
      <c r="AO8" s="260">
        <f t="shared" si="8"/>
        <v>0</v>
      </c>
    </row>
    <row r="9" spans="2:41" x14ac:dyDescent="0.2">
      <c r="B9" s="250">
        <f t="shared" ref="B9:B72" si="9">EDATE(B8,1)</f>
        <v>42401</v>
      </c>
      <c r="C9" s="242">
        <f>INDEX('[9]Forward Price Curve'!$A:$IV,MATCH(B9,'[9]Forward Price Curve'!$D$1:$D$65536,FALSE),$C$226)</f>
        <v>1.8289735727586562</v>
      </c>
      <c r="D9" s="242">
        <f>INDEX('[9]Forward Price Curve'!$A:$IV,MATCH(B9,'[9]Forward Price Curve'!$D$1:$D$65536,FALSE),$D$226)</f>
        <v>1.7757686521274554</v>
      </c>
      <c r="E9" s="251">
        <f t="shared" si="0"/>
        <v>2016</v>
      </c>
      <c r="G9" s="244">
        <f t="shared" ref="G9:G25" si="10">G8+1</f>
        <v>2017</v>
      </c>
      <c r="H9" s="245">
        <f t="shared" si="1"/>
        <v>2.64</v>
      </c>
      <c r="I9" s="245">
        <f t="shared" si="2"/>
        <v>2.68</v>
      </c>
      <c r="K9" s="35">
        <f t="shared" ref="K9:K72" si="11">MONTH(M9)</f>
        <v>2</v>
      </c>
      <c r="L9" s="274">
        <f t="shared" ref="L9:L72" si="12">YEAR(M9)</f>
        <v>2016</v>
      </c>
      <c r="M9" s="246">
        <f t="shared" si="3"/>
        <v>42401</v>
      </c>
      <c r="N9" s="247">
        <f>INDEX('[9]Forward Price Curve'!$A$1:$P$65536,MATCH($M9,'[9]Forward Price Curve'!$D$1:$D$65536,FALSE),N$226)</f>
        <v>16.699199999999998</v>
      </c>
      <c r="O9" s="247">
        <f>INDEX('[9]Forward Price Curve'!$A$1:$P$65536,MATCH($M9,'[9]Forward Price Curve'!$D$1:$D$65536,FALSE),O$226)</f>
        <v>18.904399999999999</v>
      </c>
      <c r="P9" s="247">
        <f>INDEX('[9]Forward Price Curve'!$A$1:$P$65536,MATCH($M9,'[9]Forward Price Curve'!$D$1:$D$65536,FALSE),P$226)</f>
        <v>15.720540540540544</v>
      </c>
      <c r="Q9" s="248">
        <f>INDEX('[9]Forward Price Curve'!$A$1:$P$65536,MATCH($M9,'[9]Forward Price Curve'!$D$1:$D$65536,FALSE),Q$226)</f>
        <v>16.943513513513512</v>
      </c>
      <c r="S9" s="271">
        <f>INDEX('[9]Forward Price Curve'!$V:$V,MATCH($M9,'[9]Forward Price Curve'!$D:$D,FALSE),1)</f>
        <v>18.07045977011494</v>
      </c>
      <c r="T9" s="273">
        <f t="shared" ref="T9:T72" si="13">O9/S9</f>
        <v>1.0461493642383264</v>
      </c>
      <c r="U9" s="273">
        <f t="shared" ref="U9:U72" si="14">Q9/S9</f>
        <v>0.93763599427253197</v>
      </c>
      <c r="W9" s="244">
        <f t="shared" ref="W9:W25" si="15">W8+1</f>
        <v>2017</v>
      </c>
      <c r="X9" s="249">
        <f t="shared" si="4"/>
        <v>23.95</v>
      </c>
      <c r="Y9" s="249">
        <f t="shared" si="5"/>
        <v>26.33</v>
      </c>
      <c r="Z9" s="249">
        <f t="shared" si="6"/>
        <v>19.18</v>
      </c>
      <c r="AA9" s="249">
        <f t="shared" si="7"/>
        <v>22.4</v>
      </c>
      <c r="AC9" s="213">
        <f>AC8+1</f>
        <v>2016</v>
      </c>
      <c r="AD9" s="260">
        <f t="shared" si="8"/>
        <v>1.0322097237845267</v>
      </c>
      <c r="AE9" s="260">
        <f t="shared" si="8"/>
        <v>1.0461493642383264</v>
      </c>
      <c r="AF9" s="260">
        <f t="shared" si="8"/>
        <v>1.0582872078986791</v>
      </c>
      <c r="AG9" s="260">
        <f t="shared" si="8"/>
        <v>1.0632279534109819</v>
      </c>
      <c r="AH9" s="260">
        <f t="shared" si="8"/>
        <v>1.0876466067430748</v>
      </c>
      <c r="AI9" s="260">
        <f t="shared" si="8"/>
        <v>1.1007957559681696</v>
      </c>
      <c r="AJ9" s="260">
        <f t="shared" si="8"/>
        <v>1.166814189890049</v>
      </c>
      <c r="AK9" s="260">
        <f t="shared" si="8"/>
        <v>1.1257892647190666</v>
      </c>
      <c r="AL9" s="260">
        <f t="shared" si="8"/>
        <v>1.0822868311751772</v>
      </c>
      <c r="AM9" s="260">
        <f t="shared" si="8"/>
        <v>1.065261102823559</v>
      </c>
      <c r="AN9" s="260">
        <f t="shared" si="8"/>
        <v>1.041274041545222</v>
      </c>
      <c r="AO9" s="260">
        <f t="shared" si="8"/>
        <v>1.0794978682889016</v>
      </c>
    </row>
    <row r="10" spans="2:41" x14ac:dyDescent="0.2">
      <c r="B10" s="250">
        <f t="shared" si="9"/>
        <v>42430</v>
      </c>
      <c r="C10" s="242">
        <f>INDEX('[9]Forward Price Curve'!$A:$IV,MATCH(B10,'[9]Forward Price Curve'!$D$1:$D$65536,FALSE),$C$226)</f>
        <v>1.5765269848510393</v>
      </c>
      <c r="D10" s="242">
        <f>INDEX('[9]Forward Price Curve'!$A:$IV,MATCH(B10,'[9]Forward Price Curve'!$D$1:$D$65536,FALSE),$D$226)</f>
        <v>1.486094053934667</v>
      </c>
      <c r="E10" s="251">
        <f t="shared" si="0"/>
        <v>2016</v>
      </c>
      <c r="G10" s="244">
        <f t="shared" si="10"/>
        <v>2018</v>
      </c>
      <c r="H10" s="245">
        <f t="shared" si="1"/>
        <v>2.74</v>
      </c>
      <c r="I10" s="245">
        <f t="shared" si="2"/>
        <v>2.81</v>
      </c>
      <c r="K10" s="35">
        <f t="shared" si="11"/>
        <v>3</v>
      </c>
      <c r="L10" s="274">
        <f t="shared" si="12"/>
        <v>2016</v>
      </c>
      <c r="M10" s="246">
        <f t="shared" si="3"/>
        <v>42430</v>
      </c>
      <c r="N10" s="247">
        <f>INDEX('[9]Forward Price Curve'!$A$1:$P$65536,MATCH($M10,'[9]Forward Price Curve'!$D$1:$D$65536,FALSE),N$226)</f>
        <v>13.031851851851851</v>
      </c>
      <c r="O10" s="247">
        <f>INDEX('[9]Forward Price Curve'!$A$1:$P$65536,MATCH($M10,'[9]Forward Price Curve'!$D$1:$D$65536,FALSE),O$226)</f>
        <v>17.09888888888889</v>
      </c>
      <c r="P10" s="247">
        <f>INDEX('[9]Forward Price Curve'!$A$1:$P$65536,MATCH($M10,'[9]Forward Price Curve'!$D$1:$D$65536,FALSE),P$226)</f>
        <v>9.3648717948717941</v>
      </c>
      <c r="Q10" s="248">
        <f>INDEX('[9]Forward Price Curve'!$A$1:$P$65536,MATCH($M10,'[9]Forward Price Curve'!$D$1:$D$65536,FALSE),Q$226)</f>
        <v>14.848974358974358</v>
      </c>
      <c r="S10" s="271">
        <f>INDEX('[9]Forward Price Curve'!$V:$V,MATCH($M10,'[9]Forward Price Curve'!$D:$D,FALSE),1)</f>
        <v>16.157134624012148</v>
      </c>
      <c r="T10" s="273">
        <f t="shared" si="13"/>
        <v>1.0582872078986791</v>
      </c>
      <c r="U10" s="273">
        <f t="shared" si="14"/>
        <v>0.91903513243656154</v>
      </c>
      <c r="W10" s="244">
        <f t="shared" si="15"/>
        <v>2018</v>
      </c>
      <c r="X10" s="249">
        <f t="shared" si="4"/>
        <v>26.28</v>
      </c>
      <c r="Y10" s="249">
        <f t="shared" si="5"/>
        <v>28</v>
      </c>
      <c r="Z10" s="249">
        <f t="shared" si="6"/>
        <v>20.53</v>
      </c>
      <c r="AA10" s="249">
        <f t="shared" si="7"/>
        <v>23.77</v>
      </c>
      <c r="AC10" s="213">
        <f t="shared" ref="AC10:AC21" si="16">AC9+1</f>
        <v>2017</v>
      </c>
      <c r="AD10" s="260">
        <f t="shared" si="8"/>
        <v>1.0550351969282681</v>
      </c>
      <c r="AE10" s="260">
        <f t="shared" si="8"/>
        <v>1.0561683783441107</v>
      </c>
      <c r="AF10" s="260">
        <f t="shared" si="8"/>
        <v>1.0659551393593376</v>
      </c>
      <c r="AG10" s="260">
        <f t="shared" si="8"/>
        <v>1.044748221509276</v>
      </c>
      <c r="AH10" s="260">
        <f t="shared" si="8"/>
        <v>1.0929276181452865</v>
      </c>
      <c r="AI10" s="260">
        <f t="shared" si="8"/>
        <v>1.0850282457531031</v>
      </c>
      <c r="AJ10" s="260">
        <f t="shared" si="8"/>
        <v>1.1414896799282082</v>
      </c>
      <c r="AK10" s="260">
        <f t="shared" si="8"/>
        <v>1.1099507683126957</v>
      </c>
      <c r="AL10" s="260">
        <f t="shared" si="8"/>
        <v>1.0319280296348561</v>
      </c>
      <c r="AM10" s="260">
        <f t="shared" si="8"/>
        <v>1.0687379066267551</v>
      </c>
      <c r="AN10" s="260">
        <f t="shared" si="8"/>
        <v>1.0417158727508116</v>
      </c>
      <c r="AO10" s="260">
        <f t="shared" si="8"/>
        <v>1.0397831138337543</v>
      </c>
    </row>
    <row r="11" spans="2:41" x14ac:dyDescent="0.2">
      <c r="B11" s="250">
        <f t="shared" si="9"/>
        <v>42461</v>
      </c>
      <c r="C11" s="242">
        <f>INDEX('[9]Forward Price Curve'!$A:$IV,MATCH(B11,'[9]Forward Price Curve'!$D$1:$D$65536,FALSE),$C$226)</f>
        <v>1.5998305359155653</v>
      </c>
      <c r="D11" s="242">
        <f>INDEX('[9]Forward Price Curve'!$A:$IV,MATCH(B11,'[9]Forward Price Curve'!$D$1:$D$65536,FALSE),$D$226)</f>
        <v>1.5540841500759495</v>
      </c>
      <c r="E11" s="251">
        <f t="shared" si="0"/>
        <v>2016</v>
      </c>
      <c r="G11" s="244">
        <f t="shared" si="10"/>
        <v>2019</v>
      </c>
      <c r="H11" s="245">
        <f t="shared" si="1"/>
        <v>2.8</v>
      </c>
      <c r="I11" s="245">
        <f t="shared" si="2"/>
        <v>2.93</v>
      </c>
      <c r="K11" s="35">
        <f t="shared" si="11"/>
        <v>4</v>
      </c>
      <c r="L11" s="274">
        <f t="shared" si="12"/>
        <v>2016</v>
      </c>
      <c r="M11" s="246">
        <f t="shared" si="3"/>
        <v>42461</v>
      </c>
      <c r="N11" s="247">
        <f>INDEX('[9]Forward Price Curve'!$A$1:$P$65536,MATCH($M11,'[9]Forward Price Curve'!$D$1:$D$65536,FALSE),N$226)</f>
        <v>12.25</v>
      </c>
      <c r="O11" s="247">
        <f>INDEX('[9]Forward Price Curve'!$A$1:$P$65536,MATCH($M11,'[9]Forward Price Curve'!$D$1:$D$65536,FALSE),O$226)</f>
        <v>17.75</v>
      </c>
      <c r="P11" s="247">
        <f>INDEX('[9]Forward Price Curve'!$A$1:$P$65536,MATCH($M11,'[9]Forward Price Curve'!$D$1:$D$65536,FALSE),P$226)</f>
        <v>8.25</v>
      </c>
      <c r="Q11" s="248">
        <f>INDEX('[9]Forward Price Curve'!$A$1:$P$65536,MATCH($M11,'[9]Forward Price Curve'!$D$1:$D$65536,FALSE),Q$226)</f>
        <v>15.25</v>
      </c>
      <c r="S11" s="271">
        <f>INDEX('[9]Forward Price Curve'!$V:$V,MATCH($M11,'[9]Forward Price Curve'!$D:$D,FALSE),1)</f>
        <v>16.694444444444443</v>
      </c>
      <c r="T11" s="273">
        <f t="shared" si="13"/>
        <v>1.0632279534109819</v>
      </c>
      <c r="U11" s="273">
        <f t="shared" si="14"/>
        <v>0.91347753743760407</v>
      </c>
      <c r="W11" s="244">
        <f t="shared" si="15"/>
        <v>2019</v>
      </c>
      <c r="X11" s="249">
        <f t="shared" si="4"/>
        <v>27.54</v>
      </c>
      <c r="Y11" s="249">
        <f t="shared" si="5"/>
        <v>29.01</v>
      </c>
      <c r="Z11" s="249">
        <f t="shared" si="6"/>
        <v>21.51</v>
      </c>
      <c r="AA11" s="249">
        <f t="shared" si="7"/>
        <v>24.53</v>
      </c>
      <c r="AC11" s="213">
        <f t="shared" si="16"/>
        <v>2018</v>
      </c>
      <c r="AD11" s="260">
        <f t="shared" si="8"/>
        <v>1.0380151702267744</v>
      </c>
      <c r="AE11" s="260">
        <f t="shared" si="8"/>
        <v>1.0399180360168658</v>
      </c>
      <c r="AF11" s="260">
        <f t="shared" si="8"/>
        <v>1.0311230640454747</v>
      </c>
      <c r="AG11" s="260">
        <f t="shared" si="8"/>
        <v>1.0968662578767414</v>
      </c>
      <c r="AH11" s="260">
        <f t="shared" si="8"/>
        <v>1.1135527633860771</v>
      </c>
      <c r="AI11" s="260">
        <f t="shared" si="8"/>
        <v>1.1281540774450451</v>
      </c>
      <c r="AJ11" s="260">
        <f t="shared" si="8"/>
        <v>1.1540705200742318</v>
      </c>
      <c r="AK11" s="260">
        <f t="shared" si="8"/>
        <v>1.096857923497268</v>
      </c>
      <c r="AL11" s="260">
        <f t="shared" si="8"/>
        <v>1.0565501087502092</v>
      </c>
      <c r="AM11" s="260">
        <f t="shared" si="8"/>
        <v>1.0451723705081537</v>
      </c>
      <c r="AN11" s="260">
        <f t="shared" si="8"/>
        <v>1.0356246660080053</v>
      </c>
      <c r="AO11" s="260">
        <f t="shared" si="8"/>
        <v>1.037316006264265</v>
      </c>
    </row>
    <row r="12" spans="2:41" x14ac:dyDescent="0.2">
      <c r="B12" s="250">
        <f t="shared" si="9"/>
        <v>42491</v>
      </c>
      <c r="C12" s="242">
        <f>INDEX('[9]Forward Price Curve'!$A:$IV,MATCH(B12,'[9]Forward Price Curve'!$D$1:$D$65536,FALSE),$C$226)</f>
        <v>1.7243309970283842</v>
      </c>
      <c r="D12" s="242">
        <f>INDEX('[9]Forward Price Curve'!$A:$IV,MATCH(B12,'[9]Forward Price Curve'!$D$1:$D$65536,FALSE),$D$226)</f>
        <v>1.5466027429240505</v>
      </c>
      <c r="E12" s="251">
        <f t="shared" si="0"/>
        <v>2016</v>
      </c>
      <c r="G12" s="244">
        <f t="shared" si="10"/>
        <v>2020</v>
      </c>
      <c r="H12" s="245">
        <f t="shared" si="1"/>
        <v>2.91</v>
      </c>
      <c r="I12" s="245">
        <f t="shared" si="2"/>
        <v>3.11</v>
      </c>
      <c r="K12" s="35">
        <f t="shared" si="11"/>
        <v>5</v>
      </c>
      <c r="L12" s="274">
        <f t="shared" si="12"/>
        <v>2016</v>
      </c>
      <c r="M12" s="246">
        <f t="shared" si="3"/>
        <v>42491</v>
      </c>
      <c r="N12" s="247">
        <f>INDEX('[9]Forward Price Curve'!$A$1:$P$65536,MATCH($M12,'[9]Forward Price Curve'!$D$1:$D$65536,FALSE),N$226)</f>
        <v>10.45</v>
      </c>
      <c r="O12" s="247">
        <f>INDEX('[9]Forward Price Curve'!$A$1:$P$65536,MATCH($M12,'[9]Forward Price Curve'!$D$1:$D$65536,FALSE),O$226)</f>
        <v>17.5</v>
      </c>
      <c r="P12" s="247">
        <f>INDEX('[9]Forward Price Curve'!$A$1:$P$65536,MATCH($M12,'[9]Forward Price Curve'!$D$1:$D$65536,FALSE),P$226)</f>
        <v>4.47</v>
      </c>
      <c r="Q12" s="248">
        <f>INDEX('[9]Forward Price Curve'!$A$1:$P$65536,MATCH($M12,'[9]Forward Price Curve'!$D$1:$D$65536,FALSE),Q$226)</f>
        <v>14.45</v>
      </c>
      <c r="S12" s="271">
        <f>INDEX('[9]Forward Price Curve'!$V:$V,MATCH($M12,'[9]Forward Price Curve'!$D:$D,FALSE),1)</f>
        <v>16.089784946236559</v>
      </c>
      <c r="T12" s="273">
        <f t="shared" si="13"/>
        <v>1.0876466067430748</v>
      </c>
      <c r="U12" s="273">
        <f t="shared" si="14"/>
        <v>0.89808534099642456</v>
      </c>
      <c r="W12" s="244">
        <f t="shared" si="15"/>
        <v>2020</v>
      </c>
      <c r="X12" s="249">
        <f t="shared" si="4"/>
        <v>28.84</v>
      </c>
      <c r="Y12" s="249">
        <f t="shared" si="5"/>
        <v>30.36</v>
      </c>
      <c r="Z12" s="249">
        <f t="shared" si="6"/>
        <v>23.17</v>
      </c>
      <c r="AA12" s="249">
        <f t="shared" si="7"/>
        <v>25.55</v>
      </c>
      <c r="AC12" s="213">
        <f t="shared" si="16"/>
        <v>2019</v>
      </c>
      <c r="AD12" s="260">
        <f t="shared" si="8"/>
        <v>1.0350293410077118</v>
      </c>
      <c r="AE12" s="260">
        <f t="shared" si="8"/>
        <v>1.037847314860693</v>
      </c>
      <c r="AF12" s="260">
        <f t="shared" si="8"/>
        <v>1.030788416345934</v>
      </c>
      <c r="AG12" s="260">
        <f t="shared" si="8"/>
        <v>1.11804133815394</v>
      </c>
      <c r="AH12" s="260">
        <f t="shared" si="8"/>
        <v>1.1405165525561283</v>
      </c>
      <c r="AI12" s="260">
        <f t="shared" si="8"/>
        <v>1.1602943369959726</v>
      </c>
      <c r="AJ12" s="260">
        <f t="shared" si="8"/>
        <v>1.1386929866515936</v>
      </c>
      <c r="AK12" s="260">
        <f t="shared" si="8"/>
        <v>1.091549295774648</v>
      </c>
      <c r="AL12" s="260">
        <f t="shared" si="8"/>
        <v>1.0518303231610269</v>
      </c>
      <c r="AM12" s="260">
        <f t="shared" si="8"/>
        <v>1.0407858316516139</v>
      </c>
      <c r="AN12" s="260">
        <f t="shared" si="8"/>
        <v>1.0312179949497644</v>
      </c>
      <c r="AO12" s="260">
        <f t="shared" si="8"/>
        <v>1.0328826043265569</v>
      </c>
    </row>
    <row r="13" spans="2:41" x14ac:dyDescent="0.2">
      <c r="B13" s="250">
        <f t="shared" si="9"/>
        <v>42522</v>
      </c>
      <c r="C13" s="242">
        <f>INDEX('[9]Forward Price Curve'!$A:$IV,MATCH(B13,'[9]Forward Price Curve'!$D$1:$D$65536,FALSE),$C$226)</f>
        <v>1.8165535608156576</v>
      </c>
      <c r="D13" s="242">
        <f>INDEX('[9]Forward Price Curve'!$A:$IV,MATCH(B13,'[9]Forward Price Curve'!$D$1:$D$65536,FALSE),$D$226)</f>
        <v>1.5952576873670885</v>
      </c>
      <c r="E13" s="251">
        <f t="shared" si="0"/>
        <v>2016</v>
      </c>
      <c r="G13" s="244">
        <f t="shared" si="10"/>
        <v>2021</v>
      </c>
      <c r="H13" s="245">
        <f t="shared" si="1"/>
        <v>3.05</v>
      </c>
      <c r="I13" s="245">
        <f t="shared" si="2"/>
        <v>3.26</v>
      </c>
      <c r="K13" s="35">
        <f t="shared" si="11"/>
        <v>6</v>
      </c>
      <c r="L13" s="274">
        <f t="shared" si="12"/>
        <v>2016</v>
      </c>
      <c r="M13" s="246">
        <f t="shared" si="3"/>
        <v>42522</v>
      </c>
      <c r="N13" s="247">
        <f>INDEX('[9]Forward Price Curve'!$A$1:$P$65536,MATCH($M13,'[9]Forward Price Curve'!$D$1:$D$65536,FALSE),N$226)</f>
        <v>13</v>
      </c>
      <c r="O13" s="247">
        <f>INDEX('[9]Forward Price Curve'!$A$1:$P$65536,MATCH($M13,'[9]Forward Price Curve'!$D$1:$D$65536,FALSE),O$226)</f>
        <v>20.75</v>
      </c>
      <c r="P13" s="247">
        <f>INDEX('[9]Forward Price Curve'!$A$1:$P$65536,MATCH($M13,'[9]Forward Price Curve'!$D$1:$D$65536,FALSE),P$226)</f>
        <v>6.5</v>
      </c>
      <c r="Q13" s="248">
        <f>INDEX('[9]Forward Price Curve'!$A$1:$P$65536,MATCH($M13,'[9]Forward Price Curve'!$D$1:$D$65536,FALSE),Q$226)</f>
        <v>16.25</v>
      </c>
      <c r="S13" s="271">
        <f>INDEX('[9]Forward Price Curve'!$V:$V,MATCH($M13,'[9]Forward Price Curve'!$D:$D,FALSE),1)</f>
        <v>18.850000000000001</v>
      </c>
      <c r="T13" s="273">
        <f t="shared" si="13"/>
        <v>1.1007957559681696</v>
      </c>
      <c r="U13" s="273">
        <f t="shared" si="14"/>
        <v>0.86206896551724133</v>
      </c>
      <c r="W13" s="244">
        <f t="shared" si="15"/>
        <v>2021</v>
      </c>
      <c r="X13" s="249">
        <f t="shared" si="4"/>
        <v>30.25</v>
      </c>
      <c r="Y13" s="249">
        <f t="shared" si="5"/>
        <v>32.21</v>
      </c>
      <c r="Z13" s="249">
        <f t="shared" si="6"/>
        <v>24.76</v>
      </c>
      <c r="AA13" s="249">
        <f t="shared" si="7"/>
        <v>27.27</v>
      </c>
      <c r="AC13" s="213">
        <f t="shared" si="16"/>
        <v>2020</v>
      </c>
      <c r="AD13" s="260">
        <f t="shared" si="8"/>
        <v>1.0357350377687391</v>
      </c>
      <c r="AE13" s="260">
        <f t="shared" si="8"/>
        <v>1.0380735437683049</v>
      </c>
      <c r="AF13" s="260">
        <f t="shared" si="8"/>
        <v>1.0317497247477847</v>
      </c>
      <c r="AG13" s="260">
        <f t="shared" si="8"/>
        <v>1.1053538392730082</v>
      </c>
      <c r="AH13" s="260">
        <f t="shared" si="8"/>
        <v>1.1331891549741533</v>
      </c>
      <c r="AI13" s="260">
        <f t="shared" si="8"/>
        <v>1.1374987259198859</v>
      </c>
      <c r="AJ13" s="260">
        <f t="shared" si="8"/>
        <v>1.1477895305548755</v>
      </c>
      <c r="AK13" s="260">
        <f t="shared" si="8"/>
        <v>1.106820318603758</v>
      </c>
      <c r="AL13" s="260">
        <f t="shared" si="8"/>
        <v>1.0618334510051652</v>
      </c>
      <c r="AM13" s="260">
        <f t="shared" si="8"/>
        <v>1.0461545809628938</v>
      </c>
      <c r="AN13" s="260">
        <f t="shared" si="8"/>
        <v>1.0395565860761746</v>
      </c>
      <c r="AO13" s="260">
        <f t="shared" si="8"/>
        <v>1.0373958523168603</v>
      </c>
    </row>
    <row r="14" spans="2:41" x14ac:dyDescent="0.2">
      <c r="B14" s="250">
        <f t="shared" si="9"/>
        <v>42552</v>
      </c>
      <c r="C14" s="242">
        <f>INDEX('[9]Forward Price Curve'!$A:$IV,MATCH(B14,'[9]Forward Price Curve'!$D$1:$D$65536,FALSE),$C$226)</f>
        <v>1.9359305461625169</v>
      </c>
      <c r="D14" s="242">
        <f>INDEX('[9]Forward Price Curve'!$A:$IV,MATCH(B14,'[9]Forward Price Curve'!$D$1:$D$65536,FALSE),$D$226)</f>
        <v>1.8385324095822781</v>
      </c>
      <c r="E14" s="251">
        <f t="shared" si="0"/>
        <v>2016</v>
      </c>
      <c r="G14" s="244">
        <f t="shared" si="10"/>
        <v>2022</v>
      </c>
      <c r="H14" s="245">
        <f t="shared" si="1"/>
        <v>3.36</v>
      </c>
      <c r="I14" s="245">
        <f t="shared" si="2"/>
        <v>3.55</v>
      </c>
      <c r="K14" s="35">
        <f t="shared" si="11"/>
        <v>7</v>
      </c>
      <c r="L14" s="274">
        <f t="shared" si="12"/>
        <v>2016</v>
      </c>
      <c r="M14" s="246">
        <f t="shared" si="3"/>
        <v>42552</v>
      </c>
      <c r="N14" s="247">
        <f>INDEX('[9]Forward Price Curve'!$A$1:$P$65536,MATCH($M14,'[9]Forward Price Curve'!$D$1:$D$65536,FALSE),N$226)</f>
        <v>20.475000000000001</v>
      </c>
      <c r="O14" s="247">
        <f>INDEX('[9]Forward Price Curve'!$A$1:$P$65536,MATCH($M14,'[9]Forward Price Curve'!$D$1:$D$65536,FALSE),O$226)</f>
        <v>27.215</v>
      </c>
      <c r="P14" s="247">
        <f>INDEX('[9]Forward Price Curve'!$A$1:$P$65536,MATCH($M14,'[9]Forward Price Curve'!$D$1:$D$65536,FALSE),P$226)</f>
        <v>12.21</v>
      </c>
      <c r="Q14" s="248">
        <f>INDEX('[9]Forward Price Curve'!$A$1:$P$65536,MATCH($M14,'[9]Forward Price Curve'!$D$1:$D$65536,FALSE),Q$226)</f>
        <v>18.8</v>
      </c>
      <c r="S14" s="271">
        <f>INDEX('[9]Forward Price Curve'!$V:$V,MATCH($M14,'[9]Forward Price Curve'!$D:$D,FALSE),1)</f>
        <v>23.324193548387097</v>
      </c>
      <c r="T14" s="273">
        <f t="shared" si="13"/>
        <v>1.166814189890049</v>
      </c>
      <c r="U14" s="273">
        <f t="shared" si="14"/>
        <v>0.80603001175575695</v>
      </c>
      <c r="W14" s="244">
        <f t="shared" si="15"/>
        <v>2022</v>
      </c>
      <c r="X14" s="249">
        <f t="shared" si="4"/>
        <v>33.369999999999997</v>
      </c>
      <c r="Y14" s="249">
        <f t="shared" si="5"/>
        <v>35.590000000000003</v>
      </c>
      <c r="Z14" s="249">
        <f t="shared" si="6"/>
        <v>26.99</v>
      </c>
      <c r="AA14" s="249">
        <f t="shared" si="7"/>
        <v>30.61</v>
      </c>
      <c r="AC14" s="213">
        <f t="shared" si="16"/>
        <v>2021</v>
      </c>
      <c r="AD14" s="260">
        <f t="shared" si="8"/>
        <v>1.0515770046363282</v>
      </c>
      <c r="AE14" s="260">
        <f t="shared" si="8"/>
        <v>1.051392384509215</v>
      </c>
      <c r="AF14" s="260">
        <f t="shared" si="8"/>
        <v>1.0439871993443035</v>
      </c>
      <c r="AG14" s="260">
        <f t="shared" si="8"/>
        <v>1.0650827010207982</v>
      </c>
      <c r="AH14" s="260">
        <f t="shared" si="8"/>
        <v>1.0870754214845983</v>
      </c>
      <c r="AI14" s="260">
        <f t="shared" si="8"/>
        <v>1.097340465606871</v>
      </c>
      <c r="AJ14" s="260">
        <f t="shared" si="8"/>
        <v>1.1435652838018935</v>
      </c>
      <c r="AK14" s="260">
        <f t="shared" si="8"/>
        <v>1.1047525667254334</v>
      </c>
      <c r="AL14" s="260">
        <f t="shared" si="8"/>
        <v>1.0620960944085418</v>
      </c>
      <c r="AM14" s="260">
        <f t="shared" si="8"/>
        <v>1.0583123067868958</v>
      </c>
      <c r="AN14" s="260">
        <f t="shared" si="8"/>
        <v>1.0482490026163798</v>
      </c>
      <c r="AO14" s="260">
        <f t="shared" si="8"/>
        <v>1.0475705478608233</v>
      </c>
    </row>
    <row r="15" spans="2:41" x14ac:dyDescent="0.2">
      <c r="B15" s="250">
        <f t="shared" si="9"/>
        <v>42583</v>
      </c>
      <c r="C15" s="242">
        <f>INDEX('[9]Forward Price Curve'!$A:$IV,MATCH(B15,'[9]Forward Price Curve'!$D$1:$D$65536,FALSE),$C$226)</f>
        <v>2.0245666769136181</v>
      </c>
      <c r="D15" s="242">
        <f>INDEX('[9]Forward Price Curve'!$A:$IV,MATCH(B15,'[9]Forward Price Curve'!$D$1:$D$65536,FALSE),$D$226)</f>
        <v>1.9404343345822785</v>
      </c>
      <c r="E15" s="251">
        <f t="shared" si="0"/>
        <v>2016</v>
      </c>
      <c r="G15" s="244">
        <f t="shared" si="10"/>
        <v>2023</v>
      </c>
      <c r="H15" s="245">
        <f t="shared" si="1"/>
        <v>3.75</v>
      </c>
      <c r="I15" s="245">
        <f t="shared" si="2"/>
        <v>3.91</v>
      </c>
      <c r="K15" s="35">
        <f t="shared" si="11"/>
        <v>8</v>
      </c>
      <c r="L15" s="274">
        <f t="shared" si="12"/>
        <v>2016</v>
      </c>
      <c r="M15" s="246">
        <f t="shared" si="3"/>
        <v>42583</v>
      </c>
      <c r="N15" s="247">
        <f>INDEX('[9]Forward Price Curve'!$A$1:$P$65536,MATCH($M15,'[9]Forward Price Curve'!$D$1:$D$65536,FALSE),N$226)</f>
        <v>23.85</v>
      </c>
      <c r="O15" s="247">
        <f>INDEX('[9]Forward Price Curve'!$A$1:$P$65536,MATCH($M15,'[9]Forward Price Curve'!$D$1:$D$65536,FALSE),O$226)</f>
        <v>28.355</v>
      </c>
      <c r="P15" s="247">
        <f>INDEX('[9]Forward Price Curve'!$A$1:$P$65536,MATCH($M15,'[9]Forward Price Curve'!$D$1:$D$65536,FALSE),P$226)</f>
        <v>18.48</v>
      </c>
      <c r="Q15" s="248">
        <f>INDEX('[9]Forward Price Curve'!$A$1:$P$65536,MATCH($M15,'[9]Forward Price Curve'!$D$1:$D$65536,FALSE),Q$226)</f>
        <v>20.8</v>
      </c>
      <c r="S15" s="271">
        <f>INDEX('[9]Forward Price Curve'!$V:$V,MATCH($M15,'[9]Forward Price Curve'!$D:$D,FALSE),1)</f>
        <v>25.186774193548388</v>
      </c>
      <c r="T15" s="273">
        <f t="shared" si="13"/>
        <v>1.1257892647190666</v>
      </c>
      <c r="U15" s="273">
        <f t="shared" si="14"/>
        <v>0.82583024885052314</v>
      </c>
      <c r="W15" s="244">
        <f t="shared" si="15"/>
        <v>2023</v>
      </c>
      <c r="X15" s="249">
        <f t="shared" si="4"/>
        <v>37.619999999999997</v>
      </c>
      <c r="Y15" s="249">
        <f t="shared" si="5"/>
        <v>40.29</v>
      </c>
      <c r="Z15" s="249">
        <f t="shared" si="6"/>
        <v>30.19</v>
      </c>
      <c r="AA15" s="249">
        <f t="shared" si="7"/>
        <v>35.11</v>
      </c>
      <c r="AC15" s="213">
        <f t="shared" si="16"/>
        <v>2022</v>
      </c>
      <c r="AD15" s="260">
        <f t="shared" si="8"/>
        <v>1.049060897052597</v>
      </c>
      <c r="AE15" s="260">
        <f t="shared" si="8"/>
        <v>1.0488062677752232</v>
      </c>
      <c r="AF15" s="260">
        <f t="shared" si="8"/>
        <v>1.041711894327189</v>
      </c>
      <c r="AG15" s="260">
        <f t="shared" si="8"/>
        <v>1.0608349181238326</v>
      </c>
      <c r="AH15" s="260">
        <f t="shared" si="8"/>
        <v>1.0630894525252828</v>
      </c>
      <c r="AI15" s="260">
        <f t="shared" si="8"/>
        <v>1.0806046999835346</v>
      </c>
      <c r="AJ15" s="260">
        <f t="shared" si="8"/>
        <v>1.1163511230819052</v>
      </c>
      <c r="AK15" s="260">
        <f t="shared" si="8"/>
        <v>1.0923708498735376</v>
      </c>
      <c r="AL15" s="260">
        <f t="shared" si="8"/>
        <v>1.0618385287928684</v>
      </c>
      <c r="AM15" s="260">
        <f t="shared" si="8"/>
        <v>1.0535110715190388</v>
      </c>
      <c r="AN15" s="260">
        <f t="shared" si="8"/>
        <v>1.0574709308123782</v>
      </c>
      <c r="AO15" s="260">
        <f t="shared" si="8"/>
        <v>1.0519066008391473</v>
      </c>
    </row>
    <row r="16" spans="2:41" x14ac:dyDescent="0.2">
      <c r="B16" s="250">
        <f t="shared" si="9"/>
        <v>42614</v>
      </c>
      <c r="C16" s="242">
        <f>INDEX('[9]Forward Price Curve'!$A:$IV,MATCH(B16,'[9]Forward Price Curve'!$D$1:$D$65536,FALSE),$C$226)</f>
        <v>2.0553075315093761</v>
      </c>
      <c r="D16" s="242">
        <f>INDEX('[9]Forward Price Curve'!$A:$IV,MATCH(B16,'[9]Forward Price Curve'!$D$1:$D$65536,FALSE),$D$226)</f>
        <v>1.9712886895949364</v>
      </c>
      <c r="E16" s="251">
        <f t="shared" si="0"/>
        <v>2016</v>
      </c>
      <c r="G16" s="244">
        <f t="shared" si="10"/>
        <v>2024</v>
      </c>
      <c r="H16" s="245">
        <f t="shared" si="1"/>
        <v>4.13</v>
      </c>
      <c r="I16" s="245">
        <f t="shared" si="2"/>
        <v>4.2699999999999996</v>
      </c>
      <c r="K16" s="35">
        <f t="shared" si="11"/>
        <v>9</v>
      </c>
      <c r="L16" s="274">
        <f t="shared" si="12"/>
        <v>2016</v>
      </c>
      <c r="M16" s="246">
        <f t="shared" si="3"/>
        <v>42614</v>
      </c>
      <c r="N16" s="247">
        <f>INDEX('[9]Forward Price Curve'!$A$1:$P$65536,MATCH($M16,'[9]Forward Price Curve'!$D$1:$D$65536,FALSE),N$226)</f>
        <v>22.715</v>
      </c>
      <c r="O16" s="247">
        <f>INDEX('[9]Forward Price Curve'!$A$1:$P$65536,MATCH($M16,'[9]Forward Price Curve'!$D$1:$D$65536,FALSE),O$226)</f>
        <v>24.61</v>
      </c>
      <c r="P16" s="247">
        <f>INDEX('[9]Forward Price Curve'!$A$1:$P$65536,MATCH($M16,'[9]Forward Price Curve'!$D$1:$D$65536,FALSE),P$226)</f>
        <v>18.95</v>
      </c>
      <c r="Q16" s="248">
        <f>INDEX('[9]Forward Price Curve'!$A$1:$P$65536,MATCH($M16,'[9]Forward Price Curve'!$D$1:$D$65536,FALSE),Q$226)</f>
        <v>20.399999999999999</v>
      </c>
      <c r="S16" s="271">
        <f>INDEX('[9]Forward Price Curve'!$V:$V,MATCH($M16,'[9]Forward Price Curve'!$D:$D,FALSE),1)</f>
        <v>22.738888888888887</v>
      </c>
      <c r="T16" s="273">
        <f t="shared" si="13"/>
        <v>1.0822868311751772</v>
      </c>
      <c r="U16" s="273">
        <f t="shared" si="14"/>
        <v>0.89714146103102854</v>
      </c>
      <c r="W16" s="244">
        <f t="shared" si="15"/>
        <v>2024</v>
      </c>
      <c r="X16" s="249">
        <f t="shared" si="4"/>
        <v>41.47</v>
      </c>
      <c r="Y16" s="249">
        <f t="shared" si="5"/>
        <v>44.82</v>
      </c>
      <c r="Z16" s="249">
        <f t="shared" si="6"/>
        <v>33.479999999999997</v>
      </c>
      <c r="AA16" s="249">
        <f t="shared" si="7"/>
        <v>39.01</v>
      </c>
      <c r="AC16" s="213">
        <f t="shared" si="16"/>
        <v>2023</v>
      </c>
      <c r="AD16" s="260">
        <f t="shared" si="8"/>
        <v>1.0539552223369069</v>
      </c>
      <c r="AE16" s="260">
        <f t="shared" si="8"/>
        <v>1.0514844419748202</v>
      </c>
      <c r="AF16" s="260">
        <f t="shared" si="8"/>
        <v>1.0412894941695707</v>
      </c>
      <c r="AG16" s="260">
        <f t="shared" si="8"/>
        <v>1.0468364814302253</v>
      </c>
      <c r="AH16" s="260">
        <f t="shared" si="8"/>
        <v>1.0437605013623608</v>
      </c>
      <c r="AI16" s="260">
        <f t="shared" si="8"/>
        <v>1.0686663495454689</v>
      </c>
      <c r="AJ16" s="260">
        <f t="shared" si="8"/>
        <v>1.0866345049005588</v>
      </c>
      <c r="AK16" s="260">
        <f t="shared" si="8"/>
        <v>1.0867257947762918</v>
      </c>
      <c r="AL16" s="260">
        <f t="shared" si="8"/>
        <v>1.0616258103369338</v>
      </c>
      <c r="AM16" s="260">
        <f t="shared" si="8"/>
        <v>1.0494856800819006</v>
      </c>
      <c r="AN16" s="260">
        <f t="shared" si="8"/>
        <v>1.0645872395720481</v>
      </c>
      <c r="AO16" s="260">
        <f t="shared" si="8"/>
        <v>1.0581152679882777</v>
      </c>
    </row>
    <row r="17" spans="2:41" x14ac:dyDescent="0.2">
      <c r="B17" s="250">
        <f t="shared" si="9"/>
        <v>42644</v>
      </c>
      <c r="C17" s="242">
        <f>INDEX('[9]Forward Price Curve'!$A:$IV,MATCH(B17,'[9]Forward Price Curve'!$D$1:$D$65536,FALSE),$C$226)</f>
        <v>2.1239621067732348</v>
      </c>
      <c r="D17" s="242">
        <f>INDEX('[9]Forward Price Curve'!$A:$IV,MATCH(B17,'[9]Forward Price Curve'!$D$1:$D$65536,FALSE),$D$226)</f>
        <v>2.1639994186455693</v>
      </c>
      <c r="E17" s="251">
        <f t="shared" si="0"/>
        <v>2016</v>
      </c>
      <c r="G17" s="244">
        <f t="shared" si="10"/>
        <v>2025</v>
      </c>
      <c r="H17" s="245">
        <f t="shared" si="1"/>
        <v>4.3099999999999996</v>
      </c>
      <c r="I17" s="245">
        <f t="shared" si="2"/>
        <v>4.4400000000000004</v>
      </c>
      <c r="K17" s="35">
        <f t="shared" si="11"/>
        <v>10</v>
      </c>
      <c r="L17" s="274">
        <f t="shared" si="12"/>
        <v>2016</v>
      </c>
      <c r="M17" s="246">
        <f t="shared" si="3"/>
        <v>42644</v>
      </c>
      <c r="N17" s="247">
        <f>INDEX('[9]Forward Price Curve'!$A$1:$P$65536,MATCH($M17,'[9]Forward Price Curve'!$D$1:$D$65536,FALSE),N$226)</f>
        <v>21.7</v>
      </c>
      <c r="O17" s="247">
        <f>INDEX('[9]Forward Price Curve'!$A$1:$P$65536,MATCH($M17,'[9]Forward Price Curve'!$D$1:$D$65536,FALSE),O$226)</f>
        <v>25.4925</v>
      </c>
      <c r="P17" s="247">
        <f>INDEX('[9]Forward Price Curve'!$A$1:$P$65536,MATCH($M17,'[9]Forward Price Curve'!$D$1:$D$65536,FALSE),P$226)</f>
        <v>19.574999999999999</v>
      </c>
      <c r="Q17" s="248">
        <f>INDEX('[9]Forward Price Curve'!$A$1:$P$65536,MATCH($M17,'[9]Forward Price Curve'!$D$1:$D$65536,FALSE),Q$226)</f>
        <v>21.95</v>
      </c>
      <c r="S17" s="271">
        <f>INDEX('[9]Forward Price Curve'!$V:$V,MATCH($M17,'[9]Forward Price Curve'!$D:$D,FALSE),1)</f>
        <v>23.930752688172042</v>
      </c>
      <c r="T17" s="273">
        <f t="shared" si="13"/>
        <v>1.065261102823559</v>
      </c>
      <c r="U17" s="273">
        <f t="shared" si="14"/>
        <v>0.91722982080914472</v>
      </c>
      <c r="W17" s="244">
        <f t="shared" si="15"/>
        <v>2025</v>
      </c>
      <c r="X17" s="249">
        <f t="shared" si="4"/>
        <v>43.6</v>
      </c>
      <c r="Y17" s="249">
        <f t="shared" si="5"/>
        <v>47.05</v>
      </c>
      <c r="Z17" s="249">
        <f t="shared" si="6"/>
        <v>35.4</v>
      </c>
      <c r="AA17" s="249">
        <f t="shared" si="7"/>
        <v>41.1</v>
      </c>
      <c r="AC17" s="213">
        <f t="shared" si="16"/>
        <v>2024</v>
      </c>
      <c r="AD17" s="260">
        <f t="shared" si="8"/>
        <v>1.0548279630707336</v>
      </c>
      <c r="AE17" s="260">
        <f t="shared" si="8"/>
        <v>1.0530158023955918</v>
      </c>
      <c r="AF17" s="260">
        <f t="shared" si="8"/>
        <v>1.0431715683764413</v>
      </c>
      <c r="AG17" s="260">
        <f t="shared" si="8"/>
        <v>1.0333608594040116</v>
      </c>
      <c r="AH17" s="260">
        <f t="shared" si="8"/>
        <v>1.0424587774976539</v>
      </c>
      <c r="AI17" s="260">
        <f t="shared" si="8"/>
        <v>1.0624031980144617</v>
      </c>
      <c r="AJ17" s="260">
        <f t="shared" si="8"/>
        <v>1.0853676044035783</v>
      </c>
      <c r="AK17" s="260">
        <f t="shared" si="8"/>
        <v>1.0861805237462452</v>
      </c>
      <c r="AL17" s="260">
        <f t="shared" si="8"/>
        <v>1.0778530245565898</v>
      </c>
      <c r="AM17" s="260">
        <f t="shared" si="8"/>
        <v>1.0573229535940614</v>
      </c>
      <c r="AN17" s="260">
        <f t="shared" si="8"/>
        <v>1.0658193736131967</v>
      </c>
      <c r="AO17" s="260">
        <f t="shared" si="8"/>
        <v>1.0559515450973305</v>
      </c>
    </row>
    <row r="18" spans="2:41" x14ac:dyDescent="0.2">
      <c r="B18" s="250">
        <f t="shared" si="9"/>
        <v>42675</v>
      </c>
      <c r="C18" s="242">
        <f>INDEX('[9]Forward Price Curve'!$A:$IV,MATCH(B18,'[9]Forward Price Curve'!$D$1:$D$65536,FALSE),$C$226)</f>
        <v>2.3939692796393075</v>
      </c>
      <c r="D18" s="242">
        <f>INDEX('[9]Forward Price Curve'!$A:$IV,MATCH(B18,'[9]Forward Price Curve'!$D$1:$D$65536,FALSE),$D$226)</f>
        <v>2.5856928024556964</v>
      </c>
      <c r="E18" s="251">
        <f t="shared" si="0"/>
        <v>2016</v>
      </c>
      <c r="G18" s="244">
        <f t="shared" si="10"/>
        <v>2026</v>
      </c>
      <c r="H18" s="245">
        <f t="shared" si="1"/>
        <v>4.41</v>
      </c>
      <c r="I18" s="245">
        <f t="shared" si="2"/>
        <v>4.53</v>
      </c>
      <c r="K18" s="35">
        <f t="shared" si="11"/>
        <v>11</v>
      </c>
      <c r="L18" s="274">
        <f t="shared" si="12"/>
        <v>2016</v>
      </c>
      <c r="M18" s="246">
        <f t="shared" si="3"/>
        <v>42675</v>
      </c>
      <c r="N18" s="247">
        <f>INDEX('[9]Forward Price Curve'!$A$1:$P$65536,MATCH($M18,'[9]Forward Price Curve'!$D$1:$D$65536,FALSE),N$226)</f>
        <v>24.5</v>
      </c>
      <c r="O18" s="247">
        <f>INDEX('[9]Forward Price Curve'!$A$1:$P$65536,MATCH($M18,'[9]Forward Price Curve'!$D$1:$D$65536,FALSE),O$226)</f>
        <v>24.204999999999998</v>
      </c>
      <c r="P18" s="247">
        <f>INDEX('[9]Forward Price Curve'!$A$1:$P$65536,MATCH($M18,'[9]Forward Price Curve'!$D$1:$D$65536,FALSE),P$226)</f>
        <v>22.22</v>
      </c>
      <c r="Q18" s="248">
        <f>INDEX('[9]Forward Price Curve'!$A$1:$P$65536,MATCH($M18,'[9]Forward Price Curve'!$D$1:$D$65536,FALSE),Q$226)</f>
        <v>22.05</v>
      </c>
      <c r="S18" s="271">
        <f>INDEX('[9]Forward Price Curve'!$V:$V,MATCH($M18,'[9]Forward Price Curve'!$D:$D,FALSE),1)</f>
        <v>23.245561719833567</v>
      </c>
      <c r="T18" s="273">
        <f t="shared" si="13"/>
        <v>1.041274041545222</v>
      </c>
      <c r="U18" s="273">
        <f t="shared" si="14"/>
        <v>0.94856817252931813</v>
      </c>
      <c r="W18" s="244">
        <f t="shared" si="15"/>
        <v>2026</v>
      </c>
      <c r="X18" s="249">
        <f t="shared" si="4"/>
        <v>45.44</v>
      </c>
      <c r="Y18" s="249">
        <f t="shared" si="5"/>
        <v>49.13</v>
      </c>
      <c r="Z18" s="249">
        <f t="shared" si="6"/>
        <v>36.979999999999997</v>
      </c>
      <c r="AA18" s="249">
        <f t="shared" si="7"/>
        <v>43.07</v>
      </c>
      <c r="AC18" s="213">
        <f t="shared" si="16"/>
        <v>2025</v>
      </c>
      <c r="AD18" s="260">
        <f t="shared" si="8"/>
        <v>1.0495316345117951</v>
      </c>
      <c r="AE18" s="260">
        <f t="shared" si="8"/>
        <v>1.0450120695726013</v>
      </c>
      <c r="AF18" s="260">
        <f t="shared" si="8"/>
        <v>1.0374888639549085</v>
      </c>
      <c r="AG18" s="260">
        <f t="shared" si="8"/>
        <v>1.0356800197891427</v>
      </c>
      <c r="AH18" s="260">
        <f t="shared" si="8"/>
        <v>1.0393267923715779</v>
      </c>
      <c r="AI18" s="260">
        <f t="shared" si="8"/>
        <v>1.0660914600448794</v>
      </c>
      <c r="AJ18" s="260">
        <f t="shared" si="8"/>
        <v>1.0857224773993313</v>
      </c>
      <c r="AK18" s="260">
        <f t="shared" si="8"/>
        <v>1.0876274788119722</v>
      </c>
      <c r="AL18" s="260">
        <f t="shared" si="8"/>
        <v>1.0784840586760662</v>
      </c>
      <c r="AM18" s="260">
        <f t="shared" si="8"/>
        <v>1.0581873432631161</v>
      </c>
      <c r="AN18" s="260">
        <f t="shared" si="8"/>
        <v>1.0610070220788648</v>
      </c>
      <c r="AO18" s="260">
        <f t="shared" si="8"/>
        <v>1.0569951219247573</v>
      </c>
    </row>
    <row r="19" spans="2:41" x14ac:dyDescent="0.2">
      <c r="B19" s="252">
        <f t="shared" si="9"/>
        <v>42705</v>
      </c>
      <c r="C19" s="253">
        <f>INDEX('[9]Forward Price Curve'!$A:$IV,MATCH(B19,'[9]Forward Price Curve'!$D$1:$D$65536,FALSE),$C$226)</f>
        <v>2.8345881955118353</v>
      </c>
      <c r="D19" s="253">
        <f>INDEX('[9]Forward Price Curve'!$A:$IV,MATCH(B19,'[9]Forward Price Curve'!$D$1:$D$65536,FALSE),$D$226)</f>
        <v>3.0486629153797464</v>
      </c>
      <c r="E19" s="254">
        <f t="shared" si="0"/>
        <v>2016</v>
      </c>
      <c r="G19" s="244">
        <f t="shared" si="10"/>
        <v>2027</v>
      </c>
      <c r="H19" s="245">
        <f t="shared" si="1"/>
        <v>4.6500000000000004</v>
      </c>
      <c r="I19" s="245">
        <f t="shared" si="2"/>
        <v>4.8099999999999996</v>
      </c>
      <c r="K19" s="35">
        <f t="shared" si="11"/>
        <v>12</v>
      </c>
      <c r="L19" s="274">
        <f t="shared" si="12"/>
        <v>2016</v>
      </c>
      <c r="M19" s="255">
        <f t="shared" si="3"/>
        <v>42705</v>
      </c>
      <c r="N19" s="256">
        <f>INDEX('[9]Forward Price Curve'!$A$1:$P$65536,MATCH($M19,'[9]Forward Price Curve'!$D$1:$D$65536,FALSE),N$226)</f>
        <v>27.5</v>
      </c>
      <c r="O19" s="256">
        <f>INDEX('[9]Forward Price Curve'!$A$1:$P$65536,MATCH($M19,'[9]Forward Price Curve'!$D$1:$D$65536,FALSE),O$226)</f>
        <v>27.552499999999998</v>
      </c>
      <c r="P19" s="256">
        <f>INDEX('[9]Forward Price Curve'!$A$1:$P$65536,MATCH($M19,'[9]Forward Price Curve'!$D$1:$D$65536,FALSE),P$226)</f>
        <v>23.254999999999999</v>
      </c>
      <c r="Q19" s="257">
        <f>INDEX('[9]Forward Price Curve'!$A$1:$P$65536,MATCH($M19,'[9]Forward Price Curve'!$D$1:$D$65536,FALSE),Q$226)</f>
        <v>22.95</v>
      </c>
      <c r="S19" s="271">
        <f>INDEX('[9]Forward Price Curve'!$V:$V,MATCH($M19,'[9]Forward Price Curve'!$D:$D,FALSE),1)</f>
        <v>25.523440860215054</v>
      </c>
      <c r="T19" s="273">
        <f t="shared" si="13"/>
        <v>1.0794978682889016</v>
      </c>
      <c r="U19" s="273">
        <f t="shared" si="14"/>
        <v>0.89917343534090521</v>
      </c>
      <c r="W19" s="244">
        <f t="shared" si="15"/>
        <v>2027</v>
      </c>
      <c r="X19" s="249">
        <f t="shared" si="4"/>
        <v>47.69</v>
      </c>
      <c r="Y19" s="249">
        <f t="shared" si="5"/>
        <v>51.16</v>
      </c>
      <c r="Z19" s="249">
        <f t="shared" si="6"/>
        <v>38.99</v>
      </c>
      <c r="AA19" s="249">
        <f t="shared" si="7"/>
        <v>44.99</v>
      </c>
      <c r="AC19" s="213">
        <f t="shared" si="16"/>
        <v>2026</v>
      </c>
      <c r="AD19" s="260">
        <f t="shared" si="8"/>
        <v>1.0507794829690034</v>
      </c>
      <c r="AE19" s="260">
        <f t="shared" si="8"/>
        <v>1.0461094221441372</v>
      </c>
      <c r="AF19" s="260">
        <f t="shared" si="8"/>
        <v>1.0422398881490773</v>
      </c>
      <c r="AG19" s="260">
        <f t="shared" si="8"/>
        <v>1.0359142223938373</v>
      </c>
      <c r="AH19" s="260">
        <f t="shared" si="8"/>
        <v>1.045233835298369</v>
      </c>
      <c r="AI19" s="260">
        <f t="shared" si="8"/>
        <v>1.0608224958164028</v>
      </c>
      <c r="AJ19" s="260">
        <f t="shared" si="8"/>
        <v>1.0801728221019071</v>
      </c>
      <c r="AK19" s="260">
        <f t="shared" si="8"/>
        <v>1.0824458605378753</v>
      </c>
      <c r="AL19" s="260">
        <f t="shared" si="8"/>
        <v>1.0676884666985849</v>
      </c>
      <c r="AM19" s="260">
        <f t="shared" si="8"/>
        <v>1.052651682920168</v>
      </c>
      <c r="AN19" s="260">
        <f t="shared" si="8"/>
        <v>1.0634089132237872</v>
      </c>
      <c r="AO19" s="260">
        <f t="shared" si="8"/>
        <v>1.0567497475516516</v>
      </c>
    </row>
    <row r="20" spans="2:41" x14ac:dyDescent="0.2">
      <c r="B20" s="241">
        <f>EDATE(B19,1)</f>
        <v>42736</v>
      </c>
      <c r="C20" s="242">
        <f>INDEX('[9]Forward Price Curve'!$A:$IV,MATCH(B20,'[9]Forward Price Curve'!$D$1:$D$65536,FALSE),$C$226)</f>
        <v>2.9375700584076236</v>
      </c>
      <c r="D20" s="242">
        <f>INDEX('[9]Forward Price Curve'!$A:$IV,MATCH(B20,'[9]Forward Price Curve'!$D$1:$D$65536,FALSE),$D$226)</f>
        <v>2.9974281753670882</v>
      </c>
      <c r="E20" s="243">
        <f t="shared" si="0"/>
        <v>2017</v>
      </c>
      <c r="G20" s="244">
        <f t="shared" si="10"/>
        <v>2028</v>
      </c>
      <c r="H20" s="245">
        <f t="shared" si="1"/>
        <v>4.7699999999999996</v>
      </c>
      <c r="I20" s="245">
        <f t="shared" si="2"/>
        <v>4.97</v>
      </c>
      <c r="K20" s="35">
        <f t="shared" si="11"/>
        <v>1</v>
      </c>
      <c r="L20" s="274">
        <f t="shared" si="12"/>
        <v>2017</v>
      </c>
      <c r="M20" s="246">
        <f t="shared" si="3"/>
        <v>42736</v>
      </c>
      <c r="N20" s="258">
        <f>INDEX('[9]Forward Price Curve'!$A$1:$P$65536,MATCH($M20,'[9]Forward Price Curve'!$D$1:$D$65536,FALSE),N$226)</f>
        <v>26.512499999999999</v>
      </c>
      <c r="O20" s="258">
        <f>INDEX('[9]Forward Price Curve'!$A$1:$P$65536,MATCH($M20,'[9]Forward Price Curve'!$D$1:$D$65536,FALSE),O$226)</f>
        <v>27.3</v>
      </c>
      <c r="P20" s="258">
        <f>INDEX('[9]Forward Price Curve'!$A$1:$P$65536,MATCH($M20,'[9]Forward Price Curve'!$D$1:$D$65536,FALSE),P$226)</f>
        <v>23.14</v>
      </c>
      <c r="Q20" s="259">
        <f>INDEX('[9]Forward Price Curve'!$A$1:$P$65536,MATCH($M20,'[9]Forward Price Curve'!$D$1:$D$65536,FALSE),Q$226)</f>
        <v>24.22</v>
      </c>
      <c r="S20" s="271">
        <f>INDEX('[9]Forward Price Curve'!$V:$V,MATCH($M20,'[9]Forward Price Curve'!$D:$D,FALSE),1)</f>
        <v>25.875913978494623</v>
      </c>
      <c r="T20" s="273">
        <f t="shared" si="13"/>
        <v>1.0550351969282681</v>
      </c>
      <c r="U20" s="273">
        <f t="shared" si="14"/>
        <v>0.93600558496713016</v>
      </c>
      <c r="W20" s="244">
        <f t="shared" si="15"/>
        <v>2028</v>
      </c>
      <c r="X20" s="249">
        <f t="shared" si="4"/>
        <v>48.92</v>
      </c>
      <c r="Y20" s="249">
        <f t="shared" si="5"/>
        <v>52.09</v>
      </c>
      <c r="Z20" s="249">
        <f t="shared" si="6"/>
        <v>39.86</v>
      </c>
      <c r="AA20" s="249">
        <f t="shared" si="7"/>
        <v>45.89</v>
      </c>
      <c r="AC20" s="213">
        <f t="shared" si="16"/>
        <v>2027</v>
      </c>
      <c r="AD20" s="260">
        <f t="shared" si="8"/>
        <v>1.0527589710034637</v>
      </c>
      <c r="AE20" s="260">
        <f t="shared" si="8"/>
        <v>1.0473558338395135</v>
      </c>
      <c r="AF20" s="260">
        <f t="shared" si="8"/>
        <v>1.0370435555984383</v>
      </c>
      <c r="AG20" s="260">
        <f t="shared" si="8"/>
        <v>1.0349049158936328</v>
      </c>
      <c r="AH20" s="260">
        <f t="shared" si="8"/>
        <v>1.0427411859680591</v>
      </c>
      <c r="AI20" s="260">
        <f t="shared" si="8"/>
        <v>1.0599067893615413</v>
      </c>
      <c r="AJ20" s="260">
        <f t="shared" si="8"/>
        <v>1.075357832153103</v>
      </c>
      <c r="AK20" s="260">
        <f t="shared" si="8"/>
        <v>1.0807022939083193</v>
      </c>
      <c r="AL20" s="260">
        <f t="shared" si="8"/>
        <v>1.0632742247475455</v>
      </c>
      <c r="AM20" s="260">
        <f t="shared" si="8"/>
        <v>1.0546412241945178</v>
      </c>
      <c r="AN20" s="260">
        <f t="shared" si="8"/>
        <v>1.0620547087367826</v>
      </c>
      <c r="AO20" s="260">
        <f t="shared" si="8"/>
        <v>1.0565155351363753</v>
      </c>
    </row>
    <row r="21" spans="2:41" x14ac:dyDescent="0.2">
      <c r="B21" s="250">
        <f t="shared" si="9"/>
        <v>42767</v>
      </c>
      <c r="C21" s="242">
        <f>INDEX('[9]Forward Price Curve'!$A:$IV,MATCH(B21,'[9]Forward Price Curve'!$D$1:$D$65536,FALSE),$C$226)</f>
        <v>2.9421811865969878</v>
      </c>
      <c r="D21" s="242">
        <f>INDEX('[9]Forward Price Curve'!$A:$IV,MATCH(B21,'[9]Forward Price Curve'!$D$1:$D$65536,FALSE),$D$226)</f>
        <v>2.9247295362151897</v>
      </c>
      <c r="E21" s="251">
        <f t="shared" si="0"/>
        <v>2017</v>
      </c>
      <c r="G21" s="244">
        <f t="shared" si="10"/>
        <v>2029</v>
      </c>
      <c r="H21" s="245">
        <f t="shared" si="1"/>
        <v>4.92</v>
      </c>
      <c r="I21" s="245">
        <f t="shared" si="2"/>
        <v>5.1100000000000003</v>
      </c>
      <c r="K21" s="35">
        <f t="shared" si="11"/>
        <v>2</v>
      </c>
      <c r="L21" s="274">
        <f t="shared" si="12"/>
        <v>2017</v>
      </c>
      <c r="M21" s="246">
        <f t="shared" si="3"/>
        <v>42767</v>
      </c>
      <c r="N21" s="247">
        <f>INDEX('[9]Forward Price Curve'!$A$1:$P$65536,MATCH($M21,'[9]Forward Price Curve'!$D$1:$D$65536,FALSE),N$226)</f>
        <v>25.754999999999999</v>
      </c>
      <c r="O21" s="247">
        <f>INDEX('[9]Forward Price Curve'!$A$1:$P$65536,MATCH($M21,'[9]Forward Price Curve'!$D$1:$D$65536,FALSE),O$226)</f>
        <v>26.774999999999999</v>
      </c>
      <c r="P21" s="247">
        <f>INDEX('[9]Forward Price Curve'!$A$1:$P$65536,MATCH($M21,'[9]Forward Price Curve'!$D$1:$D$65536,FALSE),P$226)</f>
        <v>22.4725</v>
      </c>
      <c r="Q21" s="248">
        <f>INDEX('[9]Forward Price Curve'!$A$1:$P$65536,MATCH($M21,'[9]Forward Price Curve'!$D$1:$D$65536,FALSE),Q$226)</f>
        <v>23.452500000000001</v>
      </c>
      <c r="S21" s="271">
        <f>INDEX('[9]Forward Price Curve'!$V:$V,MATCH($M21,'[9]Forward Price Curve'!$D:$D,FALSE),1)</f>
        <v>25.351071428571426</v>
      </c>
      <c r="T21" s="273">
        <f t="shared" si="13"/>
        <v>1.0561683783441107</v>
      </c>
      <c r="U21" s="273">
        <f t="shared" si="14"/>
        <v>0.9251088288745194</v>
      </c>
      <c r="W21" s="244">
        <f t="shared" si="15"/>
        <v>2029</v>
      </c>
      <c r="X21" s="249">
        <f t="shared" si="4"/>
        <v>50.27</v>
      </c>
      <c r="Y21" s="249">
        <f t="shared" si="5"/>
        <v>53.11</v>
      </c>
      <c r="Z21" s="249">
        <f t="shared" si="6"/>
        <v>41.03</v>
      </c>
      <c r="AA21" s="249">
        <f t="shared" si="7"/>
        <v>46.87</v>
      </c>
      <c r="AC21" s="213">
        <f t="shared" si="16"/>
        <v>2028</v>
      </c>
      <c r="AD21" s="260">
        <f t="shared" si="8"/>
        <v>1.0563752549472087</v>
      </c>
      <c r="AE21" s="260">
        <f t="shared" si="8"/>
        <v>1.0432404875876355</v>
      </c>
      <c r="AF21" s="260">
        <f t="shared" si="8"/>
        <v>1.039194368199104</v>
      </c>
      <c r="AG21" s="260">
        <f t="shared" si="8"/>
        <v>1.0335633102950581</v>
      </c>
      <c r="AH21" s="260">
        <f t="shared" si="8"/>
        <v>1.0434131253395154</v>
      </c>
      <c r="AI21" s="260">
        <f t="shared" si="8"/>
        <v>1.0598113295417086</v>
      </c>
      <c r="AJ21" s="260">
        <f t="shared" si="8"/>
        <v>1.0731418396772725</v>
      </c>
      <c r="AK21" s="260">
        <f t="shared" si="8"/>
        <v>1.0772323222312452</v>
      </c>
      <c r="AL21" s="260">
        <f t="shared" si="8"/>
        <v>1.058303698792229</v>
      </c>
      <c r="AM21" s="260">
        <f t="shared" si="8"/>
        <v>1.0542583326962436</v>
      </c>
      <c r="AN21" s="260">
        <f t="shared" si="8"/>
        <v>1.0647197054888242</v>
      </c>
      <c r="AO21" s="260">
        <f t="shared" si="8"/>
        <v>1.0559867720282579</v>
      </c>
    </row>
    <row r="22" spans="2:41" x14ac:dyDescent="0.2">
      <c r="B22" s="250">
        <f t="shared" si="9"/>
        <v>42795</v>
      </c>
      <c r="C22" s="242">
        <f>INDEX('[9]Forward Price Curve'!$A:$IV,MATCH(B22,'[9]Forward Price Curve'!$D$1:$D$65536,FALSE),$C$226)</f>
        <v>2.6983037401373093</v>
      </c>
      <c r="D22" s="242">
        <f>INDEX('[9]Forward Price Curve'!$A:$IV,MATCH(B22,'[9]Forward Price Curve'!$D$1:$D$65536,FALSE),$D$226)</f>
        <v>2.8547138844556961</v>
      </c>
      <c r="E22" s="251">
        <f t="shared" si="0"/>
        <v>2017</v>
      </c>
      <c r="G22" s="244">
        <f t="shared" si="10"/>
        <v>2030</v>
      </c>
      <c r="H22" s="245">
        <f t="shared" si="1"/>
        <v>5.21</v>
      </c>
      <c r="I22" s="245">
        <f t="shared" si="2"/>
        <v>5.43</v>
      </c>
      <c r="K22" s="35">
        <f t="shared" si="11"/>
        <v>3</v>
      </c>
      <c r="L22" s="274">
        <f t="shared" si="12"/>
        <v>2017</v>
      </c>
      <c r="M22" s="246">
        <f t="shared" si="3"/>
        <v>42795</v>
      </c>
      <c r="N22" s="247">
        <f>INDEX('[9]Forward Price Curve'!$A$1:$P$65536,MATCH($M22,'[9]Forward Price Curve'!$D$1:$D$65536,FALSE),N$226)</f>
        <v>22.782499999999999</v>
      </c>
      <c r="O22" s="247">
        <f>INDEX('[9]Forward Price Curve'!$A$1:$P$65536,MATCH($M22,'[9]Forward Price Curve'!$D$1:$D$65536,FALSE),O$226)</f>
        <v>24.675000000000001</v>
      </c>
      <c r="P22" s="247">
        <f>INDEX('[9]Forward Price Curve'!$A$1:$P$65536,MATCH($M22,'[9]Forward Price Curve'!$D$1:$D$65536,FALSE),P$226)</f>
        <v>20.037500000000001</v>
      </c>
      <c r="Q22" s="248">
        <f>INDEX('[9]Forward Price Curve'!$A$1:$P$65536,MATCH($M22,'[9]Forward Price Curve'!$D$1:$D$65536,FALSE),Q$226)</f>
        <v>21.0275</v>
      </c>
      <c r="S22" s="271">
        <f>INDEX('[9]Forward Price Curve'!$V:$V,MATCH($M22,'[9]Forward Price Curve'!$D:$D,FALSE),1)</f>
        <v>23.148253701211306</v>
      </c>
      <c r="T22" s="273">
        <f t="shared" si="13"/>
        <v>1.0659551393593376</v>
      </c>
      <c r="U22" s="273">
        <f t="shared" si="14"/>
        <v>0.90838385786741527</v>
      </c>
      <c r="W22" s="244">
        <f t="shared" si="15"/>
        <v>2030</v>
      </c>
      <c r="X22" s="249">
        <f t="shared" si="4"/>
        <v>52.49</v>
      </c>
      <c r="Y22" s="249">
        <f t="shared" si="5"/>
        <v>54.6</v>
      </c>
      <c r="Z22" s="249">
        <f t="shared" si="6"/>
        <v>42.65</v>
      </c>
      <c r="AA22" s="249">
        <f t="shared" si="7"/>
        <v>48.47</v>
      </c>
    </row>
    <row r="23" spans="2:41" x14ac:dyDescent="0.2">
      <c r="B23" s="250">
        <f t="shared" si="9"/>
        <v>42826</v>
      </c>
      <c r="C23" s="242">
        <f>INDEX('[9]Forward Price Curve'!$A:$IV,MATCH(B23,'[9]Forward Price Curve'!$D$1:$D$65536,FALSE),$C$226)</f>
        <v>2.3514444307818425</v>
      </c>
      <c r="D23" s="242">
        <f>INDEX('[9]Forward Price Curve'!$A:$IV,MATCH(B23,'[9]Forward Price Curve'!$D$1:$D$65536,FALSE),$D$226)</f>
        <v>2.3314797470253166</v>
      </c>
      <c r="E23" s="251">
        <f t="shared" si="0"/>
        <v>2017</v>
      </c>
      <c r="G23" s="244">
        <f t="shared" si="10"/>
        <v>2031</v>
      </c>
      <c r="H23" s="245">
        <f t="shared" si="1"/>
        <v>5.35</v>
      </c>
      <c r="I23" s="245">
        <f t="shared" si="2"/>
        <v>5.57</v>
      </c>
      <c r="K23" s="35">
        <f t="shared" si="11"/>
        <v>4</v>
      </c>
      <c r="L23" s="274">
        <f t="shared" si="12"/>
        <v>2017</v>
      </c>
      <c r="M23" s="246">
        <f t="shared" si="3"/>
        <v>42826</v>
      </c>
      <c r="N23" s="247">
        <f>INDEX('[9]Forward Price Curve'!$A$1:$P$65536,MATCH($M23,'[9]Forward Price Curve'!$D$1:$D$65536,FALSE),N$226)</f>
        <v>18.850000000000001</v>
      </c>
      <c r="O23" s="247">
        <f>INDEX('[9]Forward Price Curve'!$A$1:$P$65536,MATCH($M23,'[9]Forward Price Curve'!$D$1:$D$65536,FALSE),O$226)</f>
        <v>20.805</v>
      </c>
      <c r="P23" s="247">
        <f>INDEX('[9]Forward Price Curve'!$A$1:$P$65536,MATCH($M23,'[9]Forward Price Curve'!$D$1:$D$65536,FALSE),P$226)</f>
        <v>14.64</v>
      </c>
      <c r="Q23" s="248">
        <f>INDEX('[9]Forward Price Curve'!$A$1:$P$65536,MATCH($M23,'[9]Forward Price Curve'!$D$1:$D$65536,FALSE),Q$226)</f>
        <v>18.8</v>
      </c>
      <c r="S23" s="271">
        <f>INDEX('[9]Forward Price Curve'!$V:$V,MATCH($M23,'[9]Forward Price Curve'!$D:$D,FALSE),1)</f>
        <v>19.913888888888888</v>
      </c>
      <c r="T23" s="273">
        <f t="shared" si="13"/>
        <v>1.044748221509276</v>
      </c>
      <c r="U23" s="273">
        <f t="shared" si="14"/>
        <v>0.94406472311340506</v>
      </c>
      <c r="W23" s="244">
        <f t="shared" si="15"/>
        <v>2031</v>
      </c>
      <c r="X23" s="249">
        <f t="shared" si="4"/>
        <v>54.41</v>
      </c>
      <c r="Y23" s="249">
        <f t="shared" si="5"/>
        <v>56.18</v>
      </c>
      <c r="Z23" s="249">
        <f t="shared" si="6"/>
        <v>44.33</v>
      </c>
      <c r="AA23" s="249">
        <f t="shared" si="7"/>
        <v>49.76</v>
      </c>
    </row>
    <row r="24" spans="2:41" x14ac:dyDescent="0.2">
      <c r="B24" s="250">
        <f t="shared" si="9"/>
        <v>42856</v>
      </c>
      <c r="C24" s="242">
        <f>INDEX('[9]Forward Price Curve'!$A:$IV,MATCH(B24,'[9]Forward Price Curve'!$D$1:$D$65536,FALSE),$C$226)</f>
        <v>2.4037038835946305</v>
      </c>
      <c r="D24" s="242">
        <f>INDEX('[9]Forward Price Curve'!$A:$IV,MATCH(B24,'[9]Forward Price Curve'!$D$1:$D$65536,FALSE),$D$226)</f>
        <v>2.3209025851898732</v>
      </c>
      <c r="E24" s="251">
        <f t="shared" si="0"/>
        <v>2017</v>
      </c>
      <c r="G24" s="244">
        <f t="shared" si="10"/>
        <v>2032</v>
      </c>
      <c r="H24" s="245">
        <f t="shared" si="1"/>
        <v>5.51</v>
      </c>
      <c r="I24" s="245">
        <f t="shared" si="2"/>
        <v>5.72</v>
      </c>
      <c r="K24" s="35">
        <f t="shared" si="11"/>
        <v>5</v>
      </c>
      <c r="L24" s="274">
        <f t="shared" si="12"/>
        <v>2017</v>
      </c>
      <c r="M24" s="246">
        <f t="shared" si="3"/>
        <v>42856</v>
      </c>
      <c r="N24" s="247">
        <f>INDEX('[9]Forward Price Curve'!$A$1:$P$65536,MATCH($M24,'[9]Forward Price Curve'!$D$1:$D$65536,FALSE),N$226)</f>
        <v>16.559999999999999</v>
      </c>
      <c r="O24" s="247">
        <f>INDEX('[9]Forward Price Curve'!$A$1:$P$65536,MATCH($M24,'[9]Forward Price Curve'!$D$1:$D$65536,FALSE),O$226)</f>
        <v>21.5825</v>
      </c>
      <c r="P24" s="247">
        <f>INDEX('[9]Forward Price Curve'!$A$1:$P$65536,MATCH($M24,'[9]Forward Price Curve'!$D$1:$D$65536,FALSE),P$226)</f>
        <v>10.64</v>
      </c>
      <c r="Q24" s="248">
        <f>INDEX('[9]Forward Price Curve'!$A$1:$P$65536,MATCH($M24,'[9]Forward Price Curve'!$D$1:$D$65536,FALSE),Q$226)</f>
        <v>17.420000000000002</v>
      </c>
      <c r="S24" s="271">
        <f>INDEX('[9]Forward Price Curve'!$V:$V,MATCH($M24,'[9]Forward Price Curve'!$D:$D,FALSE),1)</f>
        <v>19.747419354838708</v>
      </c>
      <c r="T24" s="273">
        <f t="shared" si="13"/>
        <v>1.0929276181452865</v>
      </c>
      <c r="U24" s="273">
        <f t="shared" si="14"/>
        <v>0.88214058186451494</v>
      </c>
      <c r="W24" s="244">
        <f t="shared" si="15"/>
        <v>2032</v>
      </c>
      <c r="X24" s="249">
        <f t="shared" si="4"/>
        <v>55.42</v>
      </c>
      <c r="Y24" s="249">
        <f t="shared" si="5"/>
        <v>57.47</v>
      </c>
      <c r="Z24" s="249">
        <f t="shared" si="6"/>
        <v>45.33</v>
      </c>
      <c r="AA24" s="249">
        <f t="shared" si="7"/>
        <v>51.11</v>
      </c>
      <c r="AC24" s="213" t="s">
        <v>225</v>
      </c>
      <c r="AD24" s="213">
        <v>1</v>
      </c>
      <c r="AE24" s="213">
        <v>2</v>
      </c>
      <c r="AF24" s="213">
        <v>3</v>
      </c>
      <c r="AG24" s="213">
        <v>4</v>
      </c>
      <c r="AH24" s="213">
        <v>5</v>
      </c>
      <c r="AI24" s="213">
        <v>6</v>
      </c>
      <c r="AJ24" s="213">
        <v>7</v>
      </c>
      <c r="AK24" s="213">
        <v>8</v>
      </c>
      <c r="AL24" s="213">
        <v>9</v>
      </c>
      <c r="AM24" s="213">
        <v>10</v>
      </c>
      <c r="AN24" s="213">
        <v>11</v>
      </c>
      <c r="AO24" s="213">
        <v>12</v>
      </c>
    </row>
    <row r="25" spans="2:41" x14ac:dyDescent="0.2">
      <c r="B25" s="250">
        <f t="shared" si="9"/>
        <v>42887</v>
      </c>
      <c r="C25" s="242">
        <f>INDEX('[9]Forward Price Curve'!$A:$IV,MATCH(B25,'[9]Forward Price Curve'!$D$1:$D$65536,FALSE),$C$226)</f>
        <v>2.4339323906137924</v>
      </c>
      <c r="D25" s="242">
        <f>INDEX('[9]Forward Price Curve'!$A:$IV,MATCH(B25,'[9]Forward Price Curve'!$D$1:$D$65536,FALSE),$D$226)</f>
        <v>2.344688300341772</v>
      </c>
      <c r="E25" s="251">
        <f t="shared" si="0"/>
        <v>2017</v>
      </c>
      <c r="G25" s="244">
        <f t="shared" si="10"/>
        <v>2033</v>
      </c>
      <c r="H25" s="245">
        <f t="shared" si="1"/>
        <v>5.69</v>
      </c>
      <c r="I25" s="245">
        <f t="shared" si="2"/>
        <v>5.91</v>
      </c>
      <c r="K25" s="35">
        <f t="shared" si="11"/>
        <v>6</v>
      </c>
      <c r="L25" s="274">
        <f t="shared" si="12"/>
        <v>2017</v>
      </c>
      <c r="M25" s="246">
        <f t="shared" si="3"/>
        <v>42887</v>
      </c>
      <c r="N25" s="247">
        <f>INDEX('[9]Forward Price Curve'!$A$1:$P$65536,MATCH($M25,'[9]Forward Price Curve'!$D$1:$D$65536,FALSE),N$226)</f>
        <v>16.84</v>
      </c>
      <c r="O25" s="247">
        <f>INDEX('[9]Forward Price Curve'!$A$1:$P$65536,MATCH($M25,'[9]Forward Price Curve'!$D$1:$D$65536,FALSE),O$226)</f>
        <v>24.03</v>
      </c>
      <c r="P25" s="247">
        <f>INDEX('[9]Forward Price Curve'!$A$1:$P$65536,MATCH($M25,'[9]Forward Price Curve'!$D$1:$D$65536,FALSE),P$226)</f>
        <v>8.85</v>
      </c>
      <c r="Q25" s="248">
        <f>INDEX('[9]Forward Price Curve'!$A$1:$P$65536,MATCH($M25,'[9]Forward Price Curve'!$D$1:$D$65536,FALSE),Q$226)</f>
        <v>19.57</v>
      </c>
      <c r="S25" s="271">
        <f>INDEX('[9]Forward Price Curve'!$V:$V,MATCH($M25,'[9]Forward Price Curve'!$D:$D,FALSE),1)</f>
        <v>22.146888888888888</v>
      </c>
      <c r="T25" s="273">
        <f t="shared" si="13"/>
        <v>1.0850282457531031</v>
      </c>
      <c r="U25" s="273">
        <f t="shared" si="14"/>
        <v>0.8836455584431222</v>
      </c>
      <c r="W25" s="244">
        <f t="shared" si="15"/>
        <v>2033</v>
      </c>
      <c r="X25" s="249">
        <f t="shared" si="4"/>
        <v>56.98</v>
      </c>
      <c r="Y25" s="249">
        <f t="shared" si="5"/>
        <v>58.71</v>
      </c>
      <c r="Z25" s="249">
        <f t="shared" si="6"/>
        <v>46.76</v>
      </c>
      <c r="AA25" s="249">
        <f t="shared" si="7"/>
        <v>52.36</v>
      </c>
      <c r="AD25" s="213" t="s">
        <v>44</v>
      </c>
      <c r="AE25" s="213" t="s">
        <v>45</v>
      </c>
      <c r="AF25" s="213" t="s">
        <v>46</v>
      </c>
      <c r="AG25" s="213" t="s">
        <v>47</v>
      </c>
      <c r="AH25" s="213" t="s">
        <v>48</v>
      </c>
      <c r="AI25" s="213" t="s">
        <v>49</v>
      </c>
      <c r="AJ25" s="213" t="s">
        <v>50</v>
      </c>
      <c r="AK25" s="213" t="s">
        <v>51</v>
      </c>
      <c r="AL25" s="213" t="s">
        <v>52</v>
      </c>
      <c r="AM25" s="213" t="s">
        <v>53</v>
      </c>
      <c r="AN25" s="213" t="s">
        <v>54</v>
      </c>
      <c r="AO25" s="213" t="s">
        <v>55</v>
      </c>
    </row>
    <row r="26" spans="2:41" x14ac:dyDescent="0.2">
      <c r="B26" s="250">
        <f t="shared" si="9"/>
        <v>42917</v>
      </c>
      <c r="C26" s="242">
        <f>INDEX('[9]Forward Price Curve'!$A:$IV,MATCH(B26,'[9]Forward Price Curve'!$D$1:$D$65536,FALSE),$C$226)</f>
        <v>2.52051913105851</v>
      </c>
      <c r="D26" s="242">
        <f>INDEX('[9]Forward Price Curve'!$A:$IV,MATCH(B26,'[9]Forward Price Curve'!$D$1:$D$65536,FALSE),$D$226)</f>
        <v>2.4844616243037976</v>
      </c>
      <c r="E26" s="251">
        <f t="shared" si="0"/>
        <v>2017</v>
      </c>
      <c r="G26" s="244"/>
      <c r="H26" s="245"/>
      <c r="I26" s="245"/>
      <c r="K26" s="35">
        <f t="shared" si="11"/>
        <v>7</v>
      </c>
      <c r="L26" s="274">
        <f t="shared" si="12"/>
        <v>2017</v>
      </c>
      <c r="M26" s="246">
        <f t="shared" si="3"/>
        <v>42917</v>
      </c>
      <c r="N26" s="247">
        <f>INDEX('[9]Forward Price Curve'!$A$1:$P$65536,MATCH($M26,'[9]Forward Price Curve'!$D$1:$D$65536,FALSE),N$226)</f>
        <v>23.85</v>
      </c>
      <c r="O26" s="247">
        <f>INDEX('[9]Forward Price Curve'!$A$1:$P$65536,MATCH($M26,'[9]Forward Price Curve'!$D$1:$D$65536,FALSE),O$226)</f>
        <v>31.8</v>
      </c>
      <c r="P26" s="247">
        <f>INDEX('[9]Forward Price Curve'!$A$1:$P$65536,MATCH($M26,'[9]Forward Price Curve'!$D$1:$D$65536,FALSE),P$226)</f>
        <v>15.977499999999999</v>
      </c>
      <c r="Q26" s="248">
        <f>INDEX('[9]Forward Price Curve'!$A$1:$P$65536,MATCH($M26,'[9]Forward Price Curve'!$D$1:$D$65536,FALSE),Q$226)</f>
        <v>23.274999999999999</v>
      </c>
      <c r="S26" s="271">
        <f>INDEX('[9]Forward Price Curve'!$V:$V,MATCH($M26,'[9]Forward Price Curve'!$D:$D,FALSE),1)</f>
        <v>27.858333333333334</v>
      </c>
      <c r="T26" s="273">
        <f t="shared" si="13"/>
        <v>1.1414896799282082</v>
      </c>
      <c r="U26" s="273">
        <f t="shared" si="14"/>
        <v>0.83547711636254851</v>
      </c>
      <c r="W26" s="244"/>
      <c r="X26" s="249"/>
      <c r="Y26" s="249"/>
      <c r="Z26" s="249"/>
      <c r="AA26" s="249"/>
      <c r="AC26" s="213">
        <f>AC8</f>
        <v>2015</v>
      </c>
      <c r="AD26" s="260">
        <f t="shared" ref="AD26:AO39" si="17">SUMIFS($U:$U,$L:$L,$AC26,$K:$K,AD$6)</f>
        <v>0</v>
      </c>
      <c r="AE26" s="260">
        <f t="shared" si="17"/>
        <v>0</v>
      </c>
      <c r="AF26" s="260">
        <f t="shared" si="17"/>
        <v>0</v>
      </c>
      <c r="AG26" s="260">
        <f t="shared" si="17"/>
        <v>0</v>
      </c>
      <c r="AH26" s="260">
        <f t="shared" si="17"/>
        <v>0</v>
      </c>
      <c r="AI26" s="260">
        <f t="shared" si="17"/>
        <v>0</v>
      </c>
      <c r="AJ26" s="260">
        <f t="shared" si="17"/>
        <v>0</v>
      </c>
      <c r="AK26" s="260">
        <f t="shared" si="17"/>
        <v>0</v>
      </c>
      <c r="AL26" s="260">
        <f t="shared" si="17"/>
        <v>0</v>
      </c>
      <c r="AM26" s="260">
        <f t="shared" si="17"/>
        <v>0</v>
      </c>
      <c r="AN26" s="260">
        <f t="shared" si="17"/>
        <v>0</v>
      </c>
      <c r="AO26" s="260">
        <f t="shared" si="17"/>
        <v>0</v>
      </c>
    </row>
    <row r="27" spans="2:41" x14ac:dyDescent="0.2">
      <c r="B27" s="250">
        <f t="shared" si="9"/>
        <v>42948</v>
      </c>
      <c r="C27" s="242">
        <f>INDEX('[9]Forward Price Curve'!$A:$IV,MATCH(B27,'[9]Forward Price Curve'!$D$1:$D$65536,FALSE),$C$226)</f>
        <v>2.5297413874372374</v>
      </c>
      <c r="D27" s="242">
        <f>INDEX('[9]Forward Price Curve'!$A:$IV,MATCH(B27,'[9]Forward Price Curve'!$D$1:$D$65536,FALSE),$D$226)</f>
        <v>2.5104143677341773</v>
      </c>
      <c r="E27" s="251">
        <f t="shared" si="0"/>
        <v>2017</v>
      </c>
      <c r="G27" s="244"/>
      <c r="H27" s="261" t="s">
        <v>219</v>
      </c>
      <c r="I27" s="261" t="s">
        <v>219</v>
      </c>
      <c r="K27" s="35">
        <f t="shared" si="11"/>
        <v>8</v>
      </c>
      <c r="L27" s="274">
        <f t="shared" si="12"/>
        <v>2017</v>
      </c>
      <c r="M27" s="246">
        <f t="shared" si="3"/>
        <v>42948</v>
      </c>
      <c r="N27" s="247">
        <f>INDEX('[9]Forward Price Curve'!$A$1:$P$65536,MATCH($M27,'[9]Forward Price Curve'!$D$1:$D$65536,FALSE),N$226)</f>
        <v>28.62</v>
      </c>
      <c r="O27" s="247">
        <f>INDEX('[9]Forward Price Curve'!$A$1:$P$65536,MATCH($M27,'[9]Forward Price Curve'!$D$1:$D$65536,FALSE),O$226)</f>
        <v>31.2</v>
      </c>
      <c r="P27" s="247">
        <f>INDEX('[9]Forward Price Curve'!$A$1:$P$65536,MATCH($M27,'[9]Forward Price Curve'!$D$1:$D$65536,FALSE),P$226)</f>
        <v>21.25</v>
      </c>
      <c r="Q27" s="248">
        <f>INDEX('[9]Forward Price Curve'!$A$1:$P$65536,MATCH($M27,'[9]Forward Price Curve'!$D$1:$D$65536,FALSE),Q$226)</f>
        <v>23.83</v>
      </c>
      <c r="S27" s="271">
        <f>INDEX('[9]Forward Price Curve'!$V:$V,MATCH($M27,'[9]Forward Price Curve'!$D:$D,FALSE),1)</f>
        <v>28.109354838709677</v>
      </c>
      <c r="T27" s="273">
        <f t="shared" si="13"/>
        <v>1.1099507683126957</v>
      </c>
      <c r="U27" s="273">
        <f t="shared" si="14"/>
        <v>0.84776047464395954</v>
      </c>
      <c r="W27" s="244"/>
      <c r="X27" s="249"/>
      <c r="Y27" s="249"/>
      <c r="Z27" s="249"/>
      <c r="AA27" s="249"/>
      <c r="AC27" s="213">
        <f>AC26+1</f>
        <v>2016</v>
      </c>
      <c r="AD27" s="260">
        <f t="shared" si="17"/>
        <v>0.96254683280868958</v>
      </c>
      <c r="AE27" s="260">
        <f t="shared" si="17"/>
        <v>0.93763599427253197</v>
      </c>
      <c r="AF27" s="260">
        <f t="shared" si="17"/>
        <v>0.91903513243656154</v>
      </c>
      <c r="AG27" s="260">
        <f t="shared" si="17"/>
        <v>0.91347753743760407</v>
      </c>
      <c r="AH27" s="260">
        <f t="shared" si="17"/>
        <v>0.89808534099642456</v>
      </c>
      <c r="AI27" s="260">
        <f t="shared" si="17"/>
        <v>0.86206896551724133</v>
      </c>
      <c r="AJ27" s="260">
        <f t="shared" si="17"/>
        <v>0.80603001175575695</v>
      </c>
      <c r="AK27" s="260">
        <f t="shared" si="17"/>
        <v>0.82583024885052314</v>
      </c>
      <c r="AL27" s="260">
        <f t="shared" si="17"/>
        <v>0.89714146103102854</v>
      </c>
      <c r="AM27" s="260">
        <f t="shared" si="17"/>
        <v>0.91722982080914472</v>
      </c>
      <c r="AN27" s="260">
        <f t="shared" si="17"/>
        <v>0.94856817252931813</v>
      </c>
      <c r="AO27" s="260">
        <f t="shared" si="17"/>
        <v>0.89917343534090521</v>
      </c>
    </row>
    <row r="28" spans="2:41" x14ac:dyDescent="0.2">
      <c r="B28" s="250">
        <f t="shared" si="9"/>
        <v>42979</v>
      </c>
      <c r="C28" s="242">
        <f>INDEX('[9]Forward Price Curve'!$A:$IV,MATCH(B28,'[9]Forward Price Curve'!$D$1:$D$65536,FALSE),$C$226)</f>
        <v>2.5174450455989348</v>
      </c>
      <c r="D28" s="242">
        <f>INDEX('[9]Forward Price Curve'!$A:$IV,MATCH(B28,'[9]Forward Price Curve'!$D$1:$D$65536,FALSE),$D$226)</f>
        <v>2.5276989980506328</v>
      </c>
      <c r="E28" s="251">
        <f t="shared" si="0"/>
        <v>2017</v>
      </c>
      <c r="G28" s="244"/>
      <c r="H28" s="263">
        <f>ROUND(AVERAGE(H8:H25)-AVERAGE(C8:C223),2)</f>
        <v>0</v>
      </c>
      <c r="I28" s="263">
        <f>ROUND(AVERAGE(I8:I25)-AVERAGE(D8:D223),2)</f>
        <v>0</v>
      </c>
      <c r="K28" s="35">
        <f t="shared" si="11"/>
        <v>9</v>
      </c>
      <c r="L28" s="274">
        <f t="shared" si="12"/>
        <v>2017</v>
      </c>
      <c r="M28" s="246">
        <f t="shared" si="3"/>
        <v>42979</v>
      </c>
      <c r="N28" s="247">
        <f>INDEX('[9]Forward Price Curve'!$A$1:$P$65536,MATCH($M28,'[9]Forward Price Curve'!$D$1:$D$65536,FALSE),N$226)</f>
        <v>26.75</v>
      </c>
      <c r="O28" s="247">
        <f>INDEX('[9]Forward Price Curve'!$A$1:$P$65536,MATCH($M28,'[9]Forward Price Curve'!$D$1:$D$65536,FALSE),O$226)</f>
        <v>26</v>
      </c>
      <c r="P28" s="247">
        <f>INDEX('[9]Forward Price Curve'!$A$1:$P$65536,MATCH($M28,'[9]Forward Price Curve'!$D$1:$D$65536,FALSE),P$226)</f>
        <v>23.372499999999999</v>
      </c>
      <c r="Q28" s="248">
        <f>INDEX('[9]Forward Price Curve'!$A$1:$P$65536,MATCH($M28,'[9]Forward Price Curve'!$D$1:$D$65536,FALSE),Q$226)</f>
        <v>24.19</v>
      </c>
      <c r="S28" s="271">
        <f>INDEX('[9]Forward Price Curve'!$V:$V,MATCH($M28,'[9]Forward Price Curve'!$D:$D,FALSE),1)</f>
        <v>25.195555555555558</v>
      </c>
      <c r="T28" s="273">
        <f t="shared" si="13"/>
        <v>1.0319280296348561</v>
      </c>
      <c r="U28" s="273">
        <f t="shared" si="14"/>
        <v>0.96008996295642968</v>
      </c>
      <c r="W28" s="244"/>
      <c r="X28" s="249"/>
      <c r="Y28" s="249"/>
      <c r="Z28" s="249"/>
      <c r="AA28" s="249"/>
      <c r="AC28" s="213">
        <f t="shared" ref="AC28:AC39" si="18">AC27+1</f>
        <v>2017</v>
      </c>
      <c r="AD28" s="260">
        <f t="shared" si="17"/>
        <v>0.93600558496713016</v>
      </c>
      <c r="AE28" s="260">
        <f t="shared" si="17"/>
        <v>0.9251088288745194</v>
      </c>
      <c r="AF28" s="260">
        <f t="shared" si="17"/>
        <v>0.90838385786741527</v>
      </c>
      <c r="AG28" s="260">
        <f t="shared" si="17"/>
        <v>0.94406472311340506</v>
      </c>
      <c r="AH28" s="260">
        <f t="shared" si="17"/>
        <v>0.88214058186451494</v>
      </c>
      <c r="AI28" s="260">
        <f t="shared" si="17"/>
        <v>0.8836455584431222</v>
      </c>
      <c r="AJ28" s="260">
        <f t="shared" si="17"/>
        <v>0.83547711636254851</v>
      </c>
      <c r="AK28" s="260">
        <f t="shared" si="17"/>
        <v>0.84776047464395954</v>
      </c>
      <c r="AL28" s="260">
        <f t="shared" si="17"/>
        <v>0.96008996295642968</v>
      </c>
      <c r="AM28" s="260">
        <f t="shared" si="17"/>
        <v>0.91282021598557883</v>
      </c>
      <c r="AN28" s="260">
        <f t="shared" si="17"/>
        <v>0.94801760404883273</v>
      </c>
      <c r="AO28" s="260">
        <f t="shared" si="17"/>
        <v>0.95374056530958773</v>
      </c>
    </row>
    <row r="29" spans="2:41" x14ac:dyDescent="0.2">
      <c r="B29" s="250">
        <f t="shared" si="9"/>
        <v>43009</v>
      </c>
      <c r="C29" s="242">
        <f>INDEX('[9]Forward Price Curve'!$A:$IV,MATCH(B29,'[9]Forward Price Curve'!$D$1:$D$65536,FALSE),$C$226)</f>
        <v>2.5445994671585206</v>
      </c>
      <c r="D29" s="242">
        <f>INDEX('[9]Forward Price Curve'!$A:$IV,MATCH(B29,'[9]Forward Price Curve'!$D$1:$D$65536,FALSE),$D$226)</f>
        <v>2.6130386354936705</v>
      </c>
      <c r="E29" s="251">
        <f t="shared" si="0"/>
        <v>2017</v>
      </c>
      <c r="G29" s="244"/>
      <c r="H29" s="245"/>
      <c r="I29" s="245"/>
      <c r="K29" s="35">
        <f t="shared" si="11"/>
        <v>10</v>
      </c>
      <c r="L29" s="274">
        <f t="shared" si="12"/>
        <v>2017</v>
      </c>
      <c r="M29" s="246">
        <f t="shared" si="3"/>
        <v>43009</v>
      </c>
      <c r="N29" s="247">
        <f>INDEX('[9]Forward Price Curve'!$A$1:$P$65536,MATCH($M29,'[9]Forward Price Curve'!$D$1:$D$65536,FALSE),N$226)</f>
        <v>24.987500000000001</v>
      </c>
      <c r="O29" s="247">
        <f>INDEX('[9]Forward Price Curve'!$A$1:$P$65536,MATCH($M29,'[9]Forward Price Curve'!$D$1:$D$65536,FALSE),O$226)</f>
        <v>27.795000000000002</v>
      </c>
      <c r="P29" s="247">
        <f>INDEX('[9]Forward Price Curve'!$A$1:$P$65536,MATCH($M29,'[9]Forward Price Curve'!$D$1:$D$65536,FALSE),P$226)</f>
        <v>20.925000000000001</v>
      </c>
      <c r="Q29" s="248">
        <f>INDEX('[9]Forward Price Curve'!$A$1:$P$65536,MATCH($M29,'[9]Forward Price Curve'!$D$1:$D$65536,FALSE),Q$226)</f>
        <v>23.74</v>
      </c>
      <c r="S29" s="271">
        <f>INDEX('[9]Forward Price Curve'!$V:$V,MATCH($M29,'[9]Forward Price Curve'!$D:$D,FALSE),1)</f>
        <v>26.00731182795699</v>
      </c>
      <c r="T29" s="273">
        <f t="shared" si="13"/>
        <v>1.0687379066267551</v>
      </c>
      <c r="U29" s="273">
        <f t="shared" si="14"/>
        <v>0.91282021598557883</v>
      </c>
      <c r="W29" s="244"/>
      <c r="X29" s="249"/>
      <c r="Y29" s="249"/>
      <c r="Z29" s="249"/>
      <c r="AA29" s="249"/>
      <c r="AC29" s="213">
        <f t="shared" si="18"/>
        <v>2018</v>
      </c>
      <c r="AD29" s="260">
        <f t="shared" si="17"/>
        <v>0.95178563776116443</v>
      </c>
      <c r="AE29" s="260">
        <f t="shared" si="17"/>
        <v>0.94677595197751252</v>
      </c>
      <c r="AF29" s="260">
        <f t="shared" si="17"/>
        <v>0.9567679624834563</v>
      </c>
      <c r="AG29" s="260">
        <f t="shared" si="17"/>
        <v>0.87891717765407329</v>
      </c>
      <c r="AH29" s="260">
        <f t="shared" si="17"/>
        <v>0.85598186107131702</v>
      </c>
      <c r="AI29" s="260">
        <f t="shared" si="17"/>
        <v>0.82463126244362284</v>
      </c>
      <c r="AJ29" s="260">
        <f t="shared" si="17"/>
        <v>0.82084823247182359</v>
      </c>
      <c r="AK29" s="260">
        <f t="shared" si="17"/>
        <v>0.86588902900378306</v>
      </c>
      <c r="AL29" s="260">
        <f t="shared" si="17"/>
        <v>0.93537130428547521</v>
      </c>
      <c r="AM29" s="260">
        <f t="shared" si="17"/>
        <v>0.93745364083486449</v>
      </c>
      <c r="AN29" s="260">
        <f t="shared" si="17"/>
        <v>0.95560789282491532</v>
      </c>
      <c r="AO29" s="260">
        <f t="shared" si="17"/>
        <v>0.95660929504155212</v>
      </c>
    </row>
    <row r="30" spans="2:41" x14ac:dyDescent="0.2">
      <c r="B30" s="250">
        <f t="shared" si="9"/>
        <v>43040</v>
      </c>
      <c r="C30" s="242">
        <f>INDEX('[9]Forward Price Curve'!$A:$IV,MATCH(B30,'[9]Forward Price Curve'!$D$1:$D$65536,FALSE),$C$226)</f>
        <v>2.7992362127267141</v>
      </c>
      <c r="D30" s="242">
        <f>INDEX('[9]Forward Price Curve'!$A:$IV,MATCH(B30,'[9]Forward Price Curve'!$D$1:$D$65536,FALSE),$D$226)</f>
        <v>2.9924233719620248</v>
      </c>
      <c r="E30" s="251">
        <f t="shared" si="0"/>
        <v>2017</v>
      </c>
      <c r="G30" s="244"/>
      <c r="K30" s="35">
        <f t="shared" si="11"/>
        <v>11</v>
      </c>
      <c r="L30" s="274">
        <f t="shared" si="12"/>
        <v>2017</v>
      </c>
      <c r="M30" s="246">
        <f t="shared" si="3"/>
        <v>43040</v>
      </c>
      <c r="N30" s="247">
        <f>INDEX('[9]Forward Price Curve'!$A$1:$P$65536,MATCH($M30,'[9]Forward Price Curve'!$D$1:$D$65536,FALSE),N$226)</f>
        <v>26.977499999999999</v>
      </c>
      <c r="O30" s="247">
        <f>INDEX('[9]Forward Price Curve'!$A$1:$P$65536,MATCH($M30,'[9]Forward Price Curve'!$D$1:$D$65536,FALSE),O$226)</f>
        <v>26.432500000000001</v>
      </c>
      <c r="P30" s="247">
        <f>INDEX('[9]Forward Price Curve'!$A$1:$P$65536,MATCH($M30,'[9]Forward Price Curve'!$D$1:$D$65536,FALSE),P$226)</f>
        <v>24.18</v>
      </c>
      <c r="Q30" s="248">
        <f>INDEX('[9]Forward Price Curve'!$A$1:$P$65536,MATCH($M30,'[9]Forward Price Curve'!$D$1:$D$65536,FALSE),Q$226)</f>
        <v>24.055</v>
      </c>
      <c r="S30" s="271">
        <f>INDEX('[9]Forward Price Curve'!$V:$V,MATCH($M30,'[9]Forward Price Curve'!$D:$D,FALSE),1)</f>
        <v>25.374001386962554</v>
      </c>
      <c r="T30" s="273">
        <f t="shared" si="13"/>
        <v>1.0417158727508116</v>
      </c>
      <c r="U30" s="273">
        <f t="shared" si="14"/>
        <v>0.94801760404883273</v>
      </c>
      <c r="W30" s="244"/>
      <c r="X30" s="249"/>
      <c r="Y30" s="249"/>
      <c r="Z30" s="249"/>
      <c r="AA30" s="249"/>
      <c r="AC30" s="213">
        <f t="shared" si="18"/>
        <v>2019</v>
      </c>
      <c r="AD30" s="260">
        <f t="shared" si="17"/>
        <v>0.95557254311217033</v>
      </c>
      <c r="AE30" s="260">
        <f t="shared" si="17"/>
        <v>0.9495369135190761</v>
      </c>
      <c r="AF30" s="260">
        <f t="shared" si="17"/>
        <v>0.96083186177398006</v>
      </c>
      <c r="AG30" s="260">
        <f t="shared" si="17"/>
        <v>0.83846974778934524</v>
      </c>
      <c r="AH30" s="260">
        <f t="shared" si="17"/>
        <v>0.82178388456295937</v>
      </c>
      <c r="AI30" s="260">
        <f t="shared" si="17"/>
        <v>0.79963207875503406</v>
      </c>
      <c r="AJ30" s="260">
        <f t="shared" si="17"/>
        <v>0.82409669985651546</v>
      </c>
      <c r="AK30" s="260">
        <f t="shared" si="17"/>
        <v>0.87323943661971837</v>
      </c>
      <c r="AL30" s="260">
        <f t="shared" si="17"/>
        <v>0.94076534495882636</v>
      </c>
      <c r="AM30" s="260">
        <f t="shared" si="17"/>
        <v>0.94352731002084245</v>
      </c>
      <c r="AN30" s="260">
        <f t="shared" si="17"/>
        <v>0.96109907171368925</v>
      </c>
      <c r="AO30" s="260">
        <f t="shared" si="17"/>
        <v>0.96176441357377118</v>
      </c>
    </row>
    <row r="31" spans="2:41" x14ac:dyDescent="0.2">
      <c r="B31" s="252">
        <f t="shared" si="9"/>
        <v>43070</v>
      </c>
      <c r="C31" s="253">
        <f>INDEX('[9]Forward Price Curve'!$A:$IV,MATCH(B31,'[9]Forward Price Curve'!$D$1:$D$65536,FALSE),$C$226)</f>
        <v>2.9918789015267957</v>
      </c>
      <c r="D31" s="253">
        <f>INDEX('[9]Forward Price Curve'!$A:$IV,MATCH(B31,'[9]Forward Price Curve'!$D$1:$D$65536,FALSE),$D$226)</f>
        <v>3.2361624573797467</v>
      </c>
      <c r="E31" s="254">
        <f t="shared" si="0"/>
        <v>2017</v>
      </c>
      <c r="G31" s="244"/>
      <c r="K31" s="35">
        <f t="shared" si="11"/>
        <v>12</v>
      </c>
      <c r="L31" s="274">
        <f t="shared" si="12"/>
        <v>2017</v>
      </c>
      <c r="M31" s="255">
        <f t="shared" si="3"/>
        <v>43070</v>
      </c>
      <c r="N31" s="256">
        <f>INDEX('[9]Forward Price Curve'!$A$1:$P$65536,MATCH($M31,'[9]Forward Price Curve'!$D$1:$D$65536,FALSE),N$226)</f>
        <v>28.885000000000002</v>
      </c>
      <c r="O31" s="256">
        <f>INDEX('[9]Forward Price Curve'!$A$1:$P$65536,MATCH($M31,'[9]Forward Price Curve'!$D$1:$D$65536,FALSE),O$226)</f>
        <v>27.522500000000001</v>
      </c>
      <c r="P31" s="256">
        <f>INDEX('[9]Forward Price Curve'!$A$1:$P$65536,MATCH($M31,'[9]Forward Price Curve'!$D$1:$D$65536,FALSE),P$226)</f>
        <v>24.645</v>
      </c>
      <c r="Q31" s="257">
        <f>INDEX('[9]Forward Price Curve'!$A$1:$P$65536,MATCH($M31,'[9]Forward Price Curve'!$D$1:$D$65536,FALSE),Q$226)</f>
        <v>25.245000000000001</v>
      </c>
      <c r="S31" s="271">
        <f>INDEX('[9]Forward Price Curve'!$V:$V,MATCH($M31,'[9]Forward Price Curve'!$D:$D,FALSE),1)</f>
        <v>26.469462365591401</v>
      </c>
      <c r="T31" s="273">
        <f t="shared" si="13"/>
        <v>1.0397831138337543</v>
      </c>
      <c r="U31" s="273">
        <f t="shared" si="14"/>
        <v>0.95374056530958773</v>
      </c>
      <c r="W31" s="244"/>
      <c r="X31" s="249"/>
      <c r="Y31" s="249"/>
      <c r="Z31" s="249"/>
      <c r="AA31" s="249"/>
      <c r="AC31" s="213">
        <f t="shared" si="18"/>
        <v>2020</v>
      </c>
      <c r="AD31" s="260">
        <f t="shared" si="17"/>
        <v>0.95467751307379434</v>
      </c>
      <c r="AE31" s="260">
        <f t="shared" si="17"/>
        <v>0.94854926517796689</v>
      </c>
      <c r="AF31" s="260">
        <f t="shared" si="17"/>
        <v>0.95960891285908745</v>
      </c>
      <c r="AG31" s="260">
        <f t="shared" si="17"/>
        <v>0.85583158836325213</v>
      </c>
      <c r="AH31" s="260">
        <f t="shared" si="17"/>
        <v>0.84512888956493792</v>
      </c>
      <c r="AI31" s="260">
        <f t="shared" si="17"/>
        <v>0.81184384874120885</v>
      </c>
      <c r="AJ31" s="260">
        <f t="shared" si="17"/>
        <v>0.81255961978406044</v>
      </c>
      <c r="AK31" s="260">
        <f t="shared" si="17"/>
        <v>0.86452057152694084</v>
      </c>
      <c r="AL31" s="260">
        <f t="shared" si="17"/>
        <v>0.92270818624354356</v>
      </c>
      <c r="AM31" s="260">
        <f t="shared" si="17"/>
        <v>0.93609365712830084</v>
      </c>
      <c r="AN31" s="260">
        <f t="shared" si="17"/>
        <v>0.9549266200200266</v>
      </c>
      <c r="AO31" s="260">
        <f t="shared" si="17"/>
        <v>0.95257111413471385</v>
      </c>
    </row>
    <row r="32" spans="2:41" x14ac:dyDescent="0.2">
      <c r="B32" s="241">
        <f t="shared" si="9"/>
        <v>43101</v>
      </c>
      <c r="C32" s="242">
        <f>INDEX('[9]Forward Price Curve'!$A:$IV,MATCH(B32,'[9]Forward Price Curve'!$D$1:$D$65536,FALSE),$C$226)</f>
        <v>3.1455831745055849</v>
      </c>
      <c r="D32" s="242">
        <f>INDEX('[9]Forward Price Curve'!$A:$IV,MATCH(B32,'[9]Forward Price Curve'!$D$1:$D$65536,FALSE),$D$226)</f>
        <v>3.2190842107088606</v>
      </c>
      <c r="E32" s="243">
        <f t="shared" si="0"/>
        <v>2018</v>
      </c>
      <c r="K32" s="35">
        <f t="shared" si="11"/>
        <v>1</v>
      </c>
      <c r="L32" s="274">
        <f t="shared" si="12"/>
        <v>2018</v>
      </c>
      <c r="M32" s="246">
        <f t="shared" si="3"/>
        <v>43101</v>
      </c>
      <c r="N32" s="258">
        <f>INDEX('[9]Forward Price Curve'!$A$1:$P$65536,MATCH($M32,'[9]Forward Price Curve'!$D$1:$D$65536,FALSE),N$226)</f>
        <v>28.262499999999999</v>
      </c>
      <c r="O32" s="258">
        <f>INDEX('[9]Forward Price Curve'!$A$1:$P$65536,MATCH($M32,'[9]Forward Price Curve'!$D$1:$D$65536,FALSE),O$226)</f>
        <v>28.65</v>
      </c>
      <c r="P32" s="258">
        <f>INDEX('[9]Forward Price Curve'!$A$1:$P$65536,MATCH($M32,'[9]Forward Price Curve'!$D$1:$D$65536,FALSE),P$226)</f>
        <v>25.71</v>
      </c>
      <c r="Q32" s="259">
        <f>INDEX('[9]Forward Price Curve'!$A$1:$P$65536,MATCH($M32,'[9]Forward Price Curve'!$D$1:$D$65536,FALSE),Q$226)</f>
        <v>26.27</v>
      </c>
      <c r="S32" s="271">
        <f>INDEX('[9]Forward Price Curve'!$V:$V,MATCH($M32,'[9]Forward Price Curve'!$D:$D,FALSE),1)</f>
        <v>27.60075268817204</v>
      </c>
      <c r="T32" s="273">
        <f t="shared" si="13"/>
        <v>1.0380151702267744</v>
      </c>
      <c r="U32" s="273">
        <f t="shared" si="14"/>
        <v>0.95178563776116443</v>
      </c>
      <c r="W32" s="244"/>
      <c r="X32" s="249"/>
      <c r="Y32" s="249"/>
      <c r="Z32" s="249"/>
      <c r="AA32" s="249"/>
      <c r="AC32" s="213">
        <f t="shared" si="18"/>
        <v>2021</v>
      </c>
      <c r="AD32" s="260">
        <f t="shared" si="17"/>
        <v>0.94002673879496701</v>
      </c>
      <c r="AE32" s="260">
        <f t="shared" si="17"/>
        <v>0.9314768206543802</v>
      </c>
      <c r="AF32" s="260">
        <f t="shared" si="17"/>
        <v>0.93889880991402219</v>
      </c>
      <c r="AG32" s="260">
        <f t="shared" si="17"/>
        <v>0.91093946176101326</v>
      </c>
      <c r="AH32" s="260">
        <f t="shared" si="17"/>
        <v>0.89874950990162994</v>
      </c>
      <c r="AI32" s="260">
        <f t="shared" si="17"/>
        <v>0.86679725759059756</v>
      </c>
      <c r="AJ32" s="260">
        <f t="shared" si="17"/>
        <v>0.81791720103174492</v>
      </c>
      <c r="AK32" s="260">
        <f t="shared" si="17"/>
        <v>0.86714308610432844</v>
      </c>
      <c r="AL32" s="260">
        <f t="shared" si="17"/>
        <v>0.92237988198932286</v>
      </c>
      <c r="AM32" s="260">
        <f t="shared" si="17"/>
        <v>0.92604292797759569</v>
      </c>
      <c r="AN32" s="260">
        <f t="shared" si="17"/>
        <v>0.9398766322537323</v>
      </c>
      <c r="AO32" s="260">
        <f t="shared" si="17"/>
        <v>0.93966662222529751</v>
      </c>
    </row>
    <row r="33" spans="2:41" x14ac:dyDescent="0.2">
      <c r="B33" s="250">
        <f t="shared" si="9"/>
        <v>43132</v>
      </c>
      <c r="C33" s="242">
        <f>INDEX('[9]Forward Price Curve'!$A:$IV,MATCH(B33,'[9]Forward Price Curve'!$D$1:$D$65536,FALSE),$C$226)</f>
        <v>3.1430214366226048</v>
      </c>
      <c r="D33" s="242">
        <f>INDEX('[9]Forward Price Curve'!$A:$IV,MATCH(B33,'[9]Forward Price Curve'!$D$1:$D$65536,FALSE),$D$226)</f>
        <v>3.1572207129493668</v>
      </c>
      <c r="E33" s="251">
        <f t="shared" si="0"/>
        <v>2018</v>
      </c>
      <c r="K33" s="35">
        <f t="shared" si="11"/>
        <v>2</v>
      </c>
      <c r="L33" s="274">
        <f t="shared" si="12"/>
        <v>2018</v>
      </c>
      <c r="M33" s="246">
        <f t="shared" si="3"/>
        <v>43132</v>
      </c>
      <c r="N33" s="247">
        <f>INDEX('[9]Forward Price Curve'!$A$1:$P$65536,MATCH($M33,'[9]Forward Price Curve'!$D$1:$D$65536,FALSE),N$226)</f>
        <v>27.504999999999999</v>
      </c>
      <c r="O33" s="247">
        <f>INDEX('[9]Forward Price Curve'!$A$1:$P$65536,MATCH($M33,'[9]Forward Price Curve'!$D$1:$D$65536,FALSE),O$226)</f>
        <v>28.274999999999999</v>
      </c>
      <c r="P33" s="247">
        <f>INDEX('[9]Forward Price Curve'!$A$1:$P$65536,MATCH($M33,'[9]Forward Price Curve'!$D$1:$D$65536,FALSE),P$226)</f>
        <v>23.592500000000001</v>
      </c>
      <c r="Q33" s="248">
        <f>INDEX('[9]Forward Price Curve'!$A$1:$P$65536,MATCH($M33,'[9]Forward Price Curve'!$D$1:$D$65536,FALSE),Q$226)</f>
        <v>25.7425</v>
      </c>
      <c r="S33" s="271">
        <f>INDEX('[9]Forward Price Curve'!$V:$V,MATCH($M33,'[9]Forward Price Curve'!$D:$D,FALSE),1)</f>
        <v>27.189642857142854</v>
      </c>
      <c r="T33" s="273">
        <f t="shared" si="13"/>
        <v>1.0399180360168658</v>
      </c>
      <c r="U33" s="273">
        <f t="shared" si="14"/>
        <v>0.94677595197751252</v>
      </c>
      <c r="W33" s="244"/>
      <c r="X33" s="249"/>
      <c r="Y33" s="249"/>
      <c r="Z33" s="249"/>
      <c r="AA33" s="249"/>
      <c r="AC33" s="213">
        <f t="shared" si="18"/>
        <v>2022</v>
      </c>
      <c r="AD33" s="260">
        <f t="shared" si="17"/>
        <v>0.94295244528767819</v>
      </c>
      <c r="AE33" s="260">
        <f t="shared" si="17"/>
        <v>0.93492497629970261</v>
      </c>
      <c r="AF33" s="260">
        <f t="shared" si="17"/>
        <v>0.94205936222075382</v>
      </c>
      <c r="AG33" s="260">
        <f t="shared" si="17"/>
        <v>0.9167522173042294</v>
      </c>
      <c r="AH33" s="260">
        <f t="shared" si="17"/>
        <v>0.92664017148222921</v>
      </c>
      <c r="AI33" s="260">
        <f t="shared" si="17"/>
        <v>0.88969883160147889</v>
      </c>
      <c r="AJ33" s="260">
        <f t="shared" si="17"/>
        <v>0.86470799641638918</v>
      </c>
      <c r="AK33" s="260">
        <f t="shared" si="17"/>
        <v>0.87210190017510136</v>
      </c>
      <c r="AL33" s="260">
        <f t="shared" si="17"/>
        <v>0.92270183900891467</v>
      </c>
      <c r="AM33" s="260">
        <f t="shared" si="17"/>
        <v>0.93213229953682897</v>
      </c>
      <c r="AN33" s="260">
        <f t="shared" si="17"/>
        <v>0.9283851329440771</v>
      </c>
      <c r="AO33" s="260">
        <f t="shared" si="17"/>
        <v>0.9341672379601057</v>
      </c>
    </row>
    <row r="34" spans="2:41" x14ac:dyDescent="0.2">
      <c r="B34" s="250">
        <f t="shared" si="9"/>
        <v>43160</v>
      </c>
      <c r="C34" s="242">
        <f>INDEX('[9]Forward Price Curve'!$A:$IV,MATCH(B34,'[9]Forward Price Curve'!$D$1:$D$65536,FALSE),$C$226)</f>
        <v>2.8766006967927042</v>
      </c>
      <c r="D34" s="242">
        <f>INDEX('[9]Forward Price Curve'!$A:$IV,MATCH(B34,'[9]Forward Price Curve'!$D$1:$D$65536,FALSE),$D$226)</f>
        <v>3.0955120029240502</v>
      </c>
      <c r="E34" s="251">
        <f t="shared" si="0"/>
        <v>2018</v>
      </c>
      <c r="K34" s="35">
        <f t="shared" si="11"/>
        <v>3</v>
      </c>
      <c r="L34" s="274">
        <f t="shared" si="12"/>
        <v>2018</v>
      </c>
      <c r="M34" s="246">
        <f t="shared" si="3"/>
        <v>43160</v>
      </c>
      <c r="N34" s="247">
        <f>INDEX('[9]Forward Price Curve'!$A$1:$P$65536,MATCH($M34,'[9]Forward Price Curve'!$D$1:$D$65536,FALSE),N$226)</f>
        <v>25.232500000000002</v>
      </c>
      <c r="O34" s="247">
        <f>INDEX('[9]Forward Price Curve'!$A$1:$P$65536,MATCH($M34,'[9]Forward Price Curve'!$D$1:$D$65536,FALSE),O$226)</f>
        <v>26.175000000000001</v>
      </c>
      <c r="P34" s="247">
        <f>INDEX('[9]Forward Price Curve'!$A$1:$P$65536,MATCH($M34,'[9]Forward Price Curve'!$D$1:$D$65536,FALSE),P$226)</f>
        <v>22.2575</v>
      </c>
      <c r="Q34" s="248">
        <f>INDEX('[9]Forward Price Curve'!$A$1:$P$65536,MATCH($M34,'[9]Forward Price Curve'!$D$1:$D$65536,FALSE),Q$226)</f>
        <v>24.287500000000001</v>
      </c>
      <c r="S34" s="271">
        <f>INDEX('[9]Forward Price Curve'!$V:$V,MATCH($M34,'[9]Forward Price Curve'!$D:$D,FALSE),1)</f>
        <v>25.384942799461644</v>
      </c>
      <c r="T34" s="273">
        <f t="shared" si="13"/>
        <v>1.0311230640454747</v>
      </c>
      <c r="U34" s="273">
        <f t="shared" si="14"/>
        <v>0.9567679624834563</v>
      </c>
      <c r="W34" s="244"/>
      <c r="X34" s="249"/>
      <c r="Y34" s="249"/>
      <c r="Z34" s="249"/>
      <c r="AA34" s="249"/>
      <c r="AC34" s="213">
        <f t="shared" si="18"/>
        <v>2023</v>
      </c>
      <c r="AD34" s="260">
        <f t="shared" si="17"/>
        <v>0.93726136937569005</v>
      </c>
      <c r="AE34" s="260">
        <f t="shared" si="17"/>
        <v>0.93135407736690656</v>
      </c>
      <c r="AF34" s="260">
        <f t="shared" si="17"/>
        <v>0.94264610456188247</v>
      </c>
      <c r="AG34" s="260">
        <f t="shared" si="17"/>
        <v>0.94145439821221866</v>
      </c>
      <c r="AH34" s="260">
        <f t="shared" si="17"/>
        <v>0.94449887632090834</v>
      </c>
      <c r="AI34" s="260">
        <f t="shared" si="17"/>
        <v>0.90603552167462165</v>
      </c>
      <c r="AJ34" s="260">
        <f t="shared" si="17"/>
        <v>0.89926220360400111</v>
      </c>
      <c r="AK34" s="260">
        <f t="shared" si="17"/>
        <v>0.87991813030975019</v>
      </c>
      <c r="AL34" s="260">
        <f t="shared" si="17"/>
        <v>0.92296773707883262</v>
      </c>
      <c r="AM34" s="260">
        <f t="shared" si="17"/>
        <v>0.93723767404246761</v>
      </c>
      <c r="AN34" s="260">
        <f t="shared" si="17"/>
        <v>0.91951745847719846</v>
      </c>
      <c r="AO34" s="260">
        <f t="shared" si="17"/>
        <v>0.93242410699037459</v>
      </c>
    </row>
    <row r="35" spans="2:41" x14ac:dyDescent="0.2">
      <c r="B35" s="250">
        <f t="shared" si="9"/>
        <v>43191</v>
      </c>
      <c r="C35" s="242">
        <f>INDEX('[9]Forward Price Curve'!$A:$IV,MATCH(B35,'[9]Forward Price Curve'!$D$1:$D$65536,FALSE),$C$226)</f>
        <v>2.4416176042627318</v>
      </c>
      <c r="D35" s="242">
        <f>INDEX('[9]Forward Price Curve'!$A:$IV,MATCH(B35,'[9]Forward Price Curve'!$D$1:$D$65536,FALSE),$D$226)</f>
        <v>2.4322981578860761</v>
      </c>
      <c r="E35" s="251">
        <f t="shared" si="0"/>
        <v>2018</v>
      </c>
      <c r="K35" s="35">
        <f t="shared" si="11"/>
        <v>4</v>
      </c>
      <c r="L35" s="274">
        <f t="shared" si="12"/>
        <v>2018</v>
      </c>
      <c r="M35" s="246">
        <f t="shared" si="3"/>
        <v>43191</v>
      </c>
      <c r="N35" s="247">
        <f>INDEX('[9]Forward Price Curve'!$A$1:$P$65536,MATCH($M35,'[9]Forward Price Curve'!$D$1:$D$65536,FALSE),N$226)</f>
        <v>22.45</v>
      </c>
      <c r="O35" s="247">
        <f>INDEX('[9]Forward Price Curve'!$A$1:$P$65536,MATCH($M35,'[9]Forward Price Curve'!$D$1:$D$65536,FALSE),O$226)</f>
        <v>21.565000000000001</v>
      </c>
      <c r="P35" s="247">
        <f>INDEX('[9]Forward Price Curve'!$A$1:$P$65536,MATCH($M35,'[9]Forward Price Curve'!$D$1:$D$65536,FALSE),P$226)</f>
        <v>15.57</v>
      </c>
      <c r="Q35" s="248">
        <f>INDEX('[9]Forward Price Curve'!$A$1:$P$65536,MATCH($M35,'[9]Forward Price Curve'!$D$1:$D$65536,FALSE),Q$226)</f>
        <v>17.28</v>
      </c>
      <c r="S35" s="271">
        <f>INDEX('[9]Forward Price Curve'!$V:$V,MATCH($M35,'[9]Forward Price Curve'!$D:$D,FALSE),1)</f>
        <v>19.660555555555558</v>
      </c>
      <c r="T35" s="273">
        <f t="shared" si="13"/>
        <v>1.0968662578767414</v>
      </c>
      <c r="U35" s="273">
        <f t="shared" si="14"/>
        <v>0.87891717765407329</v>
      </c>
      <c r="X35" s="260"/>
      <c r="Y35" s="260"/>
      <c r="Z35" s="260"/>
      <c r="AA35" s="260"/>
      <c r="AC35" s="213">
        <f t="shared" si="18"/>
        <v>2024</v>
      </c>
      <c r="AD35" s="260">
        <f t="shared" si="17"/>
        <v>0.93046209561760629</v>
      </c>
      <c r="AE35" s="260">
        <f t="shared" si="17"/>
        <v>0.92835702378974105</v>
      </c>
      <c r="AF35" s="260">
        <f t="shared" si="17"/>
        <v>0.94507837172905362</v>
      </c>
      <c r="AG35" s="260">
        <f t="shared" si="17"/>
        <v>0.9543482976576686</v>
      </c>
      <c r="AH35" s="260">
        <f t="shared" si="17"/>
        <v>0.94614984317370721</v>
      </c>
      <c r="AI35" s="260">
        <f t="shared" si="17"/>
        <v>0.92199600248192282</v>
      </c>
      <c r="AJ35" s="260">
        <f t="shared" si="17"/>
        <v>0.89172889197594951</v>
      </c>
      <c r="AK35" s="260">
        <f t="shared" si="17"/>
        <v>0.88067312096673755</v>
      </c>
      <c r="AL35" s="260">
        <f t="shared" si="17"/>
        <v>0.91102511479246884</v>
      </c>
      <c r="AM35" s="260">
        <f t="shared" si="17"/>
        <v>0.92062975656206869</v>
      </c>
      <c r="AN35" s="260">
        <f t="shared" si="17"/>
        <v>0.91798208895551836</v>
      </c>
      <c r="AO35" s="260">
        <f t="shared" si="17"/>
        <v>0.93494006384031347</v>
      </c>
    </row>
    <row r="36" spans="2:41" x14ac:dyDescent="0.2">
      <c r="B36" s="250">
        <f t="shared" si="9"/>
        <v>43221</v>
      </c>
      <c r="C36" s="242">
        <f>INDEX('[9]Forward Price Curve'!$A:$IV,MATCH(B36,'[9]Forward Price Curve'!$D$1:$D$65536,FALSE),$C$226)</f>
        <v>2.4805560200840251</v>
      </c>
      <c r="D36" s="242">
        <f>INDEX('[9]Forward Price Curve'!$A:$IV,MATCH(B36,'[9]Forward Price Curve'!$D$1:$D$65536,FALSE),$D$226)</f>
        <v>2.4043847698227845</v>
      </c>
      <c r="E36" s="251">
        <f t="shared" si="0"/>
        <v>2018</v>
      </c>
      <c r="K36" s="35">
        <f t="shared" si="11"/>
        <v>5</v>
      </c>
      <c r="L36" s="274">
        <f t="shared" si="12"/>
        <v>2018</v>
      </c>
      <c r="M36" s="246">
        <f t="shared" si="3"/>
        <v>43221</v>
      </c>
      <c r="N36" s="247">
        <f>INDEX('[9]Forward Price Curve'!$A$1:$P$65536,MATCH($M36,'[9]Forward Price Curve'!$D$1:$D$65536,FALSE),N$226)</f>
        <v>17.41</v>
      </c>
      <c r="O36" s="247">
        <f>INDEX('[9]Forward Price Curve'!$A$1:$P$65536,MATCH($M36,'[9]Forward Price Curve'!$D$1:$D$65536,FALSE),O$226)</f>
        <v>22.232500000000002</v>
      </c>
      <c r="P36" s="247">
        <f>INDEX('[9]Forward Price Curve'!$A$1:$P$65536,MATCH($M36,'[9]Forward Price Curve'!$D$1:$D$65536,FALSE),P$226)</f>
        <v>12.33</v>
      </c>
      <c r="Q36" s="248">
        <f>INDEX('[9]Forward Price Curve'!$A$1:$P$65536,MATCH($M36,'[9]Forward Price Curve'!$D$1:$D$65536,FALSE),Q$226)</f>
        <v>17.09</v>
      </c>
      <c r="S36" s="271">
        <f>INDEX('[9]Forward Price Curve'!$V:$V,MATCH($M36,'[9]Forward Price Curve'!$D:$D,FALSE),1)</f>
        <v>19.965376344086021</v>
      </c>
      <c r="T36" s="273">
        <f t="shared" si="13"/>
        <v>1.1135527633860771</v>
      </c>
      <c r="U36" s="273">
        <f t="shared" si="14"/>
        <v>0.85598186107131702</v>
      </c>
      <c r="X36" s="262" t="s">
        <v>219</v>
      </c>
      <c r="Y36" s="262"/>
      <c r="Z36" s="262"/>
      <c r="AA36" s="262"/>
      <c r="AC36" s="213">
        <f t="shared" si="18"/>
        <v>2025</v>
      </c>
      <c r="AD36" s="260">
        <f t="shared" si="17"/>
        <v>0.9371793903752843</v>
      </c>
      <c r="AE36" s="260">
        <f t="shared" si="17"/>
        <v>0.93998390723653191</v>
      </c>
      <c r="AF36" s="260">
        <f t="shared" si="17"/>
        <v>0.95230774493809833</v>
      </c>
      <c r="AG36" s="260">
        <f t="shared" si="17"/>
        <v>0.95117470976222618</v>
      </c>
      <c r="AH36" s="260">
        <f t="shared" si="17"/>
        <v>0.95012211699214499</v>
      </c>
      <c r="AI36" s="260">
        <f t="shared" si="17"/>
        <v>0.91738567494390066</v>
      </c>
      <c r="AJ36" s="260">
        <f t="shared" si="17"/>
        <v>0.89127880915206747</v>
      </c>
      <c r="AK36" s="260">
        <f t="shared" si="17"/>
        <v>0.88886270979944992</v>
      </c>
      <c r="AL36" s="260">
        <f t="shared" si="17"/>
        <v>0.90189492665491744</v>
      </c>
      <c r="AM36" s="260">
        <f t="shared" si="17"/>
        <v>0.91943290932799293</v>
      </c>
      <c r="AN36" s="260">
        <f t="shared" si="17"/>
        <v>0.93048458018313318</v>
      </c>
      <c r="AO36" s="260">
        <f t="shared" si="17"/>
        <v>0.92771350390030771</v>
      </c>
    </row>
    <row r="37" spans="2:41" x14ac:dyDescent="0.2">
      <c r="B37" s="250">
        <f t="shared" si="9"/>
        <v>43252</v>
      </c>
      <c r="C37" s="242">
        <f>INDEX('[9]Forward Price Curve'!$A:$IV,MATCH(B37,'[9]Forward Price Curve'!$D$1:$D$65536,FALSE),$C$226)</f>
        <v>2.5036116610308436</v>
      </c>
      <c r="D37" s="242">
        <f>INDEX('[9]Forward Price Curve'!$A:$IV,MATCH(B37,'[9]Forward Price Curve'!$D$1:$D$65536,FALSE),$D$226)</f>
        <v>2.422340146987342</v>
      </c>
      <c r="E37" s="251">
        <f t="shared" si="0"/>
        <v>2018</v>
      </c>
      <c r="K37" s="35">
        <f t="shared" si="11"/>
        <v>6</v>
      </c>
      <c r="L37" s="274">
        <f t="shared" si="12"/>
        <v>2018</v>
      </c>
      <c r="M37" s="246">
        <f t="shared" si="3"/>
        <v>43252</v>
      </c>
      <c r="N37" s="247">
        <f>INDEX('[9]Forward Price Curve'!$A$1:$P$65536,MATCH($M37,'[9]Forward Price Curve'!$D$1:$D$65536,FALSE),N$226)</f>
        <v>16.690000000000001</v>
      </c>
      <c r="O37" s="247">
        <f>INDEX('[9]Forward Price Curve'!$A$1:$P$65536,MATCH($M37,'[9]Forward Price Curve'!$D$1:$D$65536,FALSE),O$226)</f>
        <v>24.68</v>
      </c>
      <c r="P37" s="247">
        <f>INDEX('[9]Forward Price Curve'!$A$1:$P$65536,MATCH($M37,'[9]Forward Price Curve'!$D$1:$D$65536,FALSE),P$226)</f>
        <v>10.53</v>
      </c>
      <c r="Q37" s="248">
        <f>INDEX('[9]Forward Price Curve'!$A$1:$P$65536,MATCH($M37,'[9]Forward Price Curve'!$D$1:$D$65536,FALSE),Q$226)</f>
        <v>18.04</v>
      </c>
      <c r="S37" s="271">
        <f>INDEX('[9]Forward Price Curve'!$V:$V,MATCH($M37,'[9]Forward Price Curve'!$D:$D,FALSE),1)</f>
        <v>21.876444444444441</v>
      </c>
      <c r="T37" s="273">
        <f t="shared" si="13"/>
        <v>1.1281540774450451</v>
      </c>
      <c r="U37" s="273">
        <f t="shared" si="14"/>
        <v>0.82463126244362284</v>
      </c>
      <c r="X37" s="263">
        <f>ROUND(AVERAGE(X8:X34)-AVERAGE(N8:N223),2)</f>
        <v>0</v>
      </c>
      <c r="Y37" s="263">
        <f>ROUND(AVERAGE(Y8:Y34)-AVERAGE(O8:O223),2)</f>
        <v>0</v>
      </c>
      <c r="Z37" s="263">
        <f>ROUND(AVERAGE(Z8:Z34)-AVERAGE(P8:P223),2)</f>
        <v>0</v>
      </c>
      <c r="AA37" s="263">
        <f>ROUND(AVERAGE(AA8:AA34)-AVERAGE(Q8:Q223),2)</f>
        <v>0</v>
      </c>
      <c r="AC37" s="213">
        <f t="shared" si="18"/>
        <v>2026</v>
      </c>
      <c r="AD37" s="260">
        <f t="shared" si="17"/>
        <v>0.9355967533076055</v>
      </c>
      <c r="AE37" s="260">
        <f t="shared" si="17"/>
        <v>0.93852077047448379</v>
      </c>
      <c r="AF37" s="260">
        <f t="shared" si="17"/>
        <v>0.9462636285320607</v>
      </c>
      <c r="AG37" s="260">
        <f t="shared" si="17"/>
        <v>0.95085422198738068</v>
      </c>
      <c r="AH37" s="260">
        <f t="shared" si="17"/>
        <v>0.94740251709491996</v>
      </c>
      <c r="AI37" s="260">
        <f t="shared" si="17"/>
        <v>0.91676921625123819</v>
      </c>
      <c r="AJ37" s="260">
        <f t="shared" si="17"/>
        <v>0.89831739635855679</v>
      </c>
      <c r="AK37" s="260">
        <f t="shared" si="17"/>
        <v>0.89543451834220711</v>
      </c>
      <c r="AL37" s="260">
        <f t="shared" si="17"/>
        <v>0.91538941662676909</v>
      </c>
      <c r="AM37" s="260">
        <f t="shared" si="17"/>
        <v>0.92709766980284436</v>
      </c>
      <c r="AN37" s="260">
        <f t="shared" si="17"/>
        <v>0.92774770718713839</v>
      </c>
      <c r="AO37" s="260">
        <f t="shared" si="17"/>
        <v>0.92802471042229528</v>
      </c>
    </row>
    <row r="38" spans="2:41" x14ac:dyDescent="0.2">
      <c r="B38" s="250">
        <f t="shared" si="9"/>
        <v>43282</v>
      </c>
      <c r="C38" s="242">
        <f>INDEX('[9]Forward Price Curve'!$A:$IV,MATCH(B38,'[9]Forward Price Curve'!$D$1:$D$65536,FALSE),$C$226)</f>
        <v>2.5860996208627935</v>
      </c>
      <c r="D38" s="242">
        <f>INDEX('[9]Forward Price Curve'!$A:$IV,MATCH(B38,'[9]Forward Price Curve'!$D$1:$D$65536,FALSE),$D$226)</f>
        <v>2.5979210334556964</v>
      </c>
      <c r="E38" s="251">
        <f t="shared" si="0"/>
        <v>2018</v>
      </c>
      <c r="K38" s="35">
        <f t="shared" si="11"/>
        <v>7</v>
      </c>
      <c r="L38" s="274">
        <f t="shared" si="12"/>
        <v>2018</v>
      </c>
      <c r="M38" s="246">
        <f t="shared" si="3"/>
        <v>43282</v>
      </c>
      <c r="N38" s="247">
        <f>INDEX('[9]Forward Price Curve'!$A$1:$P$65536,MATCH($M38,'[9]Forward Price Curve'!$D$1:$D$65536,FALSE),N$226)</f>
        <v>26.35</v>
      </c>
      <c r="O38" s="247">
        <f>INDEX('[9]Forward Price Curve'!$A$1:$P$65536,MATCH($M38,'[9]Forward Price Curve'!$D$1:$D$65536,FALSE),O$226)</f>
        <v>34.270000000000003</v>
      </c>
      <c r="P38" s="247">
        <f>INDEX('[9]Forward Price Curve'!$A$1:$P$65536,MATCH($M38,'[9]Forward Price Curve'!$D$1:$D$65536,FALSE),P$226)</f>
        <v>15.1775</v>
      </c>
      <c r="Q38" s="248">
        <f>INDEX('[9]Forward Price Curve'!$A$1:$P$65536,MATCH($M38,'[9]Forward Price Curve'!$D$1:$D$65536,FALSE),Q$226)</f>
        <v>24.375</v>
      </c>
      <c r="S38" s="271">
        <f>INDEX('[9]Forward Price Curve'!$V:$V,MATCH($M38,'[9]Forward Price Curve'!$D:$D,FALSE),1)</f>
        <v>29.69489247311828</v>
      </c>
      <c r="T38" s="273">
        <f t="shared" si="13"/>
        <v>1.1540705200742318</v>
      </c>
      <c r="U38" s="273">
        <f t="shared" si="14"/>
        <v>0.82084823247182359</v>
      </c>
      <c r="AC38" s="213">
        <f t="shared" si="18"/>
        <v>2027</v>
      </c>
      <c r="AD38" s="260">
        <f t="shared" si="17"/>
        <v>0.93865235929829771</v>
      </c>
      <c r="AE38" s="260">
        <f t="shared" si="17"/>
        <v>0.93685888821398222</v>
      </c>
      <c r="AF38" s="260">
        <f t="shared" si="17"/>
        <v>0.94854399994043281</v>
      </c>
      <c r="AG38" s="260">
        <f t="shared" si="17"/>
        <v>0.95223537825081872</v>
      </c>
      <c r="AH38" s="260">
        <f t="shared" si="17"/>
        <v>0.95030094654876862</v>
      </c>
      <c r="AI38" s="260">
        <f t="shared" si="17"/>
        <v>0.91802228824210141</v>
      </c>
      <c r="AJ38" s="260">
        <f t="shared" si="17"/>
        <v>0.90442421287899111</v>
      </c>
      <c r="AK38" s="260">
        <f t="shared" si="17"/>
        <v>0.89764587114066841</v>
      </c>
      <c r="AL38" s="260">
        <f t="shared" si="17"/>
        <v>0.92090721906556816</v>
      </c>
      <c r="AM38" s="260">
        <f t="shared" si="17"/>
        <v>0.93069893516792868</v>
      </c>
      <c r="AN38" s="260">
        <f t="shared" si="17"/>
        <v>0.92267326014108064</v>
      </c>
      <c r="AO38" s="260">
        <f t="shared" si="17"/>
        <v>0.92832176031484104</v>
      </c>
    </row>
    <row r="39" spans="2:41" x14ac:dyDescent="0.2">
      <c r="B39" s="250">
        <f t="shared" si="9"/>
        <v>43313</v>
      </c>
      <c r="C39" s="242">
        <f>INDEX('[9]Forward Price Curve'!$A:$IV,MATCH(B39,'[9]Forward Price Curve'!$D$1:$D$65536,FALSE),$C$226)</f>
        <v>2.5942971820883289</v>
      </c>
      <c r="D39" s="242">
        <f>INDEX('[9]Forward Price Curve'!$A:$IV,MATCH(B39,'[9]Forward Price Curve'!$D$1:$D$65536,FALSE),$D$226)</f>
        <v>2.6074146811518988</v>
      </c>
      <c r="E39" s="251">
        <f t="shared" si="0"/>
        <v>2018</v>
      </c>
      <c r="K39" s="35">
        <f t="shared" si="11"/>
        <v>8</v>
      </c>
      <c r="L39" s="274">
        <f t="shared" si="12"/>
        <v>2018</v>
      </c>
      <c r="M39" s="246">
        <f t="shared" si="3"/>
        <v>43313</v>
      </c>
      <c r="N39" s="247">
        <f>INDEX('[9]Forward Price Curve'!$A$1:$P$65536,MATCH($M39,'[9]Forward Price Curve'!$D$1:$D$65536,FALSE),N$226)</f>
        <v>31.12</v>
      </c>
      <c r="O39" s="247">
        <f>INDEX('[9]Forward Price Curve'!$A$1:$P$65536,MATCH($M39,'[9]Forward Price Curve'!$D$1:$D$65536,FALSE),O$226)</f>
        <v>33.67</v>
      </c>
      <c r="P39" s="247">
        <f>INDEX('[9]Forward Price Curve'!$A$1:$P$65536,MATCH($M39,'[9]Forward Price Curve'!$D$1:$D$65536,FALSE),P$226)</f>
        <v>19.95</v>
      </c>
      <c r="Q39" s="248">
        <f>INDEX('[9]Forward Price Curve'!$A$1:$P$65536,MATCH($M39,'[9]Forward Price Curve'!$D$1:$D$65536,FALSE),Q$226)</f>
        <v>26.58</v>
      </c>
      <c r="S39" s="271">
        <f>INDEX('[9]Forward Price Curve'!$V:$V,MATCH($M39,'[9]Forward Price Curve'!$D:$D,FALSE),1)</f>
        <v>30.696774193548386</v>
      </c>
      <c r="T39" s="273">
        <f t="shared" si="13"/>
        <v>1.096857923497268</v>
      </c>
      <c r="U39" s="273">
        <f t="shared" si="14"/>
        <v>0.86588902900378306</v>
      </c>
      <c r="AC39" s="213">
        <f t="shared" si="18"/>
        <v>2028</v>
      </c>
      <c r="AD39" s="260">
        <f t="shared" si="17"/>
        <v>0.93444737796836197</v>
      </c>
      <c r="AE39" s="260">
        <f t="shared" si="17"/>
        <v>0.94156690866535742</v>
      </c>
      <c r="AF39" s="260">
        <f t="shared" si="17"/>
        <v>0.94555637600638931</v>
      </c>
      <c r="AG39" s="260">
        <f t="shared" si="17"/>
        <v>0.95804586213117726</v>
      </c>
      <c r="AH39" s="260">
        <f t="shared" si="17"/>
        <v>0.94493945078890751</v>
      </c>
      <c r="AI39" s="260">
        <f t="shared" si="17"/>
        <v>0.91815291746924066</v>
      </c>
      <c r="AJ39" s="260">
        <f t="shared" si="17"/>
        <v>0.91495134921247367</v>
      </c>
      <c r="AK39" s="260">
        <f t="shared" si="17"/>
        <v>0.89306293844904505</v>
      </c>
      <c r="AL39" s="260">
        <f t="shared" si="17"/>
        <v>0.92712037650971368</v>
      </c>
      <c r="AM39" s="260">
        <f t="shared" si="17"/>
        <v>0.93118455365354458</v>
      </c>
      <c r="AN39" s="260">
        <f t="shared" si="17"/>
        <v>0.91935239191423757</v>
      </c>
      <c r="AO39" s="260">
        <f t="shared" si="17"/>
        <v>0.93489910229272333</v>
      </c>
    </row>
    <row r="40" spans="2:41" x14ac:dyDescent="0.2">
      <c r="B40" s="250">
        <f t="shared" si="9"/>
        <v>43344</v>
      </c>
      <c r="C40" s="242">
        <f>INDEX('[9]Forward Price Curve'!$A:$IV,MATCH(B40,'[9]Forward Price Curve'!$D$1:$D$65536,FALSE),$C$226)</f>
        <v>2.5799514499436418</v>
      </c>
      <c r="D40" s="242">
        <f>INDEX('[9]Forward Price Curve'!$A:$IV,MATCH(B40,'[9]Forward Price Curve'!$D$1:$D$65536,FALSE),$D$226)</f>
        <v>2.6239253727974678</v>
      </c>
      <c r="E40" s="251">
        <f t="shared" si="0"/>
        <v>2018</v>
      </c>
      <c r="K40" s="35">
        <f t="shared" si="11"/>
        <v>9</v>
      </c>
      <c r="L40" s="274">
        <f t="shared" si="12"/>
        <v>2018</v>
      </c>
      <c r="M40" s="246">
        <f t="shared" si="3"/>
        <v>43344</v>
      </c>
      <c r="N40" s="247">
        <f>INDEX('[9]Forward Price Curve'!$A$1:$P$65536,MATCH($M40,'[9]Forward Price Curve'!$D$1:$D$65536,FALSE),N$226)</f>
        <v>29.53</v>
      </c>
      <c r="O40" s="247">
        <f>INDEX('[9]Forward Price Curve'!$A$1:$P$65536,MATCH($M40,'[9]Forward Price Curve'!$D$1:$D$65536,FALSE),O$226)</f>
        <v>29.47</v>
      </c>
      <c r="P40" s="247">
        <f>INDEX('[9]Forward Price Curve'!$A$1:$P$65536,MATCH($M40,'[9]Forward Price Curve'!$D$1:$D$65536,FALSE),P$226)</f>
        <v>24.7225</v>
      </c>
      <c r="Q40" s="248">
        <f>INDEX('[9]Forward Price Curve'!$A$1:$P$65536,MATCH($M40,'[9]Forward Price Curve'!$D$1:$D$65536,FALSE),Q$226)</f>
        <v>26.09</v>
      </c>
      <c r="S40" s="271">
        <f>INDEX('[9]Forward Price Curve'!$V:$V,MATCH($M40,'[9]Forward Price Curve'!$D:$D,FALSE),1)</f>
        <v>27.892666666666667</v>
      </c>
      <c r="T40" s="273">
        <f t="shared" si="13"/>
        <v>1.0565501087502092</v>
      </c>
      <c r="U40" s="273">
        <f t="shared" si="14"/>
        <v>0.93537130428547521</v>
      </c>
    </row>
    <row r="41" spans="2:41" x14ac:dyDescent="0.2">
      <c r="B41" s="250">
        <f t="shared" si="9"/>
        <v>43374</v>
      </c>
      <c r="C41" s="242">
        <f>INDEX('[9]Forward Price Curve'!$A:$IV,MATCH(B41,'[9]Forward Price Curve'!$D$1:$D$65536,FALSE),$C$226)</f>
        <v>2.6030070908904603</v>
      </c>
      <c r="D41" s="242">
        <f>INDEX('[9]Forward Price Curve'!$A:$IV,MATCH(B41,'[9]Forward Price Curve'!$D$1:$D$65536,FALSE),$D$226)</f>
        <v>2.6535414259367087</v>
      </c>
      <c r="E41" s="251">
        <f t="shared" si="0"/>
        <v>2018</v>
      </c>
      <c r="K41" s="35">
        <f t="shared" si="11"/>
        <v>10</v>
      </c>
      <c r="L41" s="274">
        <f t="shared" si="12"/>
        <v>2018</v>
      </c>
      <c r="M41" s="246">
        <f t="shared" si="3"/>
        <v>43374</v>
      </c>
      <c r="N41" s="247">
        <f>INDEX('[9]Forward Price Curve'!$A$1:$P$65536,MATCH($M41,'[9]Forward Price Curve'!$D$1:$D$65536,FALSE),N$226)</f>
        <v>28.887499999999999</v>
      </c>
      <c r="O41" s="247">
        <f>INDEX('[9]Forward Price Curve'!$A$1:$P$65536,MATCH($M41,'[9]Forward Price Curve'!$D$1:$D$65536,FALSE),O$226)</f>
        <v>29.545000000000002</v>
      </c>
      <c r="P41" s="247">
        <f>INDEX('[9]Forward Price Curve'!$A$1:$P$65536,MATCH($M41,'[9]Forward Price Curve'!$D$1:$D$65536,FALSE),P$226)</f>
        <v>23.175000000000001</v>
      </c>
      <c r="Q41" s="248">
        <f>INDEX('[9]Forward Price Curve'!$A$1:$P$65536,MATCH($M41,'[9]Forward Price Curve'!$D$1:$D$65536,FALSE),Q$226)</f>
        <v>26.5</v>
      </c>
      <c r="S41" s="271">
        <f>INDEX('[9]Forward Price Curve'!$V:$V,MATCH($M41,'[9]Forward Price Curve'!$D:$D,FALSE),1)</f>
        <v>28.26806451612903</v>
      </c>
      <c r="T41" s="273">
        <f t="shared" si="13"/>
        <v>1.0451723705081537</v>
      </c>
      <c r="U41" s="273">
        <f t="shared" si="14"/>
        <v>0.93745364083486449</v>
      </c>
    </row>
    <row r="42" spans="2:41" x14ac:dyDescent="0.2">
      <c r="B42" s="250">
        <f t="shared" si="9"/>
        <v>43405</v>
      </c>
      <c r="C42" s="242">
        <f>INDEX('[9]Forward Price Curve'!$A:$IV,MATCH(B42,'[9]Forward Price Curve'!$D$1:$D$65536,FALSE),$C$226)</f>
        <v>2.8617426170714215</v>
      </c>
      <c r="D42" s="242">
        <f>INDEX('[9]Forward Price Curve'!$A:$IV,MATCH(B42,'[9]Forward Price Curve'!$D$1:$D$65536,FALSE),$D$226)</f>
        <v>3.0886497467088603</v>
      </c>
      <c r="E42" s="251">
        <f t="shared" si="0"/>
        <v>2018</v>
      </c>
      <c r="K42" s="35">
        <f t="shared" si="11"/>
        <v>11</v>
      </c>
      <c r="L42" s="274">
        <f t="shared" si="12"/>
        <v>2018</v>
      </c>
      <c r="M42" s="246">
        <f t="shared" si="3"/>
        <v>43405</v>
      </c>
      <c r="N42" s="247">
        <f>INDEX('[9]Forward Price Curve'!$A$1:$P$65536,MATCH($M42,'[9]Forward Price Curve'!$D$1:$D$65536,FALSE),N$226)</f>
        <v>29.977499999999999</v>
      </c>
      <c r="O42" s="247">
        <f>INDEX('[9]Forward Price Curve'!$A$1:$P$65536,MATCH($M42,'[9]Forward Price Curve'!$D$1:$D$65536,FALSE),O$226)</f>
        <v>28.182500000000001</v>
      </c>
      <c r="P42" s="247">
        <f>INDEX('[9]Forward Price Curve'!$A$1:$P$65536,MATCH($M42,'[9]Forward Price Curve'!$D$1:$D$65536,FALSE),P$226)</f>
        <v>26.43</v>
      </c>
      <c r="Q42" s="248">
        <f>INDEX('[9]Forward Price Curve'!$A$1:$P$65536,MATCH($M42,'[9]Forward Price Curve'!$D$1:$D$65536,FALSE),Q$226)</f>
        <v>26.004999999999999</v>
      </c>
      <c r="S42" s="271">
        <f>INDEX('[9]Forward Price Curve'!$V:$V,MATCH($M42,'[9]Forward Price Curve'!$D:$D,FALSE),1)</f>
        <v>27.213044382801666</v>
      </c>
      <c r="T42" s="273">
        <f t="shared" si="13"/>
        <v>1.0356246660080053</v>
      </c>
      <c r="U42" s="273">
        <f t="shared" si="14"/>
        <v>0.95560789282491532</v>
      </c>
    </row>
    <row r="43" spans="2:41" x14ac:dyDescent="0.2">
      <c r="B43" s="252">
        <f t="shared" si="9"/>
        <v>43435</v>
      </c>
      <c r="C43" s="253">
        <f>INDEX('[9]Forward Price Curve'!$A:$IV,MATCH(B43,'[9]Forward Price Curve'!$D$1:$D$65536,FALSE),$C$226)</f>
        <v>3.0461877446459678</v>
      </c>
      <c r="D43" s="253">
        <f>INDEX('[9]Forward Price Curve'!$A:$IV,MATCH(B43,'[9]Forward Price Curve'!$D$1:$D$65536,FALSE),$D$226)</f>
        <v>3.3654102154177217</v>
      </c>
      <c r="E43" s="254">
        <f t="shared" si="0"/>
        <v>2018</v>
      </c>
      <c r="K43" s="35">
        <f t="shared" si="11"/>
        <v>12</v>
      </c>
      <c r="L43" s="274">
        <f t="shared" si="12"/>
        <v>2018</v>
      </c>
      <c r="M43" s="255">
        <f t="shared" si="3"/>
        <v>43435</v>
      </c>
      <c r="N43" s="256">
        <f>INDEX('[9]Forward Price Curve'!$A$1:$P$65536,MATCH($M43,'[9]Forward Price Curve'!$D$1:$D$65536,FALSE),N$226)</f>
        <v>31.885000000000002</v>
      </c>
      <c r="O43" s="256">
        <f>INDEX('[9]Forward Price Curve'!$A$1:$P$65536,MATCH($M43,'[9]Forward Price Curve'!$D$1:$D$65536,FALSE),O$226)</f>
        <v>29.272500000000001</v>
      </c>
      <c r="P43" s="256">
        <f>INDEX('[9]Forward Price Curve'!$A$1:$P$65536,MATCH($M43,'[9]Forward Price Curve'!$D$1:$D$65536,FALSE),P$226)</f>
        <v>26.895</v>
      </c>
      <c r="Q43" s="257">
        <f>INDEX('[9]Forward Price Curve'!$A$1:$P$65536,MATCH($M43,'[9]Forward Price Curve'!$D$1:$D$65536,FALSE),Q$226)</f>
        <v>26.995000000000001</v>
      </c>
      <c r="S43" s="271">
        <f>INDEX('[9]Forward Price Curve'!$V:$V,MATCH($M43,'[9]Forward Price Curve'!$D:$D,FALSE),1)</f>
        <v>28.219462365591401</v>
      </c>
      <c r="T43" s="273">
        <f t="shared" si="13"/>
        <v>1.037316006264265</v>
      </c>
      <c r="U43" s="273">
        <f t="shared" si="14"/>
        <v>0.95660929504155212</v>
      </c>
    </row>
    <row r="44" spans="2:41" x14ac:dyDescent="0.2">
      <c r="B44" s="241">
        <f t="shared" si="9"/>
        <v>43466</v>
      </c>
      <c r="C44" s="242">
        <f>INDEX('[9]Forward Price Curve'!$A:$IV,MATCH(B44,'[9]Forward Price Curve'!$D$1:$D$65536,FALSE),$C$226)</f>
        <v>3.1998920176247569</v>
      </c>
      <c r="D44" s="242">
        <f>INDEX('[9]Forward Price Curve'!$A:$IV,MATCH(B44,'[9]Forward Price Curve'!$D$1:$D$65536,FALSE),$D$226)</f>
        <v>3.3264553023164556</v>
      </c>
      <c r="E44" s="243">
        <f t="shared" si="0"/>
        <v>2019</v>
      </c>
      <c r="K44" s="35">
        <f t="shared" si="11"/>
        <v>1</v>
      </c>
      <c r="L44" s="274">
        <f t="shared" si="12"/>
        <v>2019</v>
      </c>
      <c r="M44" s="246">
        <f t="shared" si="3"/>
        <v>43466</v>
      </c>
      <c r="N44" s="258">
        <f>INDEX('[9]Forward Price Curve'!$A$1:$P$65536,MATCH($M44,'[9]Forward Price Curve'!$D$1:$D$65536,FALSE),N$226)</f>
        <v>29.512499999999999</v>
      </c>
      <c r="O44" s="258">
        <f>INDEX('[9]Forward Price Curve'!$A$1:$P$65536,MATCH($M44,'[9]Forward Price Curve'!$D$1:$D$65536,FALSE),O$226)</f>
        <v>29.7</v>
      </c>
      <c r="P44" s="258">
        <f>INDEX('[9]Forward Price Curve'!$A$1:$P$65536,MATCH($M44,'[9]Forward Price Curve'!$D$1:$D$65536,FALSE),P$226)</f>
        <v>25.94</v>
      </c>
      <c r="Q44" s="259">
        <f>INDEX('[9]Forward Price Curve'!$A$1:$P$65536,MATCH($M44,'[9]Forward Price Curve'!$D$1:$D$65536,FALSE),Q$226)</f>
        <v>27.42</v>
      </c>
      <c r="S44" s="271">
        <f>INDEX('[9]Forward Price Curve'!$V:$V,MATCH($M44,'[9]Forward Price Curve'!$D:$D,FALSE),1)</f>
        <v>28.69483870967742</v>
      </c>
      <c r="T44" s="273">
        <f t="shared" si="13"/>
        <v>1.0350293410077118</v>
      </c>
      <c r="U44" s="273">
        <f t="shared" si="14"/>
        <v>0.95557254311217033</v>
      </c>
    </row>
    <row r="45" spans="2:41" x14ac:dyDescent="0.2">
      <c r="B45" s="250">
        <f t="shared" si="9"/>
        <v>43497</v>
      </c>
      <c r="C45" s="242">
        <f>INDEX('[9]Forward Price Curve'!$A:$IV,MATCH(B45,'[9]Forward Price Curve'!$D$1:$D$65536,FALSE),$C$226)</f>
        <v>3.1952808894353932</v>
      </c>
      <c r="D45" s="242">
        <f>INDEX('[9]Forward Price Curve'!$A:$IV,MATCH(B45,'[9]Forward Price Curve'!$D$1:$D$65536,FALSE),$D$226)</f>
        <v>3.2122219544936703</v>
      </c>
      <c r="E45" s="251">
        <f t="shared" si="0"/>
        <v>2019</v>
      </c>
      <c r="K45" s="35">
        <f t="shared" si="11"/>
        <v>2</v>
      </c>
      <c r="L45" s="274">
        <f t="shared" si="12"/>
        <v>2019</v>
      </c>
      <c r="M45" s="246">
        <f t="shared" si="3"/>
        <v>43497</v>
      </c>
      <c r="N45" s="247">
        <f>INDEX('[9]Forward Price Curve'!$A$1:$P$65536,MATCH($M45,'[9]Forward Price Curve'!$D$1:$D$65536,FALSE),N$226)</f>
        <v>28.754999999999999</v>
      </c>
      <c r="O45" s="247">
        <f>INDEX('[9]Forward Price Curve'!$A$1:$P$65536,MATCH($M45,'[9]Forward Price Curve'!$D$1:$D$65536,FALSE),O$226)</f>
        <v>29.175000000000001</v>
      </c>
      <c r="P45" s="247">
        <f>INDEX('[9]Forward Price Curve'!$A$1:$P$65536,MATCH($M45,'[9]Forward Price Curve'!$D$1:$D$65536,FALSE),P$226)</f>
        <v>25.272500000000001</v>
      </c>
      <c r="Q45" s="248">
        <f>INDEX('[9]Forward Price Curve'!$A$1:$P$65536,MATCH($M45,'[9]Forward Price Curve'!$D$1:$D$65536,FALSE),Q$226)</f>
        <v>26.692499999999999</v>
      </c>
      <c r="S45" s="271">
        <f>INDEX('[9]Forward Price Curve'!$V:$V,MATCH($M45,'[9]Forward Price Curve'!$D:$D,FALSE),1)</f>
        <v>28.111071428571428</v>
      </c>
      <c r="T45" s="273">
        <f t="shared" si="13"/>
        <v>1.037847314860693</v>
      </c>
      <c r="U45" s="273">
        <f t="shared" si="14"/>
        <v>0.9495369135190761</v>
      </c>
    </row>
    <row r="46" spans="2:41" x14ac:dyDescent="0.2">
      <c r="B46" s="250">
        <f t="shared" si="9"/>
        <v>43525</v>
      </c>
      <c r="C46" s="242">
        <f>INDEX('[9]Forward Price Curve'!$A:$IV,MATCH(B46,'[9]Forward Price Curve'!$D$1:$D$65536,FALSE),$C$226)</f>
        <v>2.9268107592991086</v>
      </c>
      <c r="D46" s="242">
        <f>INDEX('[9]Forward Price Curve'!$A:$IV,MATCH(B46,'[9]Forward Price Curve'!$D$1:$D$65536,FALSE),$D$226)</f>
        <v>3.1510292035822784</v>
      </c>
      <c r="E46" s="251">
        <f t="shared" si="0"/>
        <v>2019</v>
      </c>
      <c r="K46" s="35">
        <f t="shared" si="11"/>
        <v>3</v>
      </c>
      <c r="L46" s="274">
        <f t="shared" si="12"/>
        <v>2019</v>
      </c>
      <c r="M46" s="246">
        <f t="shared" si="3"/>
        <v>43525</v>
      </c>
      <c r="N46" s="247">
        <f>INDEX('[9]Forward Price Curve'!$A$1:$P$65536,MATCH($M46,'[9]Forward Price Curve'!$D$1:$D$65536,FALSE),N$226)</f>
        <v>26.482500000000002</v>
      </c>
      <c r="O46" s="247">
        <f>INDEX('[9]Forward Price Curve'!$A$1:$P$65536,MATCH($M46,'[9]Forward Price Curve'!$D$1:$D$65536,FALSE),O$226)</f>
        <v>27.074999999999999</v>
      </c>
      <c r="P46" s="247">
        <f>INDEX('[9]Forward Price Curve'!$A$1:$P$65536,MATCH($M46,'[9]Forward Price Curve'!$D$1:$D$65536,FALSE),P$226)</f>
        <v>23.9375</v>
      </c>
      <c r="Q46" s="248">
        <f>INDEX('[9]Forward Price Curve'!$A$1:$P$65536,MATCH($M46,'[9]Forward Price Curve'!$D$1:$D$65536,FALSE),Q$226)</f>
        <v>25.237500000000001</v>
      </c>
      <c r="S46" s="271">
        <f>INDEX('[9]Forward Price Curve'!$V:$V,MATCH($M46,'[9]Forward Price Curve'!$D:$D,FALSE),1)</f>
        <v>26.266302153432033</v>
      </c>
      <c r="T46" s="273">
        <f t="shared" si="13"/>
        <v>1.030788416345934</v>
      </c>
      <c r="U46" s="273">
        <f t="shared" si="14"/>
        <v>0.96083186177398006</v>
      </c>
    </row>
    <row r="47" spans="2:41" x14ac:dyDescent="0.2">
      <c r="B47" s="250">
        <f t="shared" si="9"/>
        <v>43556</v>
      </c>
      <c r="C47" s="242">
        <f>INDEX('[9]Forward Price Curve'!$A:$IV,MATCH(B47,'[9]Forward Price Curve'!$D$1:$D$65536,FALSE),$C$226)</f>
        <v>2.5041240086074392</v>
      </c>
      <c r="D47" s="242">
        <f>INDEX('[9]Forward Price Curve'!$A:$IV,MATCH(B47,'[9]Forward Price Curve'!$D$1:$D$65536,FALSE),$D$226)</f>
        <v>2.5917295240886076</v>
      </c>
      <c r="E47" s="251">
        <f t="shared" si="0"/>
        <v>2019</v>
      </c>
      <c r="K47" s="35">
        <f t="shared" si="11"/>
        <v>4</v>
      </c>
      <c r="L47" s="274">
        <f t="shared" si="12"/>
        <v>2019</v>
      </c>
      <c r="M47" s="246">
        <f t="shared" si="3"/>
        <v>43556</v>
      </c>
      <c r="N47" s="247">
        <f>INDEX('[9]Forward Price Curve'!$A$1:$P$65536,MATCH($M47,'[9]Forward Price Curve'!$D$1:$D$65536,FALSE),N$226)</f>
        <v>24.5</v>
      </c>
      <c r="O47" s="247">
        <f>INDEX('[9]Forward Price Curve'!$A$1:$P$65536,MATCH($M47,'[9]Forward Price Curve'!$D$1:$D$65536,FALSE),O$226)</f>
        <v>22.815000000000001</v>
      </c>
      <c r="P47" s="247">
        <f>INDEX('[9]Forward Price Curve'!$A$1:$P$65536,MATCH($M47,'[9]Forward Price Curve'!$D$1:$D$65536,FALSE),P$226)</f>
        <v>16.36</v>
      </c>
      <c r="Q47" s="248">
        <f>INDEX('[9]Forward Price Curve'!$A$1:$P$65536,MATCH($M47,'[9]Forward Price Curve'!$D$1:$D$65536,FALSE),Q$226)</f>
        <v>17.11</v>
      </c>
      <c r="S47" s="271">
        <f>INDEX('[9]Forward Price Curve'!$V:$V,MATCH($M47,'[9]Forward Price Curve'!$D:$D,FALSE),1)</f>
        <v>20.406222222222222</v>
      </c>
      <c r="T47" s="273">
        <f t="shared" si="13"/>
        <v>1.11804133815394</v>
      </c>
      <c r="U47" s="273">
        <f t="shared" si="14"/>
        <v>0.83846974778934524</v>
      </c>
    </row>
    <row r="48" spans="2:41" x14ac:dyDescent="0.2">
      <c r="B48" s="250">
        <f t="shared" si="9"/>
        <v>43586</v>
      </c>
      <c r="C48" s="242">
        <f>INDEX('[9]Forward Price Curve'!$A:$IV,MATCH(B48,'[9]Forward Price Curve'!$D$1:$D$65536,FALSE),$C$226)</f>
        <v>2.5430624244287325</v>
      </c>
      <c r="D48" s="242">
        <f>INDEX('[9]Forward Price Curve'!$A:$IV,MATCH(B48,'[9]Forward Price Curve'!$D$1:$D$65536,FALSE),$D$226)</f>
        <v>2.5625778341518988</v>
      </c>
      <c r="E48" s="251">
        <f t="shared" si="0"/>
        <v>2019</v>
      </c>
      <c r="K48" s="35">
        <f t="shared" si="11"/>
        <v>5</v>
      </c>
      <c r="L48" s="274">
        <f t="shared" si="12"/>
        <v>2019</v>
      </c>
      <c r="M48" s="246">
        <f t="shared" si="3"/>
        <v>43586</v>
      </c>
      <c r="N48" s="247">
        <f>INDEX('[9]Forward Price Curve'!$A$1:$P$65536,MATCH($M48,'[9]Forward Price Curve'!$D$1:$D$65536,FALSE),N$226)</f>
        <v>19.46</v>
      </c>
      <c r="O48" s="247">
        <f>INDEX('[9]Forward Price Curve'!$A$1:$P$65536,MATCH($M48,'[9]Forward Price Curve'!$D$1:$D$65536,FALSE),O$226)</f>
        <v>23.482500000000002</v>
      </c>
      <c r="P48" s="247">
        <f>INDEX('[9]Forward Price Curve'!$A$1:$P$65536,MATCH($M48,'[9]Forward Price Curve'!$D$1:$D$65536,FALSE),P$226)</f>
        <v>13.12</v>
      </c>
      <c r="Q48" s="248">
        <f>INDEX('[9]Forward Price Curve'!$A$1:$P$65536,MATCH($M48,'[9]Forward Price Curve'!$D$1:$D$65536,FALSE),Q$226)</f>
        <v>16.920000000000002</v>
      </c>
      <c r="S48" s="271">
        <f>INDEX('[9]Forward Price Curve'!$V:$V,MATCH($M48,'[9]Forward Price Curve'!$D:$D,FALSE),1)</f>
        <v>20.589354838709678</v>
      </c>
      <c r="T48" s="273">
        <f t="shared" si="13"/>
        <v>1.1405165525561283</v>
      </c>
      <c r="U48" s="273">
        <f t="shared" si="14"/>
        <v>0.82178388456295937</v>
      </c>
    </row>
    <row r="49" spans="2:21" x14ac:dyDescent="0.2">
      <c r="B49" s="250">
        <f t="shared" si="9"/>
        <v>43617</v>
      </c>
      <c r="C49" s="242">
        <f>INDEX('[9]Forward Price Curve'!$A:$IV,MATCH(B49,'[9]Forward Price Curve'!$D$1:$D$65536,FALSE),$C$226)</f>
        <v>2.564068675069167</v>
      </c>
      <c r="D49" s="242">
        <f>INDEX('[9]Forward Price Curve'!$A:$IV,MATCH(B49,'[9]Forward Price Curve'!$D$1:$D$65536,FALSE),$D$226)</f>
        <v>2.5784693748607599</v>
      </c>
      <c r="E49" s="251">
        <f t="shared" si="0"/>
        <v>2019</v>
      </c>
      <c r="K49" s="35">
        <f t="shared" si="11"/>
        <v>6</v>
      </c>
      <c r="L49" s="274">
        <f t="shared" si="12"/>
        <v>2019</v>
      </c>
      <c r="M49" s="246">
        <f t="shared" si="3"/>
        <v>43617</v>
      </c>
      <c r="N49" s="247">
        <f>INDEX('[9]Forward Price Curve'!$A$1:$P$65536,MATCH($M49,'[9]Forward Price Curve'!$D$1:$D$65536,FALSE),N$226)</f>
        <v>18.739999999999998</v>
      </c>
      <c r="O49" s="247">
        <f>INDEX('[9]Forward Price Curve'!$A$1:$P$65536,MATCH($M49,'[9]Forward Price Curve'!$D$1:$D$65536,FALSE),O$226)</f>
        <v>25.93</v>
      </c>
      <c r="P49" s="247">
        <f>INDEX('[9]Forward Price Curve'!$A$1:$P$65536,MATCH($M49,'[9]Forward Price Curve'!$D$1:$D$65536,FALSE),P$226)</f>
        <v>11.32</v>
      </c>
      <c r="Q49" s="248">
        <f>INDEX('[9]Forward Price Curve'!$A$1:$P$65536,MATCH($M49,'[9]Forward Price Curve'!$D$1:$D$65536,FALSE),Q$226)</f>
        <v>17.87</v>
      </c>
      <c r="S49" s="271">
        <f>INDEX('[9]Forward Price Curve'!$V:$V,MATCH($M49,'[9]Forward Price Curve'!$D:$D,FALSE),1)</f>
        <v>22.347777777777779</v>
      </c>
      <c r="T49" s="273">
        <f t="shared" si="13"/>
        <v>1.1602943369959726</v>
      </c>
      <c r="U49" s="273">
        <f t="shared" si="14"/>
        <v>0.79963207875503406</v>
      </c>
    </row>
    <row r="50" spans="2:21" x14ac:dyDescent="0.2">
      <c r="B50" s="250">
        <f t="shared" si="9"/>
        <v>43647</v>
      </c>
      <c r="C50" s="242">
        <f>INDEX('[9]Forward Price Curve'!$A:$IV,MATCH(B50,'[9]Forward Price Curve'!$D$1:$D$65536,FALSE),$C$226)</f>
        <v>2.6445072445947329</v>
      </c>
      <c r="D50" s="242">
        <f>INDEX('[9]Forward Price Curve'!$A:$IV,MATCH(B50,'[9]Forward Price Curve'!$D$1:$D$65536,FALSE),$D$226)</f>
        <v>2.7197389802531644</v>
      </c>
      <c r="E50" s="251">
        <f t="shared" si="0"/>
        <v>2019</v>
      </c>
      <c r="K50" s="35">
        <f t="shared" si="11"/>
        <v>7</v>
      </c>
      <c r="L50" s="274">
        <f t="shared" si="12"/>
        <v>2019</v>
      </c>
      <c r="M50" s="246">
        <f t="shared" si="3"/>
        <v>43647</v>
      </c>
      <c r="N50" s="247">
        <f>INDEX('[9]Forward Price Curve'!$A$1:$P$65536,MATCH($M50,'[9]Forward Price Curve'!$D$1:$D$65536,FALSE),N$226)</f>
        <v>27.6</v>
      </c>
      <c r="O50" s="247">
        <f>INDEX('[9]Forward Price Curve'!$A$1:$P$65536,MATCH($M50,'[9]Forward Price Curve'!$D$1:$D$65536,FALSE),O$226)</f>
        <v>35.200000000000003</v>
      </c>
      <c r="P50" s="247">
        <f>INDEX('[9]Forward Price Curve'!$A$1:$P$65536,MATCH($M50,'[9]Forward Price Curve'!$D$1:$D$65536,FALSE),P$226)</f>
        <v>15.6775</v>
      </c>
      <c r="Q50" s="248">
        <f>INDEX('[9]Forward Price Curve'!$A$1:$P$65536,MATCH($M50,'[9]Forward Price Curve'!$D$1:$D$65536,FALSE),Q$226)</f>
        <v>25.475000000000001</v>
      </c>
      <c r="S50" s="271">
        <f>INDEX('[9]Forward Price Curve'!$V:$V,MATCH($M50,'[9]Forward Price Curve'!$D:$D,FALSE),1)</f>
        <v>30.912634408602152</v>
      </c>
      <c r="T50" s="273">
        <f t="shared" si="13"/>
        <v>1.1386929866515936</v>
      </c>
      <c r="U50" s="273">
        <f t="shared" si="14"/>
        <v>0.82409669985651546</v>
      </c>
    </row>
    <row r="51" spans="2:21" x14ac:dyDescent="0.2">
      <c r="B51" s="250">
        <f t="shared" si="9"/>
        <v>43678</v>
      </c>
      <c r="C51" s="242">
        <f>INDEX('[9]Forward Price Curve'!$A:$IV,MATCH(B51,'[9]Forward Price Curve'!$D$1:$D$65536,FALSE),$C$226)</f>
        <v>2.6629517573521881</v>
      </c>
      <c r="D51" s="242">
        <f>INDEX('[9]Forward Price Curve'!$A:$IV,MATCH(B51,'[9]Forward Price Curve'!$D$1:$D$65536,FALSE),$D$226)</f>
        <v>2.7446598054556963</v>
      </c>
      <c r="E51" s="251">
        <f t="shared" si="0"/>
        <v>2019</v>
      </c>
      <c r="K51" s="35">
        <f t="shared" si="11"/>
        <v>8</v>
      </c>
      <c r="L51" s="274">
        <f t="shared" si="12"/>
        <v>2019</v>
      </c>
      <c r="M51" s="246">
        <f t="shared" si="3"/>
        <v>43678</v>
      </c>
      <c r="N51" s="247">
        <f>INDEX('[9]Forward Price Curve'!$A$1:$P$65536,MATCH($M51,'[9]Forward Price Curve'!$D$1:$D$65536,FALSE),N$226)</f>
        <v>32.369999999999997</v>
      </c>
      <c r="O51" s="247">
        <f>INDEX('[9]Forward Price Curve'!$A$1:$P$65536,MATCH($M51,'[9]Forward Price Curve'!$D$1:$D$65536,FALSE),O$226)</f>
        <v>34.6</v>
      </c>
      <c r="P51" s="247">
        <f>INDEX('[9]Forward Price Curve'!$A$1:$P$65536,MATCH($M51,'[9]Forward Price Curve'!$D$1:$D$65536,FALSE),P$226)</f>
        <v>20.45</v>
      </c>
      <c r="Q51" s="248">
        <f>INDEX('[9]Forward Price Curve'!$A$1:$P$65536,MATCH($M51,'[9]Forward Price Curve'!$D$1:$D$65536,FALSE),Q$226)</f>
        <v>27.68</v>
      </c>
      <c r="S51" s="271">
        <f>INDEX('[9]Forward Price Curve'!$V:$V,MATCH($M51,'[9]Forward Price Curve'!$D:$D,FALSE),1)</f>
        <v>31.69806451612903</v>
      </c>
      <c r="T51" s="273">
        <f t="shared" si="13"/>
        <v>1.091549295774648</v>
      </c>
      <c r="U51" s="273">
        <f t="shared" si="14"/>
        <v>0.87323943661971837</v>
      </c>
    </row>
    <row r="52" spans="2:21" x14ac:dyDescent="0.2">
      <c r="B52" s="250">
        <f t="shared" si="9"/>
        <v>43709</v>
      </c>
      <c r="C52" s="242">
        <f>INDEX('[9]Forward Price Curve'!$A:$IV,MATCH(B52,'[9]Forward Price Curve'!$D$1:$D$65536,FALSE),$C$226)</f>
        <v>2.6486060252075005</v>
      </c>
      <c r="D52" s="242">
        <f>INDEX('[9]Forward Price Curve'!$A:$IV,MATCH(B52,'[9]Forward Price Curve'!$D$1:$D$65536,FALSE),$D$226)</f>
        <v>2.758590701531646</v>
      </c>
      <c r="E52" s="251">
        <f t="shared" si="0"/>
        <v>2019</v>
      </c>
      <c r="K52" s="35">
        <f t="shared" si="11"/>
        <v>9</v>
      </c>
      <c r="L52" s="274">
        <f t="shared" si="12"/>
        <v>2019</v>
      </c>
      <c r="M52" s="246">
        <f t="shared" si="3"/>
        <v>43709</v>
      </c>
      <c r="N52" s="247">
        <f>INDEX('[9]Forward Price Curve'!$A$1:$P$65536,MATCH($M52,'[9]Forward Price Curve'!$D$1:$D$65536,FALSE),N$226)</f>
        <v>30.78</v>
      </c>
      <c r="O52" s="247">
        <f>INDEX('[9]Forward Price Curve'!$A$1:$P$65536,MATCH($M52,'[9]Forward Price Curve'!$D$1:$D$65536,FALSE),O$226)</f>
        <v>30.4</v>
      </c>
      <c r="P52" s="247">
        <f>INDEX('[9]Forward Price Curve'!$A$1:$P$65536,MATCH($M52,'[9]Forward Price Curve'!$D$1:$D$65536,FALSE),P$226)</f>
        <v>25.2225</v>
      </c>
      <c r="Q52" s="248">
        <f>INDEX('[9]Forward Price Curve'!$A$1:$P$65536,MATCH($M52,'[9]Forward Price Curve'!$D$1:$D$65536,FALSE),Q$226)</f>
        <v>27.19</v>
      </c>
      <c r="S52" s="271">
        <f>INDEX('[9]Forward Price Curve'!$V:$V,MATCH($M52,'[9]Forward Price Curve'!$D:$D,FALSE),1)</f>
        <v>28.902000000000001</v>
      </c>
      <c r="T52" s="273">
        <f t="shared" si="13"/>
        <v>1.0518303231610269</v>
      </c>
      <c r="U52" s="273">
        <f t="shared" si="14"/>
        <v>0.94076534495882636</v>
      </c>
    </row>
    <row r="53" spans="2:21" x14ac:dyDescent="0.2">
      <c r="B53" s="250">
        <f t="shared" si="9"/>
        <v>43739</v>
      </c>
      <c r="C53" s="242">
        <f>INDEX('[9]Forward Price Curve'!$A:$IV,MATCH(B53,'[9]Forward Price Curve'!$D$1:$D$65536,FALSE),$C$226)</f>
        <v>2.6737110564607032</v>
      </c>
      <c r="D53" s="242">
        <f>INDEX('[9]Forward Price Curve'!$A:$IV,MATCH(B53,'[9]Forward Price Curve'!$D$1:$D$65536,FALSE),$D$226)</f>
        <v>2.8289675246708859</v>
      </c>
      <c r="E53" s="251">
        <f t="shared" si="0"/>
        <v>2019</v>
      </c>
      <c r="K53" s="35">
        <f t="shared" si="11"/>
        <v>10</v>
      </c>
      <c r="L53" s="274">
        <f t="shared" si="12"/>
        <v>2019</v>
      </c>
      <c r="M53" s="246">
        <f t="shared" si="3"/>
        <v>43739</v>
      </c>
      <c r="N53" s="247">
        <f>INDEX('[9]Forward Price Curve'!$A$1:$P$65536,MATCH($M53,'[9]Forward Price Curve'!$D$1:$D$65536,FALSE),N$226)</f>
        <v>29.387499999999999</v>
      </c>
      <c r="O53" s="247">
        <f>INDEX('[9]Forward Price Curve'!$A$1:$P$65536,MATCH($M53,'[9]Forward Price Curve'!$D$1:$D$65536,FALSE),O$226)</f>
        <v>30.445</v>
      </c>
      <c r="P53" s="247">
        <f>INDEX('[9]Forward Price Curve'!$A$1:$P$65536,MATCH($M53,'[9]Forward Price Curve'!$D$1:$D$65536,FALSE),P$226)</f>
        <v>24.625</v>
      </c>
      <c r="Q53" s="248">
        <f>INDEX('[9]Forward Price Curve'!$A$1:$P$65536,MATCH($M53,'[9]Forward Price Curve'!$D$1:$D$65536,FALSE),Q$226)</f>
        <v>27.6</v>
      </c>
      <c r="S53" s="271">
        <f>INDEX('[9]Forward Price Curve'!$V:$V,MATCH($M53,'[9]Forward Price Curve'!$D:$D,FALSE),1)</f>
        <v>29.251935483870966</v>
      </c>
      <c r="T53" s="273">
        <f t="shared" si="13"/>
        <v>1.0407858316516139</v>
      </c>
      <c r="U53" s="273">
        <f t="shared" si="14"/>
        <v>0.94352731002084245</v>
      </c>
    </row>
    <row r="54" spans="2:21" x14ac:dyDescent="0.2">
      <c r="B54" s="250">
        <f t="shared" si="9"/>
        <v>43770</v>
      </c>
      <c r="C54" s="242">
        <f>INDEX('[9]Forward Price Curve'!$A:$IV,MATCH(B54,'[9]Forward Price Curve'!$D$1:$D$65536,FALSE),$C$226)</f>
        <v>2.934495972948048</v>
      </c>
      <c r="D54" s="242">
        <f>INDEX('[9]Forward Price Curve'!$A:$IV,MATCH(B54,'[9]Forward Price Curve'!$D$1:$D$65536,FALSE),$D$226)</f>
        <v>3.1861660192405061</v>
      </c>
      <c r="E54" s="251">
        <f t="shared" si="0"/>
        <v>2019</v>
      </c>
      <c r="K54" s="35">
        <f t="shared" si="11"/>
        <v>11</v>
      </c>
      <c r="L54" s="274">
        <f t="shared" si="12"/>
        <v>2019</v>
      </c>
      <c r="M54" s="246">
        <f t="shared" si="3"/>
        <v>43770</v>
      </c>
      <c r="N54" s="247">
        <f>INDEX('[9]Forward Price Curve'!$A$1:$P$65536,MATCH($M54,'[9]Forward Price Curve'!$D$1:$D$65536,FALSE),N$226)</f>
        <v>30.477499999999999</v>
      </c>
      <c r="O54" s="247">
        <f>INDEX('[9]Forward Price Curve'!$A$1:$P$65536,MATCH($M54,'[9]Forward Price Curve'!$D$1:$D$65536,FALSE),O$226)</f>
        <v>29.0825</v>
      </c>
      <c r="P54" s="247">
        <f>INDEX('[9]Forward Price Curve'!$A$1:$P$65536,MATCH($M54,'[9]Forward Price Curve'!$D$1:$D$65536,FALSE),P$226)</f>
        <v>27.88</v>
      </c>
      <c r="Q54" s="248">
        <f>INDEX('[9]Forward Price Curve'!$A$1:$P$65536,MATCH($M54,'[9]Forward Price Curve'!$D$1:$D$65536,FALSE),Q$226)</f>
        <v>27.105</v>
      </c>
      <c r="S54" s="271">
        <f>INDEX('[9]Forward Price Curve'!$V:$V,MATCH($M54,'[9]Forward Price Curve'!$D:$D,FALSE),1)</f>
        <v>28.202087378640776</v>
      </c>
      <c r="T54" s="273">
        <f t="shared" si="13"/>
        <v>1.0312179949497644</v>
      </c>
      <c r="U54" s="273">
        <f t="shared" si="14"/>
        <v>0.96109907171368925</v>
      </c>
    </row>
    <row r="55" spans="2:21" x14ac:dyDescent="0.2">
      <c r="B55" s="252">
        <f t="shared" si="9"/>
        <v>43800</v>
      </c>
      <c r="C55" s="253">
        <f>INDEX('[9]Forward Price Curve'!$A:$IV,MATCH(B55,'[9]Forward Price Curve'!$D$1:$D$65536,FALSE),$C$226)</f>
        <v>3.12713866174813</v>
      </c>
      <c r="D55" s="253">
        <f>INDEX('[9]Forward Price Curve'!$A:$IV,MATCH(B55,'[9]Forward Price Curve'!$D$1:$D$65536,FALSE),$D$226)</f>
        <v>3.4737616293417721</v>
      </c>
      <c r="E55" s="254">
        <f t="shared" si="0"/>
        <v>2019</v>
      </c>
      <c r="K55" s="35">
        <f t="shared" si="11"/>
        <v>12</v>
      </c>
      <c r="L55" s="274">
        <f t="shared" si="12"/>
        <v>2019</v>
      </c>
      <c r="M55" s="255">
        <f t="shared" si="3"/>
        <v>43800</v>
      </c>
      <c r="N55" s="256">
        <f>INDEX('[9]Forward Price Curve'!$A$1:$P$65536,MATCH($M55,'[9]Forward Price Curve'!$D$1:$D$65536,FALSE),N$226)</f>
        <v>32.384999999999998</v>
      </c>
      <c r="O55" s="256">
        <f>INDEX('[9]Forward Price Curve'!$A$1:$P$65536,MATCH($M55,'[9]Forward Price Curve'!$D$1:$D$65536,FALSE),O$226)</f>
        <v>30.172499999999999</v>
      </c>
      <c r="P55" s="256">
        <f>INDEX('[9]Forward Price Curve'!$A$1:$P$65536,MATCH($M55,'[9]Forward Price Curve'!$D$1:$D$65536,FALSE),P$226)</f>
        <v>28.344999999999999</v>
      </c>
      <c r="Q55" s="257">
        <f>INDEX('[9]Forward Price Curve'!$A$1:$P$65536,MATCH($M55,'[9]Forward Price Curve'!$D$1:$D$65536,FALSE),Q$226)</f>
        <v>28.094999999999999</v>
      </c>
      <c r="S55" s="271">
        <f>INDEX('[9]Forward Price Curve'!$V:$V,MATCH($M55,'[9]Forward Price Curve'!$D:$D,FALSE),1)</f>
        <v>29.211935483870967</v>
      </c>
      <c r="T55" s="273">
        <f t="shared" si="13"/>
        <v>1.0328826043265569</v>
      </c>
      <c r="U55" s="273">
        <f t="shared" si="14"/>
        <v>0.96176441357377118</v>
      </c>
    </row>
    <row r="56" spans="2:21" x14ac:dyDescent="0.2">
      <c r="B56" s="241">
        <f t="shared" si="9"/>
        <v>43831</v>
      </c>
      <c r="C56" s="242">
        <f>INDEX('[9]Forward Price Curve'!$A:$IV,MATCH(B56,'[9]Forward Price Curve'!$D$1:$D$65536,FALSE),$C$226)</f>
        <v>3.2910898862588382</v>
      </c>
      <c r="D56" s="242">
        <f>INDEX('[9]Forward Price Curve'!$A:$IV,MATCH(B56,'[9]Forward Price Curve'!$D$1:$D$65536,FALSE),$D$226)</f>
        <v>3.479849946886076</v>
      </c>
      <c r="E56" s="243">
        <f t="shared" si="0"/>
        <v>2020</v>
      </c>
      <c r="K56" s="35">
        <f t="shared" si="11"/>
        <v>1</v>
      </c>
      <c r="L56" s="274">
        <f t="shared" si="12"/>
        <v>2020</v>
      </c>
      <c r="M56" s="246">
        <f t="shared" si="3"/>
        <v>43831</v>
      </c>
      <c r="N56" s="258">
        <f>INDEX('[9]Forward Price Curve'!$A$1:$P$65536,MATCH($M56,'[9]Forward Price Curve'!$D$1:$D$65536,FALSE),N$226)</f>
        <v>30.762499999999999</v>
      </c>
      <c r="O56" s="258">
        <f>INDEX('[9]Forward Price Curve'!$A$1:$P$65536,MATCH($M56,'[9]Forward Price Curve'!$D$1:$D$65536,FALSE),O$226)</f>
        <v>31.05</v>
      </c>
      <c r="P56" s="258">
        <f>INDEX('[9]Forward Price Curve'!$A$1:$P$65536,MATCH($M56,'[9]Forward Price Curve'!$D$1:$D$65536,FALSE),P$226)</f>
        <v>28.49</v>
      </c>
      <c r="Q56" s="259">
        <f>INDEX('[9]Forward Price Curve'!$A$1:$P$65536,MATCH($M56,'[9]Forward Price Curve'!$D$1:$D$65536,FALSE),Q$226)</f>
        <v>28.62</v>
      </c>
      <c r="S56" s="271">
        <f>INDEX('[9]Forward Price Curve'!$V:$V,MATCH($M56,'[9]Forward Price Curve'!$D:$D,FALSE),1)</f>
        <v>29.978709677419356</v>
      </c>
      <c r="T56" s="273">
        <f t="shared" si="13"/>
        <v>1.0357350377687391</v>
      </c>
      <c r="U56" s="273">
        <f t="shared" si="14"/>
        <v>0.95467751307379434</v>
      </c>
    </row>
    <row r="57" spans="2:21" x14ac:dyDescent="0.2">
      <c r="B57" s="250">
        <f t="shared" si="9"/>
        <v>43862</v>
      </c>
      <c r="C57" s="242">
        <f>INDEX('[9]Forward Price Curve'!$A:$IV,MATCH(B57,'[9]Forward Price Curve'!$D$1:$D$65536,FALSE),$C$226)</f>
        <v>3.2854540629162825</v>
      </c>
      <c r="D57" s="242">
        <f>INDEX('[9]Forward Price Curve'!$A:$IV,MATCH(B57,'[9]Forward Price Curve'!$D$1:$D$65536,FALSE),$D$226)</f>
        <v>3.3504474011139238</v>
      </c>
      <c r="E57" s="251">
        <f t="shared" si="0"/>
        <v>2020</v>
      </c>
      <c r="K57" s="35">
        <f t="shared" si="11"/>
        <v>2</v>
      </c>
      <c r="L57" s="274">
        <f t="shared" si="12"/>
        <v>2020</v>
      </c>
      <c r="M57" s="246">
        <f t="shared" si="3"/>
        <v>43862</v>
      </c>
      <c r="N57" s="247">
        <f>INDEX('[9]Forward Price Curve'!$A$1:$P$65536,MATCH($M57,'[9]Forward Price Curve'!$D$1:$D$65536,FALSE),N$226)</f>
        <v>30.004999999999999</v>
      </c>
      <c r="O57" s="247">
        <f>INDEX('[9]Forward Price Curve'!$A$1:$P$65536,MATCH($M57,'[9]Forward Price Curve'!$D$1:$D$65536,FALSE),O$226)</f>
        <v>30.524999999999999</v>
      </c>
      <c r="P57" s="247">
        <f>INDEX('[9]Forward Price Curve'!$A$1:$P$65536,MATCH($M57,'[9]Forward Price Curve'!$D$1:$D$65536,FALSE),P$226)</f>
        <v>27.822500000000002</v>
      </c>
      <c r="Q57" s="248">
        <f>INDEX('[9]Forward Price Curve'!$A$1:$P$65536,MATCH($M57,'[9]Forward Price Curve'!$D$1:$D$65536,FALSE),Q$226)</f>
        <v>27.892499999999998</v>
      </c>
      <c r="S57" s="271">
        <f>INDEX('[9]Forward Price Curve'!$V:$V,MATCH($M57,'[9]Forward Price Curve'!$D:$D,FALSE),1)</f>
        <v>29.405431034482753</v>
      </c>
      <c r="T57" s="273">
        <f t="shared" si="13"/>
        <v>1.0380735437683049</v>
      </c>
      <c r="U57" s="273">
        <f t="shared" si="14"/>
        <v>0.94854926517796689</v>
      </c>
    </row>
    <row r="58" spans="2:21" x14ac:dyDescent="0.2">
      <c r="B58" s="250">
        <f t="shared" si="9"/>
        <v>43891</v>
      </c>
      <c r="C58" s="242">
        <f>INDEX('[9]Forward Price Curve'!$A:$IV,MATCH(B58,'[9]Forward Price Curve'!$D$1:$D$65536,FALSE),$C$226)</f>
        <v>3.0169839327799983</v>
      </c>
      <c r="D58" s="242">
        <f>INDEX('[9]Forward Price Curve'!$A:$IV,MATCH(B58,'[9]Forward Price Curve'!$D$1:$D$65536,FALSE),$D$226)</f>
        <v>3.2944142413417721</v>
      </c>
      <c r="E58" s="251">
        <f t="shared" si="0"/>
        <v>2020</v>
      </c>
      <c r="K58" s="35">
        <f t="shared" si="11"/>
        <v>3</v>
      </c>
      <c r="L58" s="274">
        <f t="shared" si="12"/>
        <v>2020</v>
      </c>
      <c r="M58" s="246">
        <f t="shared" si="3"/>
        <v>43891</v>
      </c>
      <c r="N58" s="247">
        <f>INDEX('[9]Forward Price Curve'!$A$1:$P$65536,MATCH($M58,'[9]Forward Price Curve'!$D$1:$D$65536,FALSE),N$226)</f>
        <v>27.732500000000002</v>
      </c>
      <c r="O58" s="247">
        <f>INDEX('[9]Forward Price Curve'!$A$1:$P$65536,MATCH($M58,'[9]Forward Price Curve'!$D$1:$D$65536,FALSE),O$226)</f>
        <v>28.425000000000001</v>
      </c>
      <c r="P58" s="247">
        <f>INDEX('[9]Forward Price Curve'!$A$1:$P$65536,MATCH($M58,'[9]Forward Price Curve'!$D$1:$D$65536,FALSE),P$226)</f>
        <v>26.487500000000001</v>
      </c>
      <c r="Q58" s="248">
        <f>INDEX('[9]Forward Price Curve'!$A$1:$P$65536,MATCH($M58,'[9]Forward Price Curve'!$D$1:$D$65536,FALSE),Q$226)</f>
        <v>26.4375</v>
      </c>
      <c r="S58" s="271">
        <f>INDEX('[9]Forward Price Curve'!$V:$V,MATCH($M58,'[9]Forward Price Curve'!$D:$D,FALSE),1)</f>
        <v>27.550286002691788</v>
      </c>
      <c r="T58" s="273">
        <f t="shared" si="13"/>
        <v>1.0317497247477847</v>
      </c>
      <c r="U58" s="273">
        <f t="shared" si="14"/>
        <v>0.95960891285908745</v>
      </c>
    </row>
    <row r="59" spans="2:21" x14ac:dyDescent="0.2">
      <c r="B59" s="250">
        <f t="shared" si="9"/>
        <v>43922</v>
      </c>
      <c r="C59" s="242">
        <f>INDEX('[9]Forward Price Curve'!$A:$IV,MATCH(B59,'[9]Forward Price Curve'!$D$1:$D$65536,FALSE),$C$226)</f>
        <v>2.6096676093862077</v>
      </c>
      <c r="D59" s="242">
        <f>INDEX('[9]Forward Price Curve'!$A:$IV,MATCH(B59,'[9]Forward Price Curve'!$D$1:$D$65536,FALSE),$D$226)</f>
        <v>2.7902705911265819</v>
      </c>
      <c r="E59" s="251">
        <f t="shared" si="0"/>
        <v>2020</v>
      </c>
      <c r="K59" s="35">
        <f t="shared" si="11"/>
        <v>4</v>
      </c>
      <c r="L59" s="274">
        <f t="shared" si="12"/>
        <v>2020</v>
      </c>
      <c r="M59" s="246">
        <f t="shared" si="3"/>
        <v>43922</v>
      </c>
      <c r="N59" s="247">
        <f>INDEX('[9]Forward Price Curve'!$A$1:$P$65536,MATCH($M59,'[9]Forward Price Curve'!$D$1:$D$65536,FALSE),N$226)</f>
        <v>25.85</v>
      </c>
      <c r="O59" s="247">
        <f>INDEX('[9]Forward Price Curve'!$A$1:$P$65536,MATCH($M59,'[9]Forward Price Curve'!$D$1:$D$65536,FALSE),O$226)</f>
        <v>24.164999999999999</v>
      </c>
      <c r="P59" s="247">
        <f>INDEX('[9]Forward Price Curve'!$A$1:$P$65536,MATCH($M59,'[9]Forward Price Curve'!$D$1:$D$65536,FALSE),P$226)</f>
        <v>17.14</v>
      </c>
      <c r="Q59" s="248">
        <f>INDEX('[9]Forward Price Curve'!$A$1:$P$65536,MATCH($M59,'[9]Forward Price Curve'!$D$1:$D$65536,FALSE),Q$226)</f>
        <v>18.71</v>
      </c>
      <c r="S59" s="271">
        <f>INDEX('[9]Forward Price Curve'!$V:$V,MATCH($M59,'[9]Forward Price Curve'!$D:$D,FALSE),1)</f>
        <v>21.861777777777775</v>
      </c>
      <c r="T59" s="273">
        <f t="shared" si="13"/>
        <v>1.1053538392730082</v>
      </c>
      <c r="U59" s="273">
        <f t="shared" si="14"/>
        <v>0.85583158836325213</v>
      </c>
    </row>
    <row r="60" spans="2:21" x14ac:dyDescent="0.2">
      <c r="B60" s="250">
        <f t="shared" si="9"/>
        <v>43952</v>
      </c>
      <c r="C60" s="242">
        <f>INDEX('[9]Forward Price Curve'!$A:$IV,MATCH(B60,'[9]Forward Price Curve'!$D$1:$D$65536,FALSE),$C$226)</f>
        <v>2.6486060252075005</v>
      </c>
      <c r="D60" s="242">
        <f>INDEX('[9]Forward Price Curve'!$A:$IV,MATCH(B60,'[9]Forward Price Curve'!$D$1:$D$65536,FALSE),$D$226)</f>
        <v>2.7546694122658226</v>
      </c>
      <c r="E60" s="251">
        <f t="shared" si="0"/>
        <v>2020</v>
      </c>
      <c r="K60" s="35">
        <f t="shared" si="11"/>
        <v>5</v>
      </c>
      <c r="L60" s="274">
        <f t="shared" si="12"/>
        <v>2020</v>
      </c>
      <c r="M60" s="246">
        <f t="shared" si="3"/>
        <v>43952</v>
      </c>
      <c r="N60" s="247">
        <f>INDEX('[9]Forward Price Curve'!$A$1:$P$65536,MATCH($M60,'[9]Forward Price Curve'!$D$1:$D$65536,FALSE),N$226)</f>
        <v>20.81</v>
      </c>
      <c r="O60" s="247">
        <f>INDEX('[9]Forward Price Curve'!$A$1:$P$65536,MATCH($M60,'[9]Forward Price Curve'!$D$1:$D$65536,FALSE),O$226)</f>
        <v>24.8325</v>
      </c>
      <c r="P60" s="247">
        <f>INDEX('[9]Forward Price Curve'!$A$1:$P$65536,MATCH($M60,'[9]Forward Price Curve'!$D$1:$D$65536,FALSE),P$226)</f>
        <v>13.9</v>
      </c>
      <c r="Q60" s="248">
        <f>INDEX('[9]Forward Price Curve'!$A$1:$P$65536,MATCH($M60,'[9]Forward Price Curve'!$D$1:$D$65536,FALSE),Q$226)</f>
        <v>18.52</v>
      </c>
      <c r="S60" s="271">
        <f>INDEX('[9]Forward Price Curve'!$V:$V,MATCH($M60,'[9]Forward Price Curve'!$D:$D,FALSE),1)</f>
        <v>21.913817204301075</v>
      </c>
      <c r="T60" s="273">
        <f t="shared" si="13"/>
        <v>1.1331891549741533</v>
      </c>
      <c r="U60" s="273">
        <f t="shared" si="14"/>
        <v>0.84512888956493792</v>
      </c>
    </row>
    <row r="61" spans="2:21" x14ac:dyDescent="0.2">
      <c r="B61" s="250">
        <f t="shared" si="9"/>
        <v>43983</v>
      </c>
      <c r="C61" s="242">
        <f>INDEX('[9]Forward Price Curve'!$A:$IV,MATCH(B61,'[9]Forward Price Curve'!$D$1:$D$65536,FALSE),$C$226)</f>
        <v>2.6685875806947434</v>
      </c>
      <c r="D61" s="242">
        <f>INDEX('[9]Forward Price Curve'!$A:$IV,MATCH(B61,'[9]Forward Price Curve'!$D$1:$D$65536,FALSE),$D$226)</f>
        <v>2.7797966211139236</v>
      </c>
      <c r="E61" s="251">
        <f t="shared" si="0"/>
        <v>2020</v>
      </c>
      <c r="K61" s="35">
        <f t="shared" si="11"/>
        <v>6</v>
      </c>
      <c r="L61" s="274">
        <f t="shared" si="12"/>
        <v>2020</v>
      </c>
      <c r="M61" s="246">
        <f t="shared" si="3"/>
        <v>43983</v>
      </c>
      <c r="N61" s="247">
        <f>INDEX('[9]Forward Price Curve'!$A$1:$P$65536,MATCH($M61,'[9]Forward Price Curve'!$D$1:$D$65536,FALSE),N$226)</f>
        <v>20.09</v>
      </c>
      <c r="O61" s="247">
        <f>INDEX('[9]Forward Price Curve'!$A$1:$P$65536,MATCH($M61,'[9]Forward Price Curve'!$D$1:$D$65536,FALSE),O$226)</f>
        <v>27.28</v>
      </c>
      <c r="P61" s="247">
        <f>INDEX('[9]Forward Price Curve'!$A$1:$P$65536,MATCH($M61,'[9]Forward Price Curve'!$D$1:$D$65536,FALSE),P$226)</f>
        <v>12.1</v>
      </c>
      <c r="Q61" s="248">
        <f>INDEX('[9]Forward Price Curve'!$A$1:$P$65536,MATCH($M61,'[9]Forward Price Curve'!$D$1:$D$65536,FALSE),Q$226)</f>
        <v>19.47</v>
      </c>
      <c r="S61" s="271">
        <f>INDEX('[9]Forward Price Curve'!$V:$V,MATCH($M61,'[9]Forward Price Curve'!$D:$D,FALSE),1)</f>
        <v>23.982444444444443</v>
      </c>
      <c r="T61" s="273">
        <f t="shared" si="13"/>
        <v>1.1374987259198859</v>
      </c>
      <c r="U61" s="273">
        <f t="shared" si="14"/>
        <v>0.81184384874120885</v>
      </c>
    </row>
    <row r="62" spans="2:21" x14ac:dyDescent="0.2">
      <c r="B62" s="250">
        <f t="shared" si="9"/>
        <v>44013</v>
      </c>
      <c r="C62" s="242">
        <f>INDEX('[9]Forward Price Curve'!$A:$IV,MATCH(B62,'[9]Forward Price Curve'!$D$1:$D$65536,FALSE),$C$226)</f>
        <v>2.7469767599139256</v>
      </c>
      <c r="D62" s="242">
        <f>INDEX('[9]Forward Price Curve'!$A:$IV,MATCH(B62,'[9]Forward Price Curve'!$D$1:$D$65536,FALSE),$D$226)</f>
        <v>2.9216337815316455</v>
      </c>
      <c r="E62" s="251">
        <f t="shared" si="0"/>
        <v>2020</v>
      </c>
      <c r="K62" s="35">
        <f t="shared" si="11"/>
        <v>7</v>
      </c>
      <c r="L62" s="274">
        <f t="shared" si="12"/>
        <v>2020</v>
      </c>
      <c r="M62" s="246">
        <f t="shared" si="3"/>
        <v>44013</v>
      </c>
      <c r="N62" s="247">
        <f>INDEX('[9]Forward Price Curve'!$A$1:$P$65536,MATCH($M62,'[9]Forward Price Curve'!$D$1:$D$65536,FALSE),N$226)</f>
        <v>28.85</v>
      </c>
      <c r="O62" s="247">
        <f>INDEX('[9]Forward Price Curve'!$A$1:$P$65536,MATCH($M62,'[9]Forward Price Curve'!$D$1:$D$65536,FALSE),O$226)</f>
        <v>36.549999999999997</v>
      </c>
      <c r="P62" s="247">
        <f>INDEX('[9]Forward Price Curve'!$A$1:$P$65536,MATCH($M62,'[9]Forward Price Curve'!$D$1:$D$65536,FALSE),P$226)</f>
        <v>17.827500000000001</v>
      </c>
      <c r="Q62" s="248">
        <f>INDEX('[9]Forward Price Curve'!$A$1:$P$65536,MATCH($M62,'[9]Forward Price Curve'!$D$1:$D$65536,FALSE),Q$226)</f>
        <v>25.875</v>
      </c>
      <c r="S62" s="271">
        <f>INDEX('[9]Forward Price Curve'!$V:$V,MATCH($M62,'[9]Forward Price Curve'!$D:$D,FALSE),1)</f>
        <v>31.843817204301072</v>
      </c>
      <c r="T62" s="273">
        <f t="shared" si="13"/>
        <v>1.1477895305548755</v>
      </c>
      <c r="U62" s="273">
        <f t="shared" si="14"/>
        <v>0.81255961978406044</v>
      </c>
    </row>
    <row r="63" spans="2:21" x14ac:dyDescent="0.2">
      <c r="B63" s="250">
        <f t="shared" si="9"/>
        <v>44044</v>
      </c>
      <c r="C63" s="242">
        <f>INDEX('[9]Forward Price Curve'!$A:$IV,MATCH(B63,'[9]Forward Price Curve'!$D$1:$D$65536,FALSE),$C$226)</f>
        <v>2.7705447484373402</v>
      </c>
      <c r="D63" s="242">
        <f>INDEX('[9]Forward Price Curve'!$A:$IV,MATCH(B63,'[9]Forward Price Curve'!$D$1:$D$65536,FALSE),$D$226)</f>
        <v>2.9400535218987338</v>
      </c>
      <c r="E63" s="251">
        <f t="shared" si="0"/>
        <v>2020</v>
      </c>
      <c r="K63" s="35">
        <f t="shared" si="11"/>
        <v>8</v>
      </c>
      <c r="L63" s="274">
        <f t="shared" si="12"/>
        <v>2020</v>
      </c>
      <c r="M63" s="246">
        <f t="shared" si="3"/>
        <v>44044</v>
      </c>
      <c r="N63" s="247">
        <f>INDEX('[9]Forward Price Curve'!$A$1:$P$65536,MATCH($M63,'[9]Forward Price Curve'!$D$1:$D$65536,FALSE),N$226)</f>
        <v>33.619999999999997</v>
      </c>
      <c r="O63" s="247">
        <f>INDEX('[9]Forward Price Curve'!$A$1:$P$65536,MATCH($M63,'[9]Forward Price Curve'!$D$1:$D$65536,FALSE),O$226)</f>
        <v>35.950000000000003</v>
      </c>
      <c r="P63" s="247">
        <f>INDEX('[9]Forward Price Curve'!$A$1:$P$65536,MATCH($M63,'[9]Forward Price Curve'!$D$1:$D$65536,FALSE),P$226)</f>
        <v>22.6</v>
      </c>
      <c r="Q63" s="248">
        <f>INDEX('[9]Forward Price Curve'!$A$1:$P$65536,MATCH($M63,'[9]Forward Price Curve'!$D$1:$D$65536,FALSE),Q$226)</f>
        <v>28.08</v>
      </c>
      <c r="S63" s="271">
        <f>INDEX('[9]Forward Price Curve'!$V:$V,MATCH($M63,'[9]Forward Price Curve'!$D:$D,FALSE),1)</f>
        <v>32.480430107526885</v>
      </c>
      <c r="T63" s="273">
        <f t="shared" si="13"/>
        <v>1.106820318603758</v>
      </c>
      <c r="U63" s="273">
        <f t="shared" si="14"/>
        <v>0.86452057152694084</v>
      </c>
    </row>
    <row r="64" spans="2:21" x14ac:dyDescent="0.2">
      <c r="B64" s="250">
        <f t="shared" si="9"/>
        <v>44075</v>
      </c>
      <c r="C64" s="242">
        <f>INDEX('[9]Forward Price Curve'!$A:$IV,MATCH(B64,'[9]Forward Price Curve'!$D$1:$D$65536,FALSE),$C$226)</f>
        <v>2.7602977969054208</v>
      </c>
      <c r="D64" s="242">
        <f>INDEX('[9]Forward Price Curve'!$A:$IV,MATCH(B64,'[9]Forward Price Curve'!$D$1:$D$65536,FALSE),$D$226)</f>
        <v>2.9762222557848101</v>
      </c>
      <c r="E64" s="251">
        <f t="shared" si="0"/>
        <v>2020</v>
      </c>
      <c r="K64" s="35">
        <f t="shared" si="11"/>
        <v>9</v>
      </c>
      <c r="L64" s="274">
        <f t="shared" si="12"/>
        <v>2020</v>
      </c>
      <c r="M64" s="246">
        <f t="shared" si="3"/>
        <v>44075</v>
      </c>
      <c r="N64" s="247">
        <f>INDEX('[9]Forward Price Curve'!$A$1:$P$65536,MATCH($M64,'[9]Forward Price Curve'!$D$1:$D$65536,FALSE),N$226)</f>
        <v>32.03</v>
      </c>
      <c r="O64" s="247">
        <f>INDEX('[9]Forward Price Curve'!$A$1:$P$65536,MATCH($M64,'[9]Forward Price Curve'!$D$1:$D$65536,FALSE),O$226)</f>
        <v>31.75</v>
      </c>
      <c r="P64" s="247">
        <f>INDEX('[9]Forward Price Curve'!$A$1:$P$65536,MATCH($M64,'[9]Forward Price Curve'!$D$1:$D$65536,FALSE),P$226)</f>
        <v>27.372499999999999</v>
      </c>
      <c r="Q64" s="248">
        <f>INDEX('[9]Forward Price Curve'!$A$1:$P$65536,MATCH($M64,'[9]Forward Price Curve'!$D$1:$D$65536,FALSE),Q$226)</f>
        <v>27.59</v>
      </c>
      <c r="S64" s="271">
        <f>INDEX('[9]Forward Price Curve'!$V:$V,MATCH($M64,'[9]Forward Price Curve'!$D:$D,FALSE),1)</f>
        <v>29.90111111111111</v>
      </c>
      <c r="T64" s="273">
        <f t="shared" si="13"/>
        <v>1.0618334510051652</v>
      </c>
      <c r="U64" s="273">
        <f t="shared" si="14"/>
        <v>0.92270818624354356</v>
      </c>
    </row>
    <row r="65" spans="2:21" x14ac:dyDescent="0.2">
      <c r="B65" s="250">
        <f t="shared" si="9"/>
        <v>44105</v>
      </c>
      <c r="C65" s="242">
        <f>INDEX('[9]Forward Price Curve'!$A:$IV,MATCH(B65,'[9]Forward Price Curve'!$D$1:$D$65536,FALSE),$C$226)</f>
        <v>2.795649779690542</v>
      </c>
      <c r="D65" s="242">
        <f>INDEX('[9]Forward Price Curve'!$A:$IV,MATCH(B65,'[9]Forward Price Curve'!$D$1:$D$65536,FALSE),$D$226)</f>
        <v>3.0078505494683543</v>
      </c>
      <c r="E65" s="251">
        <f t="shared" si="0"/>
        <v>2020</v>
      </c>
      <c r="K65" s="35">
        <f t="shared" si="11"/>
        <v>10</v>
      </c>
      <c r="L65" s="274">
        <f t="shared" si="12"/>
        <v>2020</v>
      </c>
      <c r="M65" s="246">
        <f t="shared" si="3"/>
        <v>44105</v>
      </c>
      <c r="N65" s="247">
        <f>INDEX('[9]Forward Price Curve'!$A$1:$P$65536,MATCH($M65,'[9]Forward Price Curve'!$D$1:$D$65536,FALSE),N$226)</f>
        <v>30.737500000000001</v>
      </c>
      <c r="O65" s="247">
        <f>INDEX('[9]Forward Price Curve'!$A$1:$P$65536,MATCH($M65,'[9]Forward Price Curve'!$D$1:$D$65536,FALSE),O$226)</f>
        <v>31.795000000000002</v>
      </c>
      <c r="P65" s="247">
        <f>INDEX('[9]Forward Price Curve'!$A$1:$P$65536,MATCH($M65,'[9]Forward Price Curve'!$D$1:$D$65536,FALSE),P$226)</f>
        <v>25.774999999999999</v>
      </c>
      <c r="Q65" s="248">
        <f>INDEX('[9]Forward Price Curve'!$A$1:$P$65536,MATCH($M65,'[9]Forward Price Curve'!$D$1:$D$65536,FALSE),Q$226)</f>
        <v>28.45</v>
      </c>
      <c r="S65" s="271">
        <f>INDEX('[9]Forward Price Curve'!$V:$V,MATCH($M65,'[9]Forward Price Curve'!$D:$D,FALSE),1)</f>
        <v>30.392258064516131</v>
      </c>
      <c r="T65" s="273">
        <f t="shared" si="13"/>
        <v>1.0461545809628938</v>
      </c>
      <c r="U65" s="273">
        <f t="shared" si="14"/>
        <v>0.93609365712830084</v>
      </c>
    </row>
    <row r="66" spans="2:21" x14ac:dyDescent="0.2">
      <c r="B66" s="250">
        <f t="shared" si="9"/>
        <v>44136</v>
      </c>
      <c r="C66" s="242">
        <f>INDEX('[9]Forward Price Curve'!$A:$IV,MATCH(B66,'[9]Forward Price Curve'!$D$1:$D$65536,FALSE),$C$226)</f>
        <v>3.0595087816374633</v>
      </c>
      <c r="D66" s="242">
        <f>INDEX('[9]Forward Price Curve'!$A:$IV,MATCH(B66,'[9]Forward Price Curve'!$D$1:$D$65536,FALSE),$D$226)</f>
        <v>3.332234044392405</v>
      </c>
      <c r="E66" s="251">
        <f t="shared" si="0"/>
        <v>2020</v>
      </c>
      <c r="K66" s="35">
        <f t="shared" si="11"/>
        <v>11</v>
      </c>
      <c r="L66" s="274">
        <f t="shared" si="12"/>
        <v>2020</v>
      </c>
      <c r="M66" s="246">
        <f t="shared" si="3"/>
        <v>44136</v>
      </c>
      <c r="N66" s="247">
        <f>INDEX('[9]Forward Price Curve'!$A$1:$P$65536,MATCH($M66,'[9]Forward Price Curve'!$D$1:$D$65536,FALSE),N$226)</f>
        <v>31.827500000000001</v>
      </c>
      <c r="O66" s="247">
        <f>INDEX('[9]Forward Price Curve'!$A$1:$P$65536,MATCH($M66,'[9]Forward Price Curve'!$D$1:$D$65536,FALSE),O$226)</f>
        <v>30.432500000000001</v>
      </c>
      <c r="P66" s="247">
        <f>INDEX('[9]Forward Price Curve'!$A$1:$P$65536,MATCH($M66,'[9]Forward Price Curve'!$D$1:$D$65536,FALSE),P$226)</f>
        <v>29.03</v>
      </c>
      <c r="Q66" s="248">
        <f>INDEX('[9]Forward Price Curve'!$A$1:$P$65536,MATCH($M66,'[9]Forward Price Curve'!$D$1:$D$65536,FALSE),Q$226)</f>
        <v>27.954999999999998</v>
      </c>
      <c r="S66" s="271">
        <f>INDEX('[9]Forward Price Curve'!$V:$V,MATCH($M66,'[9]Forward Price Curve'!$D:$D,FALSE),1)</f>
        <v>29.274500693481276</v>
      </c>
      <c r="T66" s="273">
        <f t="shared" si="13"/>
        <v>1.0395565860761746</v>
      </c>
      <c r="U66" s="273">
        <f t="shared" si="14"/>
        <v>0.9549266200200266</v>
      </c>
    </row>
    <row r="67" spans="2:21" x14ac:dyDescent="0.2">
      <c r="B67" s="252">
        <f t="shared" si="9"/>
        <v>44166</v>
      </c>
      <c r="C67" s="253">
        <f>INDEX('[9]Forward Price Curve'!$A:$IV,MATCH(B67,'[9]Forward Price Curve'!$D$1:$D$65536,FALSE),$C$226)</f>
        <v>3.2593243365098883</v>
      </c>
      <c r="D67" s="253">
        <f>INDEX('[9]Forward Price Curve'!$A:$IV,MATCH(B67,'[9]Forward Price Curve'!$D$1:$D$65536,FALSE),$D$226)</f>
        <v>3.6424802595949366</v>
      </c>
      <c r="E67" s="254">
        <f t="shared" si="0"/>
        <v>2020</v>
      </c>
      <c r="K67" s="35">
        <f t="shared" si="11"/>
        <v>12</v>
      </c>
      <c r="L67" s="274">
        <f t="shared" si="12"/>
        <v>2020</v>
      </c>
      <c r="M67" s="255">
        <f t="shared" si="3"/>
        <v>44166</v>
      </c>
      <c r="N67" s="256">
        <f>INDEX('[9]Forward Price Curve'!$A$1:$P$65536,MATCH($M67,'[9]Forward Price Curve'!$D$1:$D$65536,FALSE),N$226)</f>
        <v>33.734999999999999</v>
      </c>
      <c r="O67" s="256">
        <f>INDEX('[9]Forward Price Curve'!$A$1:$P$65536,MATCH($M67,'[9]Forward Price Curve'!$D$1:$D$65536,FALSE),O$226)</f>
        <v>31.522500000000001</v>
      </c>
      <c r="P67" s="256">
        <f>INDEX('[9]Forward Price Curve'!$A$1:$P$65536,MATCH($M67,'[9]Forward Price Curve'!$D$1:$D$65536,FALSE),P$226)</f>
        <v>29.495000000000001</v>
      </c>
      <c r="Q67" s="257">
        <f>INDEX('[9]Forward Price Curve'!$A$1:$P$65536,MATCH($M67,'[9]Forward Price Curve'!$D$1:$D$65536,FALSE),Q$226)</f>
        <v>28.945</v>
      </c>
      <c r="S67" s="271">
        <f>INDEX('[9]Forward Price Curve'!$V:$V,MATCH($M67,'[9]Forward Price Curve'!$D:$D,FALSE),1)</f>
        <v>30.386182795698925</v>
      </c>
      <c r="T67" s="273">
        <f t="shared" si="13"/>
        <v>1.0373958523168603</v>
      </c>
      <c r="U67" s="273">
        <f t="shared" si="14"/>
        <v>0.95257111413471385</v>
      </c>
    </row>
    <row r="68" spans="2:21" x14ac:dyDescent="0.2">
      <c r="B68" s="241">
        <f t="shared" si="9"/>
        <v>44197</v>
      </c>
      <c r="C68" s="242">
        <f>INDEX('[9]Forward Price Curve'!$A:$IV,MATCH(B68,'[9]Forward Price Curve'!$D$1:$D$65536,FALSE),$C$226)</f>
        <v>3.4335225125525155</v>
      </c>
      <c r="D68" s="242">
        <f>INDEX('[9]Forward Price Curve'!$A:$IV,MATCH(B68,'[9]Forward Price Curve'!$D$1:$D$65536,FALSE),$D$226)</f>
        <v>3.642119088215189</v>
      </c>
      <c r="E68" s="243">
        <f t="shared" si="0"/>
        <v>2021</v>
      </c>
      <c r="K68" s="35">
        <f t="shared" si="11"/>
        <v>1</v>
      </c>
      <c r="L68" s="274">
        <f t="shared" si="12"/>
        <v>2021</v>
      </c>
      <c r="M68" s="246">
        <f t="shared" si="3"/>
        <v>44197</v>
      </c>
      <c r="N68" s="258">
        <f>INDEX('[9]Forward Price Curve'!$A$1:$P$65536,MATCH($M68,'[9]Forward Price Curve'!$D$1:$D$65536,FALSE),N$226)</f>
        <v>32.262500000000003</v>
      </c>
      <c r="O68" s="258">
        <f>INDEX('[9]Forward Price Curve'!$A$1:$P$65536,MATCH($M68,'[9]Forward Price Curve'!$D$1:$D$65536,FALSE),O$226)</f>
        <v>32.9</v>
      </c>
      <c r="P68" s="258">
        <f>INDEX('[9]Forward Price Curve'!$A$1:$P$65536,MATCH($M68,'[9]Forward Price Curve'!$D$1:$D$65536,FALSE),P$226)</f>
        <v>27.99</v>
      </c>
      <c r="Q68" s="259">
        <f>INDEX('[9]Forward Price Curve'!$A$1:$P$65536,MATCH($M68,'[9]Forward Price Curve'!$D$1:$D$65536,FALSE),Q$226)</f>
        <v>29.41</v>
      </c>
      <c r="S68" s="271">
        <f>INDEX('[9]Forward Price Curve'!$V:$V,MATCH($M68,'[9]Forward Price Curve'!$D:$D,FALSE),1)</f>
        <v>31.286344086021508</v>
      </c>
      <c r="T68" s="273">
        <f t="shared" si="13"/>
        <v>1.0515770046363282</v>
      </c>
      <c r="U68" s="273">
        <f t="shared" si="14"/>
        <v>0.94002673879496701</v>
      </c>
    </row>
    <row r="69" spans="2:21" x14ac:dyDescent="0.2">
      <c r="B69" s="250">
        <f t="shared" si="9"/>
        <v>44228</v>
      </c>
      <c r="C69" s="242">
        <f>INDEX('[9]Forward Price Curve'!$A:$IV,MATCH(B69,'[9]Forward Price Curve'!$D$1:$D$65536,FALSE),$C$226)</f>
        <v>3.4299360795163443</v>
      </c>
      <c r="D69" s="242">
        <f>INDEX('[9]Forward Price Curve'!$A:$IV,MATCH(B69,'[9]Forward Price Curve'!$D$1:$D$65536,FALSE),$D$226)</f>
        <v>3.5250479652658222</v>
      </c>
      <c r="E69" s="251">
        <f t="shared" si="0"/>
        <v>2021</v>
      </c>
      <c r="K69" s="35">
        <f t="shared" si="11"/>
        <v>2</v>
      </c>
      <c r="L69" s="274">
        <f t="shared" si="12"/>
        <v>2021</v>
      </c>
      <c r="M69" s="246">
        <f t="shared" si="3"/>
        <v>44228</v>
      </c>
      <c r="N69" s="247">
        <f>INDEX('[9]Forward Price Curve'!$A$1:$P$65536,MATCH($M69,'[9]Forward Price Curve'!$D$1:$D$65536,FALSE),N$226)</f>
        <v>31.504999999999999</v>
      </c>
      <c r="O69" s="247">
        <f>INDEX('[9]Forward Price Curve'!$A$1:$P$65536,MATCH($M69,'[9]Forward Price Curve'!$D$1:$D$65536,FALSE),O$226)</f>
        <v>32.375</v>
      </c>
      <c r="P69" s="247">
        <f>INDEX('[9]Forward Price Curve'!$A$1:$P$65536,MATCH($M69,'[9]Forward Price Curve'!$D$1:$D$65536,FALSE),P$226)</f>
        <v>27.322500000000002</v>
      </c>
      <c r="Q69" s="248">
        <f>INDEX('[9]Forward Price Curve'!$A$1:$P$65536,MATCH($M69,'[9]Forward Price Curve'!$D$1:$D$65536,FALSE),Q$226)</f>
        <v>28.682500000000001</v>
      </c>
      <c r="S69" s="271">
        <f>INDEX('[9]Forward Price Curve'!$V:$V,MATCH($M69,'[9]Forward Price Curve'!$D:$D,FALSE),1)</f>
        <v>30.792499999999997</v>
      </c>
      <c r="T69" s="273">
        <f t="shared" si="13"/>
        <v>1.051392384509215</v>
      </c>
      <c r="U69" s="273">
        <f t="shared" si="14"/>
        <v>0.9314768206543802</v>
      </c>
    </row>
    <row r="70" spans="2:21" x14ac:dyDescent="0.2">
      <c r="B70" s="250">
        <f t="shared" si="9"/>
        <v>44256</v>
      </c>
      <c r="C70" s="242">
        <f>INDEX('[9]Forward Price Curve'!$A:$IV,MATCH(B70,'[9]Forward Price Curve'!$D$1:$D$65536,FALSE),$C$226)</f>
        <v>3.1614659493800596</v>
      </c>
      <c r="D70" s="242">
        <f>INDEX('[9]Forward Price Curve'!$A:$IV,MATCH(B70,'[9]Forward Price Curve'!$D$1:$D$65536,FALSE),$D$226)</f>
        <v>3.4755158903291137</v>
      </c>
      <c r="E70" s="251">
        <f t="shared" si="0"/>
        <v>2021</v>
      </c>
      <c r="K70" s="35">
        <f t="shared" si="11"/>
        <v>3</v>
      </c>
      <c r="L70" s="274">
        <f t="shared" si="12"/>
        <v>2021</v>
      </c>
      <c r="M70" s="246">
        <f t="shared" si="3"/>
        <v>44256</v>
      </c>
      <c r="N70" s="247">
        <f>INDEX('[9]Forward Price Curve'!$A$1:$P$65536,MATCH($M70,'[9]Forward Price Curve'!$D$1:$D$65536,FALSE),N$226)</f>
        <v>29.232500000000002</v>
      </c>
      <c r="O70" s="247">
        <f>INDEX('[9]Forward Price Curve'!$A$1:$P$65536,MATCH($M70,'[9]Forward Price Curve'!$D$1:$D$65536,FALSE),O$226)</f>
        <v>30.274999999999999</v>
      </c>
      <c r="P70" s="247">
        <f>INDEX('[9]Forward Price Curve'!$A$1:$P$65536,MATCH($M70,'[9]Forward Price Curve'!$D$1:$D$65536,FALSE),P$226)</f>
        <v>25.987500000000001</v>
      </c>
      <c r="Q70" s="248">
        <f>INDEX('[9]Forward Price Curve'!$A$1:$P$65536,MATCH($M70,'[9]Forward Price Curve'!$D$1:$D$65536,FALSE),Q$226)</f>
        <v>27.227499999999999</v>
      </c>
      <c r="S70" s="271">
        <f>INDEX('[9]Forward Price Curve'!$V:$V,MATCH($M70,'[9]Forward Price Curve'!$D:$D,FALSE),1)</f>
        <v>28.999397711978464</v>
      </c>
      <c r="T70" s="273">
        <f t="shared" si="13"/>
        <v>1.0439871993443035</v>
      </c>
      <c r="U70" s="273">
        <f t="shared" si="14"/>
        <v>0.93889880991402219</v>
      </c>
    </row>
    <row r="71" spans="2:21" x14ac:dyDescent="0.2">
      <c r="B71" s="250">
        <f t="shared" si="9"/>
        <v>44287</v>
      </c>
      <c r="C71" s="242">
        <f>INDEX('[9]Forward Price Curve'!$A:$IV,MATCH(B71,'[9]Forward Price Curve'!$D$1:$D$65536,FALSE),$C$226)</f>
        <v>2.7387791986883903</v>
      </c>
      <c r="D71" s="242">
        <f>INDEX('[9]Forward Price Curve'!$A:$IV,MATCH(B71,'[9]Forward Price Curve'!$D$1:$D$65536,FALSE),$D$226)</f>
        <v>2.936596595835443</v>
      </c>
      <c r="E71" s="251">
        <f t="shared" si="0"/>
        <v>2021</v>
      </c>
      <c r="K71" s="35">
        <f t="shared" si="11"/>
        <v>4</v>
      </c>
      <c r="L71" s="274">
        <f t="shared" si="12"/>
        <v>2021</v>
      </c>
      <c r="M71" s="246">
        <f t="shared" si="3"/>
        <v>44287</v>
      </c>
      <c r="N71" s="247">
        <f>INDEX('[9]Forward Price Curve'!$A$1:$P$65536,MATCH($M71,'[9]Forward Price Curve'!$D$1:$D$65536,FALSE),N$226)</f>
        <v>26.35</v>
      </c>
      <c r="O71" s="247">
        <f>INDEX('[9]Forward Price Curve'!$A$1:$P$65536,MATCH($M71,'[9]Forward Price Curve'!$D$1:$D$65536,FALSE),O$226)</f>
        <v>26.015000000000001</v>
      </c>
      <c r="P71" s="247">
        <f>INDEX('[9]Forward Price Curve'!$A$1:$P$65536,MATCH($M71,'[9]Forward Price Curve'!$D$1:$D$65536,FALSE),P$226)</f>
        <v>18.739999999999998</v>
      </c>
      <c r="Q71" s="248">
        <f>INDEX('[9]Forward Price Curve'!$A$1:$P$65536,MATCH($M71,'[9]Forward Price Curve'!$D$1:$D$65536,FALSE),Q$226)</f>
        <v>22.25</v>
      </c>
      <c r="S71" s="271">
        <f>INDEX('[9]Forward Price Curve'!$V:$V,MATCH($M71,'[9]Forward Price Curve'!$D:$D,FALSE),1)</f>
        <v>24.425333333333331</v>
      </c>
      <c r="T71" s="273">
        <f t="shared" si="13"/>
        <v>1.0650827010207982</v>
      </c>
      <c r="U71" s="273">
        <f t="shared" si="14"/>
        <v>0.91093946176101326</v>
      </c>
    </row>
    <row r="72" spans="2:21" x14ac:dyDescent="0.2">
      <c r="B72" s="250">
        <f t="shared" si="9"/>
        <v>44317</v>
      </c>
      <c r="C72" s="242">
        <f>INDEX('[9]Forward Price Curve'!$A:$IV,MATCH(B72,'[9]Forward Price Curve'!$D$1:$D$65536,FALSE),$C$226)</f>
        <v>2.7746435290501079</v>
      </c>
      <c r="D72" s="242">
        <f>INDEX('[9]Forward Price Curve'!$A:$IV,MATCH(B72,'[9]Forward Price Curve'!$D$1:$D$65536,FALSE),$D$226)</f>
        <v>2.9030592534303796</v>
      </c>
      <c r="E72" s="251">
        <f t="shared" ref="E72:E135" si="19">YEAR(B72)</f>
        <v>2021</v>
      </c>
      <c r="K72" s="35">
        <f t="shared" si="11"/>
        <v>5</v>
      </c>
      <c r="L72" s="274">
        <f t="shared" si="12"/>
        <v>2021</v>
      </c>
      <c r="M72" s="246">
        <f t="shared" ref="M72:M135" si="20">B72</f>
        <v>44317</v>
      </c>
      <c r="N72" s="247">
        <f>INDEX('[9]Forward Price Curve'!$A$1:$P$65536,MATCH($M72,'[9]Forward Price Curve'!$D$1:$D$65536,FALSE),N$226)</f>
        <v>21.31</v>
      </c>
      <c r="O72" s="247">
        <f>INDEX('[9]Forward Price Curve'!$A$1:$P$65536,MATCH($M72,'[9]Forward Price Curve'!$D$1:$D$65536,FALSE),O$226)</f>
        <v>26.682500000000001</v>
      </c>
      <c r="P72" s="247">
        <f>INDEX('[9]Forward Price Curve'!$A$1:$P$65536,MATCH($M72,'[9]Forward Price Curve'!$D$1:$D$65536,FALSE),P$226)</f>
        <v>15.5</v>
      </c>
      <c r="Q72" s="248">
        <f>INDEX('[9]Forward Price Curve'!$A$1:$P$65536,MATCH($M72,'[9]Forward Price Curve'!$D$1:$D$65536,FALSE),Q$226)</f>
        <v>22.06</v>
      </c>
      <c r="S72" s="271">
        <f>INDEX('[9]Forward Price Curve'!$V:$V,MATCH($M72,'[9]Forward Price Curve'!$D:$D,FALSE),1)</f>
        <v>24.545215053763439</v>
      </c>
      <c r="T72" s="273">
        <f t="shared" si="13"/>
        <v>1.0870754214845983</v>
      </c>
      <c r="U72" s="273">
        <f t="shared" si="14"/>
        <v>0.89874950990162994</v>
      </c>
    </row>
    <row r="73" spans="2:21" x14ac:dyDescent="0.2">
      <c r="B73" s="250">
        <f t="shared" ref="B73:B136" si="21">EDATE(B72,1)</f>
        <v>44348</v>
      </c>
      <c r="C73" s="242">
        <f>INDEX('[9]Forward Price Curve'!$A:$IV,MATCH(B73,'[9]Forward Price Curve'!$D$1:$D$65536,FALSE),$C$226)</f>
        <v>2.7925756942309667</v>
      </c>
      <c r="D73" s="242">
        <f>INDEX('[9]Forward Price Curve'!$A:$IV,MATCH(B73,'[9]Forward Price Curve'!$D$1:$D$65536,FALSE),$D$226)</f>
        <v>2.9197247328101263</v>
      </c>
      <c r="E73" s="251">
        <f t="shared" si="19"/>
        <v>2021</v>
      </c>
      <c r="K73" s="35">
        <f t="shared" ref="K73:K136" si="22">MONTH(M73)</f>
        <v>6</v>
      </c>
      <c r="L73" s="274">
        <f t="shared" ref="L73:L136" si="23">YEAR(M73)</f>
        <v>2021</v>
      </c>
      <c r="M73" s="246">
        <f t="shared" si="20"/>
        <v>44348</v>
      </c>
      <c r="N73" s="247">
        <f>INDEX('[9]Forward Price Curve'!$A$1:$P$65536,MATCH($M73,'[9]Forward Price Curve'!$D$1:$D$65536,FALSE),N$226)</f>
        <v>20.59</v>
      </c>
      <c r="O73" s="247">
        <f>INDEX('[9]Forward Price Curve'!$A$1:$P$65536,MATCH($M73,'[9]Forward Price Curve'!$D$1:$D$65536,FALSE),O$226)</f>
        <v>29.13</v>
      </c>
      <c r="P73" s="247">
        <f>INDEX('[9]Forward Price Curve'!$A$1:$P$65536,MATCH($M73,'[9]Forward Price Curve'!$D$1:$D$65536,FALSE),P$226)</f>
        <v>13.7</v>
      </c>
      <c r="Q73" s="248">
        <f>INDEX('[9]Forward Price Curve'!$A$1:$P$65536,MATCH($M73,'[9]Forward Price Curve'!$D$1:$D$65536,FALSE),Q$226)</f>
        <v>23.01</v>
      </c>
      <c r="S73" s="271">
        <f>INDEX('[9]Forward Price Curve'!$V:$V,MATCH($M73,'[9]Forward Price Curve'!$D:$D,FALSE),1)</f>
        <v>26.545999999999999</v>
      </c>
      <c r="T73" s="273">
        <f t="shared" ref="T73:T136" si="24">O73/S73</f>
        <v>1.097340465606871</v>
      </c>
      <c r="U73" s="273">
        <f t="shared" ref="U73:U136" si="25">Q73/S73</f>
        <v>0.86679725759059756</v>
      </c>
    </row>
    <row r="74" spans="2:21" x14ac:dyDescent="0.2">
      <c r="B74" s="250">
        <f t="shared" si="21"/>
        <v>44378</v>
      </c>
      <c r="C74" s="242">
        <f>INDEX('[9]Forward Price Curve'!$A:$IV,MATCH(B74,'[9]Forward Price Curve'!$D$1:$D$65536,FALSE),$C$226)</f>
        <v>2.8740389589097246</v>
      </c>
      <c r="D74" s="242">
        <f>INDEX('[9]Forward Price Curve'!$A:$IV,MATCH(B74,'[9]Forward Price Curve'!$D$1:$D$65536,FALSE),$D$226)</f>
        <v>3.0736869324050633</v>
      </c>
      <c r="E74" s="251">
        <f t="shared" si="19"/>
        <v>2021</v>
      </c>
      <c r="K74" s="35">
        <f t="shared" si="22"/>
        <v>7</v>
      </c>
      <c r="L74" s="274">
        <f t="shared" si="23"/>
        <v>2021</v>
      </c>
      <c r="M74" s="246">
        <f t="shared" si="20"/>
        <v>44378</v>
      </c>
      <c r="N74" s="247">
        <f>INDEX('[9]Forward Price Curve'!$A$1:$P$65536,MATCH($M74,'[9]Forward Price Curve'!$D$1:$D$65536,FALSE),N$226)</f>
        <v>30.35</v>
      </c>
      <c r="O74" s="247">
        <f>INDEX('[9]Forward Price Curve'!$A$1:$P$65536,MATCH($M74,'[9]Forward Price Curve'!$D$1:$D$65536,FALSE),O$226)</f>
        <v>38.4</v>
      </c>
      <c r="P74" s="247">
        <f>INDEX('[9]Forward Price Curve'!$A$1:$P$65536,MATCH($M74,'[9]Forward Price Curve'!$D$1:$D$65536,FALSE),P$226)</f>
        <v>21.827500000000001</v>
      </c>
      <c r="Q74" s="248">
        <f>INDEX('[9]Forward Price Curve'!$A$1:$P$65536,MATCH($M74,'[9]Forward Price Curve'!$D$1:$D$65536,FALSE),Q$226)</f>
        <v>27.465</v>
      </c>
      <c r="S74" s="271">
        <f>INDEX('[9]Forward Price Curve'!$V:$V,MATCH($M74,'[9]Forward Price Curve'!$D:$D,FALSE),1)</f>
        <v>33.579193548387096</v>
      </c>
      <c r="T74" s="273">
        <f t="shared" si="24"/>
        <v>1.1435652838018935</v>
      </c>
      <c r="U74" s="273">
        <f t="shared" si="25"/>
        <v>0.81791720103174492</v>
      </c>
    </row>
    <row r="75" spans="2:21" x14ac:dyDescent="0.2">
      <c r="B75" s="250">
        <f t="shared" si="21"/>
        <v>44409</v>
      </c>
      <c r="C75" s="242">
        <f>INDEX('[9]Forward Price Curve'!$A:$IV,MATCH(B75,'[9]Forward Price Curve'!$D$1:$D$65536,FALSE),$C$226)</f>
        <v>2.9068292038118662</v>
      </c>
      <c r="D75" s="242">
        <f>INDEX('[9]Forward Price Curve'!$A:$IV,MATCH(B75,'[9]Forward Price Curve'!$D$1:$D$65536,FALSE),$D$226)</f>
        <v>3.0961827497721517</v>
      </c>
      <c r="E75" s="251">
        <f t="shared" si="19"/>
        <v>2021</v>
      </c>
      <c r="K75" s="35">
        <f t="shared" si="22"/>
        <v>8</v>
      </c>
      <c r="L75" s="274">
        <f t="shared" si="23"/>
        <v>2021</v>
      </c>
      <c r="M75" s="246">
        <f t="shared" si="20"/>
        <v>44409</v>
      </c>
      <c r="N75" s="247">
        <f>INDEX('[9]Forward Price Curve'!$A$1:$P$65536,MATCH($M75,'[9]Forward Price Curve'!$D$1:$D$65536,FALSE),N$226)</f>
        <v>35.119999999999997</v>
      </c>
      <c r="O75" s="247">
        <f>INDEX('[9]Forward Price Curve'!$A$1:$P$65536,MATCH($M75,'[9]Forward Price Curve'!$D$1:$D$65536,FALSE),O$226)</f>
        <v>37.799999999999997</v>
      </c>
      <c r="P75" s="247">
        <f>INDEX('[9]Forward Price Curve'!$A$1:$P$65536,MATCH($M75,'[9]Forward Price Curve'!$D$1:$D$65536,FALSE),P$226)</f>
        <v>26.6</v>
      </c>
      <c r="Q75" s="248">
        <f>INDEX('[9]Forward Price Curve'!$A$1:$P$65536,MATCH($M75,'[9]Forward Price Curve'!$D$1:$D$65536,FALSE),Q$226)</f>
        <v>29.67</v>
      </c>
      <c r="S75" s="271">
        <f>INDEX('[9]Forward Price Curve'!$V:$V,MATCH($M75,'[9]Forward Price Curve'!$D:$D,FALSE),1)</f>
        <v>34.215806451612899</v>
      </c>
      <c r="T75" s="273">
        <f t="shared" si="24"/>
        <v>1.1047525667254334</v>
      </c>
      <c r="U75" s="273">
        <f t="shared" si="25"/>
        <v>0.86714308610432844</v>
      </c>
    </row>
    <row r="76" spans="2:21" x14ac:dyDescent="0.2">
      <c r="B76" s="250">
        <f t="shared" si="21"/>
        <v>44440</v>
      </c>
      <c r="C76" s="242">
        <f>INDEX('[9]Forward Price Curve'!$A:$IV,MATCH(B76,'[9]Forward Price Curve'!$D$1:$D$65536,FALSE),$C$226)</f>
        <v>2.9037551183522905</v>
      </c>
      <c r="D76" s="242">
        <f>INDEX('[9]Forward Price Curve'!$A:$IV,MATCH(B76,'[9]Forward Price Curve'!$D$1:$D$65536,FALSE),$D$226)</f>
        <v>3.1253344397088609</v>
      </c>
      <c r="E76" s="251">
        <f t="shared" si="19"/>
        <v>2021</v>
      </c>
      <c r="K76" s="35">
        <f t="shared" si="22"/>
        <v>9</v>
      </c>
      <c r="L76" s="274">
        <f t="shared" si="23"/>
        <v>2021</v>
      </c>
      <c r="M76" s="246">
        <f t="shared" si="20"/>
        <v>44440</v>
      </c>
      <c r="N76" s="247">
        <f>INDEX('[9]Forward Price Curve'!$A$1:$P$65536,MATCH($M76,'[9]Forward Price Curve'!$D$1:$D$65536,FALSE),N$226)</f>
        <v>33.53</v>
      </c>
      <c r="O76" s="247">
        <f>INDEX('[9]Forward Price Curve'!$A$1:$P$65536,MATCH($M76,'[9]Forward Price Curve'!$D$1:$D$65536,FALSE),O$226)</f>
        <v>33.6</v>
      </c>
      <c r="P76" s="247">
        <f>INDEX('[9]Forward Price Curve'!$A$1:$P$65536,MATCH($M76,'[9]Forward Price Curve'!$D$1:$D$65536,FALSE),P$226)</f>
        <v>31.372499999999999</v>
      </c>
      <c r="Q76" s="248">
        <f>INDEX('[9]Forward Price Curve'!$A$1:$P$65536,MATCH($M76,'[9]Forward Price Curve'!$D$1:$D$65536,FALSE),Q$226)</f>
        <v>29.18</v>
      </c>
      <c r="S76" s="271">
        <f>INDEX('[9]Forward Price Curve'!$V:$V,MATCH($M76,'[9]Forward Price Curve'!$D:$D,FALSE),1)</f>
        <v>31.635555555555555</v>
      </c>
      <c r="T76" s="273">
        <f t="shared" si="24"/>
        <v>1.0620960944085418</v>
      </c>
      <c r="U76" s="273">
        <f t="shared" si="25"/>
        <v>0.92237988198932286</v>
      </c>
    </row>
    <row r="77" spans="2:21" x14ac:dyDescent="0.2">
      <c r="B77" s="250">
        <f t="shared" si="21"/>
        <v>44470</v>
      </c>
      <c r="C77" s="242">
        <f>INDEX('[9]Forward Price Curve'!$A:$IV,MATCH(B77,'[9]Forward Price Curve'!$D$1:$D$65536,FALSE),$C$226)</f>
        <v>2.9442305769033714</v>
      </c>
      <c r="D77" s="242">
        <f>INDEX('[9]Forward Price Curve'!$A:$IV,MATCH(B77,'[9]Forward Price Curve'!$D$1:$D$65536,FALSE),$D$226)</f>
        <v>3.1569111374810124</v>
      </c>
      <c r="E77" s="251">
        <f t="shared" si="19"/>
        <v>2021</v>
      </c>
      <c r="K77" s="35">
        <f t="shared" si="22"/>
        <v>10</v>
      </c>
      <c r="L77" s="274">
        <f t="shared" si="23"/>
        <v>2021</v>
      </c>
      <c r="M77" s="246">
        <f t="shared" si="20"/>
        <v>44470</v>
      </c>
      <c r="N77" s="247">
        <f>INDEX('[9]Forward Price Curve'!$A$1:$P$65536,MATCH($M77,'[9]Forward Price Curve'!$D$1:$D$65536,FALSE),N$226)</f>
        <v>32.887500000000003</v>
      </c>
      <c r="O77" s="247">
        <f>INDEX('[9]Forward Price Curve'!$A$1:$P$65536,MATCH($M77,'[9]Forward Price Curve'!$D$1:$D$65536,FALSE),O$226)</f>
        <v>33.645000000000003</v>
      </c>
      <c r="P77" s="247">
        <f>INDEX('[9]Forward Price Curve'!$A$1:$P$65536,MATCH($M77,'[9]Forward Price Curve'!$D$1:$D$65536,FALSE),P$226)</f>
        <v>27.024999999999999</v>
      </c>
      <c r="Q77" s="248">
        <f>INDEX('[9]Forward Price Curve'!$A$1:$P$65536,MATCH($M77,'[9]Forward Price Curve'!$D$1:$D$65536,FALSE),Q$226)</f>
        <v>29.44</v>
      </c>
      <c r="S77" s="271">
        <f>INDEX('[9]Forward Price Curve'!$V:$V,MATCH($M77,'[9]Forward Price Curve'!$D:$D,FALSE),1)</f>
        <v>31.791182795698926</v>
      </c>
      <c r="T77" s="273">
        <f t="shared" si="24"/>
        <v>1.0583123067868958</v>
      </c>
      <c r="U77" s="273">
        <f t="shared" si="25"/>
        <v>0.92604292797759569</v>
      </c>
    </row>
    <row r="78" spans="2:21" x14ac:dyDescent="0.2">
      <c r="B78" s="250">
        <f t="shared" si="21"/>
        <v>44501</v>
      </c>
      <c r="C78" s="242">
        <f>INDEX('[9]Forward Price Curve'!$A:$IV,MATCH(B78,'[9]Forward Price Curve'!$D$1:$D$65536,FALSE),$C$226)</f>
        <v>3.2080895788502923</v>
      </c>
      <c r="D78" s="242">
        <f>INDEX('[9]Forward Price Curve'!$A:$IV,MATCH(B78,'[9]Forward Price Curve'!$D$1:$D$65536,FALSE),$D$226)</f>
        <v>3.5006946950886073</v>
      </c>
      <c r="E78" s="251">
        <f t="shared" si="19"/>
        <v>2021</v>
      </c>
      <c r="K78" s="35">
        <f t="shared" si="22"/>
        <v>11</v>
      </c>
      <c r="L78" s="274">
        <f t="shared" si="23"/>
        <v>2021</v>
      </c>
      <c r="M78" s="246">
        <f t="shared" si="20"/>
        <v>44501</v>
      </c>
      <c r="N78" s="247">
        <f>INDEX('[9]Forward Price Curve'!$A$1:$P$65536,MATCH($M78,'[9]Forward Price Curve'!$D$1:$D$65536,FALSE),N$226)</f>
        <v>33.977499999999999</v>
      </c>
      <c r="O78" s="247">
        <f>INDEX('[9]Forward Price Curve'!$A$1:$P$65536,MATCH($M78,'[9]Forward Price Curve'!$D$1:$D$65536,FALSE),O$226)</f>
        <v>32.282499999999999</v>
      </c>
      <c r="P78" s="247">
        <f>INDEX('[9]Forward Price Curve'!$A$1:$P$65536,MATCH($M78,'[9]Forward Price Curve'!$D$1:$D$65536,FALSE),P$226)</f>
        <v>30.28</v>
      </c>
      <c r="Q78" s="248">
        <f>INDEX('[9]Forward Price Curve'!$A$1:$P$65536,MATCH($M78,'[9]Forward Price Curve'!$D$1:$D$65536,FALSE),Q$226)</f>
        <v>28.945</v>
      </c>
      <c r="S78" s="271">
        <f>INDEX('[9]Forward Price Curve'!$V:$V,MATCH($M78,'[9]Forward Price Curve'!$D:$D,FALSE),1)</f>
        <v>30.796595006934815</v>
      </c>
      <c r="T78" s="273">
        <f t="shared" si="24"/>
        <v>1.0482490026163798</v>
      </c>
      <c r="U78" s="273">
        <f t="shared" si="25"/>
        <v>0.9398766322537323</v>
      </c>
    </row>
    <row r="79" spans="2:21" x14ac:dyDescent="0.2">
      <c r="B79" s="252">
        <f t="shared" si="21"/>
        <v>44531</v>
      </c>
      <c r="C79" s="253">
        <f>INDEX('[9]Forward Price Curve'!$A:$IV,MATCH(B79,'[9]Forward Price Curve'!$D$1:$D$65536,FALSE),$C$226)</f>
        <v>3.4089298288759093</v>
      </c>
      <c r="D79" s="253">
        <f>INDEX('[9]Forward Price Curve'!$A:$IV,MATCH(B79,'[9]Forward Price Curve'!$D$1:$D$65536,FALSE),$D$226)</f>
        <v>3.7939142595316451</v>
      </c>
      <c r="E79" s="254">
        <f t="shared" si="19"/>
        <v>2021</v>
      </c>
      <c r="K79" s="35">
        <f t="shared" si="22"/>
        <v>12</v>
      </c>
      <c r="L79" s="274">
        <f t="shared" si="23"/>
        <v>2021</v>
      </c>
      <c r="M79" s="255">
        <f t="shared" si="20"/>
        <v>44531</v>
      </c>
      <c r="N79" s="256">
        <f>INDEX('[9]Forward Price Curve'!$A$1:$P$65536,MATCH($M79,'[9]Forward Price Curve'!$D$1:$D$65536,FALSE),N$226)</f>
        <v>35.884999999999998</v>
      </c>
      <c r="O79" s="256">
        <f>INDEX('[9]Forward Price Curve'!$A$1:$P$65536,MATCH($M79,'[9]Forward Price Curve'!$D$1:$D$65536,FALSE),O$226)</f>
        <v>33.372500000000002</v>
      </c>
      <c r="P79" s="256">
        <f>INDEX('[9]Forward Price Curve'!$A$1:$P$65536,MATCH($M79,'[9]Forward Price Curve'!$D$1:$D$65536,FALSE),P$226)</f>
        <v>30.745000000000001</v>
      </c>
      <c r="Q79" s="257">
        <f>INDEX('[9]Forward Price Curve'!$A$1:$P$65536,MATCH($M79,'[9]Forward Price Curve'!$D$1:$D$65536,FALSE),Q$226)</f>
        <v>29.934999999999999</v>
      </c>
      <c r="S79" s="271">
        <f>INDEX('[9]Forward Price Curve'!$V:$V,MATCH($M79,'[9]Forward Price Curve'!$D:$D,FALSE),1)</f>
        <v>31.857043010752687</v>
      </c>
      <c r="T79" s="273">
        <f t="shared" si="24"/>
        <v>1.0475705478608233</v>
      </c>
      <c r="U79" s="273">
        <f t="shared" si="25"/>
        <v>0.93966662222529751</v>
      </c>
    </row>
    <row r="80" spans="2:21" x14ac:dyDescent="0.2">
      <c r="B80" s="241">
        <f t="shared" si="21"/>
        <v>44562</v>
      </c>
      <c r="C80" s="242">
        <f>INDEX('[9]Forward Price Curve'!$A:$IV,MATCH(B80,'[9]Forward Price Curve'!$D$1:$D$65536,FALSE),$C$226)</f>
        <v>3.6148935546674865</v>
      </c>
      <c r="D80" s="242">
        <f>INDEX('[9]Forward Price Curve'!$A:$IV,MATCH(B80,'[9]Forward Price Curve'!$D$1:$D$65536,FALSE),$D$226)</f>
        <v>3.8370484414556962</v>
      </c>
      <c r="E80" s="243">
        <f t="shared" si="19"/>
        <v>2022</v>
      </c>
      <c r="K80" s="35">
        <f t="shared" si="22"/>
        <v>1</v>
      </c>
      <c r="L80" s="274">
        <f t="shared" si="23"/>
        <v>2022</v>
      </c>
      <c r="M80" s="246">
        <f t="shared" si="20"/>
        <v>44562</v>
      </c>
      <c r="N80" s="258">
        <f>INDEX('[9]Forward Price Curve'!$A$1:$P$65536,MATCH($M80,'[9]Forward Price Curve'!$D$1:$D$65536,FALSE),N$226)</f>
        <v>33.762500000000003</v>
      </c>
      <c r="O80" s="258">
        <f>INDEX('[9]Forward Price Curve'!$A$1:$P$65536,MATCH($M80,'[9]Forward Price Curve'!$D$1:$D$65536,FALSE),O$226)</f>
        <v>34.9</v>
      </c>
      <c r="P80" s="258">
        <f>INDEX('[9]Forward Price Curve'!$A$1:$P$65536,MATCH($M80,'[9]Forward Price Curve'!$D$1:$D$65536,FALSE),P$226)</f>
        <v>29.24</v>
      </c>
      <c r="Q80" s="259">
        <f>INDEX('[9]Forward Price Curve'!$A$1:$P$65536,MATCH($M80,'[9]Forward Price Curve'!$D$1:$D$65536,FALSE),Q$226)</f>
        <v>31.37</v>
      </c>
      <c r="S80" s="271">
        <f>INDEX('[9]Forward Price Curve'!$V:$V,MATCH($M80,'[9]Forward Price Curve'!$D:$D,FALSE),1)</f>
        <v>33.267849462365589</v>
      </c>
      <c r="T80" s="273">
        <f t="shared" si="24"/>
        <v>1.049060897052597</v>
      </c>
      <c r="U80" s="273">
        <f t="shared" si="25"/>
        <v>0.94295244528767819</v>
      </c>
    </row>
    <row r="81" spans="2:21" x14ac:dyDescent="0.2">
      <c r="B81" s="250">
        <f t="shared" si="21"/>
        <v>44593</v>
      </c>
      <c r="C81" s="242">
        <f>INDEX('[9]Forward Price Curve'!$A:$IV,MATCH(B81,'[9]Forward Price Curve'!$D$1:$D$65536,FALSE),$C$226)</f>
        <v>3.6113071216313148</v>
      </c>
      <c r="D81" s="242">
        <f>INDEX('[9]Forward Price Curve'!$A:$IV,MATCH(B81,'[9]Forward Price Curve'!$D$1:$D$65536,FALSE),$D$226)</f>
        <v>3.7354560919240503</v>
      </c>
      <c r="E81" s="251">
        <f t="shared" si="19"/>
        <v>2022</v>
      </c>
      <c r="K81" s="35">
        <f t="shared" si="22"/>
        <v>2</v>
      </c>
      <c r="L81" s="274">
        <f t="shared" si="23"/>
        <v>2022</v>
      </c>
      <c r="M81" s="246">
        <f t="shared" si="20"/>
        <v>44593</v>
      </c>
      <c r="N81" s="247">
        <f>INDEX('[9]Forward Price Curve'!$A$1:$P$65536,MATCH($M81,'[9]Forward Price Curve'!$D$1:$D$65536,FALSE),N$226)</f>
        <v>33.005000000000003</v>
      </c>
      <c r="O81" s="247">
        <f>INDEX('[9]Forward Price Curve'!$A$1:$P$65536,MATCH($M81,'[9]Forward Price Curve'!$D$1:$D$65536,FALSE),O$226)</f>
        <v>34.375</v>
      </c>
      <c r="P81" s="247">
        <f>INDEX('[9]Forward Price Curve'!$A$1:$P$65536,MATCH($M81,'[9]Forward Price Curve'!$D$1:$D$65536,FALSE),P$226)</f>
        <v>28.572500000000002</v>
      </c>
      <c r="Q81" s="248">
        <f>INDEX('[9]Forward Price Curve'!$A$1:$P$65536,MATCH($M81,'[9]Forward Price Curve'!$D$1:$D$65536,FALSE),Q$226)</f>
        <v>30.642499999999998</v>
      </c>
      <c r="S81" s="271">
        <f>INDEX('[9]Forward Price Curve'!$V:$V,MATCH($M81,'[9]Forward Price Curve'!$D:$D,FALSE),1)</f>
        <v>32.775357142857139</v>
      </c>
      <c r="T81" s="273">
        <f t="shared" si="24"/>
        <v>1.0488062677752232</v>
      </c>
      <c r="U81" s="273">
        <f t="shared" si="25"/>
        <v>0.93492497629970261</v>
      </c>
    </row>
    <row r="82" spans="2:21" x14ac:dyDescent="0.2">
      <c r="B82" s="250">
        <f t="shared" si="21"/>
        <v>44621</v>
      </c>
      <c r="C82" s="242">
        <f>INDEX('[9]Forward Price Curve'!$A:$IV,MATCH(B82,'[9]Forward Price Curve'!$D$1:$D$65536,FALSE),$C$226)</f>
        <v>3.3428369914950307</v>
      </c>
      <c r="D82" s="242">
        <f>INDEX('[9]Forward Price Curve'!$A:$IV,MATCH(B82,'[9]Forward Price Curve'!$D$1:$D$65536,FALSE),$D$226)</f>
        <v>3.6820027277215184</v>
      </c>
      <c r="E82" s="251">
        <f t="shared" si="19"/>
        <v>2022</v>
      </c>
      <c r="K82" s="35">
        <f t="shared" si="22"/>
        <v>3</v>
      </c>
      <c r="L82" s="274">
        <f t="shared" si="23"/>
        <v>2022</v>
      </c>
      <c r="M82" s="246">
        <f t="shared" si="20"/>
        <v>44621</v>
      </c>
      <c r="N82" s="247">
        <f>INDEX('[9]Forward Price Curve'!$A$1:$P$65536,MATCH($M82,'[9]Forward Price Curve'!$D$1:$D$65536,FALSE),N$226)</f>
        <v>30.732500000000002</v>
      </c>
      <c r="O82" s="247">
        <f>INDEX('[9]Forward Price Curve'!$A$1:$P$65536,MATCH($M82,'[9]Forward Price Curve'!$D$1:$D$65536,FALSE),O$226)</f>
        <v>32.274999999999999</v>
      </c>
      <c r="P82" s="247">
        <f>INDEX('[9]Forward Price Curve'!$A$1:$P$65536,MATCH($M82,'[9]Forward Price Curve'!$D$1:$D$65536,FALSE),P$226)</f>
        <v>27.237500000000001</v>
      </c>
      <c r="Q82" s="248">
        <f>INDEX('[9]Forward Price Curve'!$A$1:$P$65536,MATCH($M82,'[9]Forward Price Curve'!$D$1:$D$65536,FALSE),Q$226)</f>
        <v>29.1875</v>
      </c>
      <c r="S82" s="271">
        <f>INDEX('[9]Forward Price Curve'!$V:$V,MATCH($M82,'[9]Forward Price Curve'!$D:$D,FALSE),1)</f>
        <v>30.982654777927319</v>
      </c>
      <c r="T82" s="273">
        <f t="shared" si="24"/>
        <v>1.041711894327189</v>
      </c>
      <c r="U82" s="273">
        <f t="shared" si="25"/>
        <v>0.94205936222075382</v>
      </c>
    </row>
    <row r="83" spans="2:21" x14ac:dyDescent="0.2">
      <c r="B83" s="250">
        <f t="shared" si="21"/>
        <v>44652</v>
      </c>
      <c r="C83" s="242">
        <f>INDEX('[9]Forward Price Curve'!$A:$IV,MATCH(B83,'[9]Forward Price Curve'!$D$1:$D$65536,FALSE),$C$226)</f>
        <v>2.9047798135054821</v>
      </c>
      <c r="D83" s="242">
        <f>INDEX('[9]Forward Price Curve'!$A:$IV,MATCH(B83,'[9]Forward Price Curve'!$D$1:$D$65536,FALSE),$D$226)</f>
        <v>3.0837997310379741</v>
      </c>
      <c r="E83" s="251">
        <f t="shared" si="19"/>
        <v>2022</v>
      </c>
      <c r="K83" s="35">
        <f t="shared" si="22"/>
        <v>4</v>
      </c>
      <c r="L83" s="274">
        <f t="shared" si="23"/>
        <v>2022</v>
      </c>
      <c r="M83" s="246">
        <f t="shared" si="20"/>
        <v>44652</v>
      </c>
      <c r="N83" s="247">
        <f>INDEX('[9]Forward Price Curve'!$A$1:$P$65536,MATCH($M83,'[9]Forward Price Curve'!$D$1:$D$65536,FALSE),N$226)</f>
        <v>27.85</v>
      </c>
      <c r="O83" s="247">
        <f>INDEX('[9]Forward Price Curve'!$A$1:$P$65536,MATCH($M83,'[9]Forward Price Curve'!$D$1:$D$65536,FALSE),O$226)</f>
        <v>28.015000000000001</v>
      </c>
      <c r="P83" s="247">
        <f>INDEX('[9]Forward Price Curve'!$A$1:$P$65536,MATCH($M83,'[9]Forward Price Curve'!$D$1:$D$65536,FALSE),P$226)</f>
        <v>19.989999999999998</v>
      </c>
      <c r="Q83" s="248">
        <f>INDEX('[9]Forward Price Curve'!$A$1:$P$65536,MATCH($M83,'[9]Forward Price Curve'!$D$1:$D$65536,FALSE),Q$226)</f>
        <v>24.21</v>
      </c>
      <c r="S83" s="271">
        <f>INDEX('[9]Forward Price Curve'!$V:$V,MATCH($M83,'[9]Forward Price Curve'!$D:$D,FALSE),1)</f>
        <v>26.408444444444442</v>
      </c>
      <c r="T83" s="273">
        <f t="shared" si="24"/>
        <v>1.0608349181238326</v>
      </c>
      <c r="U83" s="273">
        <f t="shared" si="25"/>
        <v>0.9167522173042294</v>
      </c>
    </row>
    <row r="84" spans="2:21" x14ac:dyDescent="0.2">
      <c r="B84" s="250">
        <f t="shared" si="21"/>
        <v>44682</v>
      </c>
      <c r="C84" s="242">
        <f>INDEX('[9]Forward Price Curve'!$A:$IV,MATCH(B84,'[9]Forward Price Curve'!$D$1:$D$65536,FALSE),$C$226)</f>
        <v>3.1377954913413264</v>
      </c>
      <c r="D84" s="242">
        <f>INDEX('[9]Forward Price Curve'!$A:$IV,MATCH(B84,'[9]Forward Price Curve'!$D$1:$D$65536,FALSE),$D$226)</f>
        <v>3.2766652478227849</v>
      </c>
      <c r="E84" s="251">
        <f t="shared" si="19"/>
        <v>2022</v>
      </c>
      <c r="K84" s="35">
        <f t="shared" si="22"/>
        <v>5</v>
      </c>
      <c r="L84" s="274">
        <f t="shared" si="23"/>
        <v>2022</v>
      </c>
      <c r="M84" s="246">
        <f t="shared" si="20"/>
        <v>44682</v>
      </c>
      <c r="N84" s="247">
        <f>INDEX('[9]Forward Price Curve'!$A$1:$P$65536,MATCH($M84,'[9]Forward Price Curve'!$D$1:$D$65536,FALSE),N$226)</f>
        <v>24.883199999999999</v>
      </c>
      <c r="O84" s="247">
        <f>INDEX('[9]Forward Price Curve'!$A$1:$P$65536,MATCH($M84,'[9]Forward Price Curve'!$D$1:$D$65536,FALSE),O$226)</f>
        <v>31.351759999999999</v>
      </c>
      <c r="P84" s="247">
        <f>INDEX('[9]Forward Price Curve'!$A$1:$P$65536,MATCH($M84,'[9]Forward Price Curve'!$D$1:$D$65536,FALSE),P$226)</f>
        <v>19.057089999999999</v>
      </c>
      <c r="Q84" s="248">
        <f>INDEX('[9]Forward Price Curve'!$A$1:$P$65536,MATCH($M84,'[9]Forward Price Curve'!$D$1:$D$65536,FALSE),Q$226)</f>
        <v>27.32771</v>
      </c>
      <c r="S84" s="271">
        <f>INDEX('[9]Forward Price Curve'!$V:$V,MATCH($M84,'[9]Forward Price Curve'!$D:$D,FALSE),1)</f>
        <v>29.491177741935484</v>
      </c>
      <c r="T84" s="273">
        <f t="shared" si="24"/>
        <v>1.0630894525252828</v>
      </c>
      <c r="U84" s="273">
        <f t="shared" si="25"/>
        <v>0.92664017148222921</v>
      </c>
    </row>
    <row r="85" spans="2:21" x14ac:dyDescent="0.2">
      <c r="B85" s="250">
        <f t="shared" si="21"/>
        <v>44713</v>
      </c>
      <c r="C85" s="242">
        <f>INDEX('[9]Forward Price Curve'!$A:$IV,MATCH(B85,'[9]Forward Price Curve'!$D$1:$D$65536,FALSE),$C$226)</f>
        <v>3.1277534788400452</v>
      </c>
      <c r="D85" s="242">
        <f>INDEX('[9]Forward Price Curve'!$A:$IV,MATCH(B85,'[9]Forward Price Curve'!$D$1:$D$65536,FALSE),$D$226)</f>
        <v>3.2818248389620246</v>
      </c>
      <c r="E85" s="251">
        <f t="shared" si="19"/>
        <v>2022</v>
      </c>
      <c r="K85" s="35">
        <f t="shared" si="22"/>
        <v>6</v>
      </c>
      <c r="L85" s="274">
        <f t="shared" si="23"/>
        <v>2022</v>
      </c>
      <c r="M85" s="246">
        <f t="shared" si="20"/>
        <v>44713</v>
      </c>
      <c r="N85" s="247">
        <f>INDEX('[9]Forward Price Curve'!$A$1:$P$65536,MATCH($M85,'[9]Forward Price Curve'!$D$1:$D$65536,FALSE),N$226)</f>
        <v>27.099589999999999</v>
      </c>
      <c r="O85" s="247">
        <f>INDEX('[9]Forward Price Curve'!$A$1:$P$65536,MATCH($M85,'[9]Forward Price Curve'!$D$1:$D$65536,FALSE),O$226)</f>
        <v>34.449399999999997</v>
      </c>
      <c r="P85" s="247">
        <f>INDEX('[9]Forward Price Curve'!$A$1:$P$65536,MATCH($M85,'[9]Forward Price Curve'!$D$1:$D$65536,FALSE),P$226)</f>
        <v>19.29663</v>
      </c>
      <c r="Q85" s="248">
        <f>INDEX('[9]Forward Price Curve'!$A$1:$P$65536,MATCH($M85,'[9]Forward Price Curve'!$D$1:$D$65536,FALSE),Q$226)</f>
        <v>28.36337</v>
      </c>
      <c r="S85" s="271">
        <f>INDEX('[9]Forward Price Curve'!$V:$V,MATCH($M85,'[9]Forward Price Curve'!$D:$D,FALSE),1)</f>
        <v>31.879742888888888</v>
      </c>
      <c r="T85" s="273">
        <f t="shared" si="24"/>
        <v>1.0806046999835346</v>
      </c>
      <c r="U85" s="273">
        <f t="shared" si="25"/>
        <v>0.88969883160147889</v>
      </c>
    </row>
    <row r="86" spans="2:21" x14ac:dyDescent="0.2">
      <c r="B86" s="250">
        <f t="shared" si="21"/>
        <v>44743</v>
      </c>
      <c r="C86" s="242">
        <f>INDEX('[9]Forward Price Curve'!$A:$IV,MATCH(B86,'[9]Forward Price Curve'!$D$1:$D$65536,FALSE),$C$226)</f>
        <v>3.1913870478532638</v>
      </c>
      <c r="D86" s="242">
        <f>INDEX('[9]Forward Price Curve'!$A:$IV,MATCH(B86,'[9]Forward Price Curve'!$D$1:$D$65536,FALSE),$D$226)</f>
        <v>3.3746974794683542</v>
      </c>
      <c r="E86" s="251">
        <f t="shared" si="19"/>
        <v>2022</v>
      </c>
      <c r="K86" s="35">
        <f t="shared" si="22"/>
        <v>7</v>
      </c>
      <c r="L86" s="274">
        <f t="shared" si="23"/>
        <v>2022</v>
      </c>
      <c r="M86" s="246">
        <f t="shared" si="20"/>
        <v>44743</v>
      </c>
      <c r="N86" s="247">
        <f>INDEX('[9]Forward Price Curve'!$A$1:$P$65536,MATCH($M86,'[9]Forward Price Curve'!$D$1:$D$65536,FALSE),N$226)</f>
        <v>33.93177</v>
      </c>
      <c r="O86" s="247">
        <f>INDEX('[9]Forward Price Curve'!$A$1:$P$65536,MATCH($M86,'[9]Forward Price Curve'!$D$1:$D$65536,FALSE),O$226)</f>
        <v>40.70767</v>
      </c>
      <c r="P86" s="247">
        <f>INDEX('[9]Forward Price Curve'!$A$1:$P$65536,MATCH($M86,'[9]Forward Price Curve'!$D$1:$D$65536,FALSE),P$226)</f>
        <v>25.140989999999999</v>
      </c>
      <c r="Q86" s="248">
        <f>INDEX('[9]Forward Price Curve'!$A$1:$P$65536,MATCH($M86,'[9]Forward Price Curve'!$D$1:$D$65536,FALSE),Q$226)</f>
        <v>31.53152</v>
      </c>
      <c r="S86" s="271">
        <f>INDEX('[9]Forward Price Curve'!$V:$V,MATCH($M86,'[9]Forward Price Curve'!$D:$D,FALSE),1)</f>
        <v>36.464933978494628</v>
      </c>
      <c r="T86" s="273">
        <f t="shared" si="24"/>
        <v>1.1163511230819052</v>
      </c>
      <c r="U86" s="273">
        <f t="shared" si="25"/>
        <v>0.86470799641638918</v>
      </c>
    </row>
    <row r="87" spans="2:21" x14ac:dyDescent="0.2">
      <c r="B87" s="250">
        <f t="shared" si="21"/>
        <v>44774</v>
      </c>
      <c r="C87" s="242">
        <f>INDEX('[9]Forward Price Curve'!$A:$IV,MATCH(B87,'[9]Forward Price Curve'!$D$1:$D$65536,FALSE),$C$226)</f>
        <v>3.2710058612562762</v>
      </c>
      <c r="D87" s="242">
        <f>INDEX('[9]Forward Price Curve'!$A:$IV,MATCH(B87,'[9]Forward Price Curve'!$D$1:$D$65536,FALSE),$D$226)</f>
        <v>3.4465189881265816</v>
      </c>
      <c r="E87" s="251">
        <f t="shared" si="19"/>
        <v>2022</v>
      </c>
      <c r="K87" s="35">
        <f t="shared" si="22"/>
        <v>8</v>
      </c>
      <c r="L87" s="274">
        <f t="shared" si="23"/>
        <v>2022</v>
      </c>
      <c r="M87" s="246">
        <f t="shared" si="20"/>
        <v>44774</v>
      </c>
      <c r="N87" s="247">
        <f>INDEX('[9]Forward Price Curve'!$A$1:$P$65536,MATCH($M87,'[9]Forward Price Curve'!$D$1:$D$65536,FALSE),N$226)</f>
        <v>38.358379999999997</v>
      </c>
      <c r="O87" s="247">
        <f>INDEX('[9]Forward Price Curve'!$A$1:$P$65536,MATCH($M87,'[9]Forward Price Curve'!$D$1:$D$65536,FALSE),O$226)</f>
        <v>41.29486</v>
      </c>
      <c r="P87" s="247">
        <f>INDEX('[9]Forward Price Curve'!$A$1:$P$65536,MATCH($M87,'[9]Forward Price Curve'!$D$1:$D$65536,FALSE),P$226)</f>
        <v>28.66639</v>
      </c>
      <c r="Q87" s="248">
        <f>INDEX('[9]Forward Price Curve'!$A$1:$P$65536,MATCH($M87,'[9]Forward Price Curve'!$D$1:$D$65536,FALSE),Q$226)</f>
        <v>32.968040000000002</v>
      </c>
      <c r="S87" s="271">
        <f>INDEX('[9]Forward Price Curve'!$V:$V,MATCH($M87,'[9]Forward Price Curve'!$D:$D,FALSE),1)</f>
        <v>37.80296774193549</v>
      </c>
      <c r="T87" s="273">
        <f t="shared" si="24"/>
        <v>1.0923708498735376</v>
      </c>
      <c r="U87" s="273">
        <f t="shared" si="25"/>
        <v>0.87210190017510136</v>
      </c>
    </row>
    <row r="88" spans="2:21" x14ac:dyDescent="0.2">
      <c r="B88" s="250">
        <f t="shared" si="21"/>
        <v>44805</v>
      </c>
      <c r="C88" s="242">
        <f>INDEX('[9]Forward Price Curve'!$A:$IV,MATCH(B88,'[9]Forward Price Curve'!$D$1:$D$65536,FALSE),$C$226)</f>
        <v>3.2922170509273494</v>
      </c>
      <c r="D88" s="242">
        <f>INDEX('[9]Forward Price Curve'!$A:$IV,MATCH(B88,'[9]Forward Price Curve'!$D$1:$D$65536,FALSE),$D$226)</f>
        <v>3.4865574153670886</v>
      </c>
      <c r="E88" s="251">
        <f t="shared" si="19"/>
        <v>2022</v>
      </c>
      <c r="K88" s="35">
        <f t="shared" si="22"/>
        <v>9</v>
      </c>
      <c r="L88" s="274">
        <f t="shared" si="23"/>
        <v>2022</v>
      </c>
      <c r="M88" s="246">
        <f t="shared" si="20"/>
        <v>44805</v>
      </c>
      <c r="N88" s="247">
        <f>INDEX('[9]Forward Price Curve'!$A$1:$P$65536,MATCH($M88,'[9]Forward Price Curve'!$D$1:$D$65536,FALSE),N$226)</f>
        <v>38.287570000000002</v>
      </c>
      <c r="O88" s="247">
        <f>INDEX('[9]Forward Price Curve'!$A$1:$P$65536,MATCH($M88,'[9]Forward Price Curve'!$D$1:$D$65536,FALSE),O$226)</f>
        <v>37.15493</v>
      </c>
      <c r="P88" s="247">
        <f>INDEX('[9]Forward Price Curve'!$A$1:$P$65536,MATCH($M88,'[9]Forward Price Curve'!$D$1:$D$65536,FALSE),P$226)</f>
        <v>32.61168</v>
      </c>
      <c r="Q88" s="248">
        <f>INDEX('[9]Forward Price Curve'!$A$1:$P$65536,MATCH($M88,'[9]Forward Price Curve'!$D$1:$D$65536,FALSE),Q$226)</f>
        <v>32.286380000000001</v>
      </c>
      <c r="S88" s="271">
        <f>INDEX('[9]Forward Price Curve'!$V:$V,MATCH($M88,'[9]Forward Price Curve'!$D:$D,FALSE),1)</f>
        <v>34.991129999999998</v>
      </c>
      <c r="T88" s="273">
        <f t="shared" si="24"/>
        <v>1.0618385287928684</v>
      </c>
      <c r="U88" s="273">
        <f t="shared" si="25"/>
        <v>0.92270183900891467</v>
      </c>
    </row>
    <row r="89" spans="2:21" x14ac:dyDescent="0.2">
      <c r="B89" s="250">
        <f t="shared" si="21"/>
        <v>44835</v>
      </c>
      <c r="C89" s="242">
        <f>INDEX('[9]Forward Price Curve'!$A:$IV,MATCH(B89,'[9]Forward Price Curve'!$D$1:$D$65536,FALSE),$C$226)</f>
        <v>3.3326925094784303</v>
      </c>
      <c r="D89" s="242">
        <f>INDEX('[9]Forward Price Curve'!$A:$IV,MATCH(B89,'[9]Forward Price Curve'!$D$1:$D$65536,FALSE),$D$226)</f>
        <v>3.5118910078607595</v>
      </c>
      <c r="E89" s="251">
        <f t="shared" si="19"/>
        <v>2022</v>
      </c>
      <c r="K89" s="35">
        <f t="shared" si="22"/>
        <v>10</v>
      </c>
      <c r="L89" s="274">
        <f t="shared" si="23"/>
        <v>2022</v>
      </c>
      <c r="M89" s="246">
        <f t="shared" si="20"/>
        <v>44835</v>
      </c>
      <c r="N89" s="247">
        <f>INDEX('[9]Forward Price Curve'!$A$1:$P$65536,MATCH($M89,'[9]Forward Price Curve'!$D$1:$D$65536,FALSE),N$226)</f>
        <v>35.431109999999997</v>
      </c>
      <c r="O89" s="247">
        <f>INDEX('[9]Forward Price Curve'!$A$1:$P$65536,MATCH($M89,'[9]Forward Price Curve'!$D$1:$D$65536,FALSE),O$226)</f>
        <v>36.71998</v>
      </c>
      <c r="P89" s="247">
        <f>INDEX('[9]Forward Price Curve'!$A$1:$P$65536,MATCH($M89,'[9]Forward Price Curve'!$D$1:$D$65536,FALSE),P$226)</f>
        <v>29.11074</v>
      </c>
      <c r="Q89" s="248">
        <f>INDEX('[9]Forward Price Curve'!$A$1:$P$65536,MATCH($M89,'[9]Forward Price Curve'!$D$1:$D$65536,FALSE),Q$226)</f>
        <v>32.489339999999999</v>
      </c>
      <c r="S89" s="271">
        <f>INDEX('[9]Forward Price Curve'!$V:$V,MATCH($M89,'[9]Forward Price Curve'!$D:$D,FALSE),1)</f>
        <v>34.854859139784942</v>
      </c>
      <c r="T89" s="273">
        <f t="shared" si="24"/>
        <v>1.0535110715190388</v>
      </c>
      <c r="U89" s="273">
        <f t="shared" si="25"/>
        <v>0.93213229953682897</v>
      </c>
    </row>
    <row r="90" spans="2:21" x14ac:dyDescent="0.2">
      <c r="B90" s="250">
        <f t="shared" si="21"/>
        <v>44866</v>
      </c>
      <c r="C90" s="242">
        <f>INDEX('[9]Forward Price Curve'!$A:$IV,MATCH(B90,'[9]Forward Price Curve'!$D$1:$D$65536,FALSE),$C$226)</f>
        <v>3.635899805307921</v>
      </c>
      <c r="D90" s="242">
        <f>INDEX('[9]Forward Price Curve'!$A:$IV,MATCH(B90,'[9]Forward Price Curve'!$D$1:$D$65536,FALSE),$D$226)</f>
        <v>3.8111988898481011</v>
      </c>
      <c r="E90" s="251">
        <f t="shared" si="19"/>
        <v>2022</v>
      </c>
      <c r="K90" s="35">
        <f t="shared" si="22"/>
        <v>11</v>
      </c>
      <c r="L90" s="274">
        <f t="shared" si="23"/>
        <v>2022</v>
      </c>
      <c r="M90" s="246">
        <f t="shared" si="20"/>
        <v>44866</v>
      </c>
      <c r="N90" s="247">
        <f>INDEX('[9]Forward Price Curve'!$A$1:$P$65536,MATCH($M90,'[9]Forward Price Curve'!$D$1:$D$65536,FALSE),N$226)</f>
        <v>37.568359999999998</v>
      </c>
      <c r="O90" s="247">
        <f>INDEX('[9]Forward Price Curve'!$A$1:$P$65536,MATCH($M90,'[9]Forward Price Curve'!$D$1:$D$65536,FALSE),O$226)</f>
        <v>37.38485</v>
      </c>
      <c r="P90" s="247">
        <f>INDEX('[9]Forward Price Curve'!$A$1:$P$65536,MATCH($M90,'[9]Forward Price Curve'!$D$1:$D$65536,FALSE),P$226)</f>
        <v>31.757169999999999</v>
      </c>
      <c r="Q90" s="248">
        <f>INDEX('[9]Forward Price Curve'!$A$1:$P$65536,MATCH($M90,'[9]Forward Price Curve'!$D$1:$D$65536,FALSE),Q$226)</f>
        <v>32.821269999999998</v>
      </c>
      <c r="S90" s="271">
        <f>INDEX('[9]Forward Price Curve'!$V:$V,MATCH($M90,'[9]Forward Price Curve'!$D:$D,FALSE),1)</f>
        <v>35.353075825242719</v>
      </c>
      <c r="T90" s="273">
        <f t="shared" si="24"/>
        <v>1.0574709308123782</v>
      </c>
      <c r="U90" s="273">
        <f t="shared" si="25"/>
        <v>0.9283851329440771</v>
      </c>
    </row>
    <row r="91" spans="2:21" x14ac:dyDescent="0.2">
      <c r="B91" s="252">
        <f t="shared" si="21"/>
        <v>44896</v>
      </c>
      <c r="C91" s="253">
        <f>INDEX('[9]Forward Price Curve'!$A:$IV,MATCH(B91,'[9]Forward Price Curve'!$D$1:$D$65536,FALSE),$C$226)</f>
        <v>3.8411462444922639</v>
      </c>
      <c r="D91" s="253">
        <f>INDEX('[9]Forward Price Curve'!$A:$IV,MATCH(B91,'[9]Forward Price Curve'!$D$1:$D$65536,FALSE),$D$226)</f>
        <v>4.0819742328354431</v>
      </c>
      <c r="E91" s="254">
        <f t="shared" si="19"/>
        <v>2022</v>
      </c>
      <c r="K91" s="35">
        <f t="shared" si="22"/>
        <v>12</v>
      </c>
      <c r="L91" s="274">
        <f t="shared" si="23"/>
        <v>2022</v>
      </c>
      <c r="M91" s="255">
        <f t="shared" si="20"/>
        <v>44896</v>
      </c>
      <c r="N91" s="256">
        <f>INDEX('[9]Forward Price Curve'!$A$1:$P$65536,MATCH($M91,'[9]Forward Price Curve'!$D$1:$D$65536,FALSE),N$226)</f>
        <v>39.575389999999999</v>
      </c>
      <c r="O91" s="256">
        <f>INDEX('[9]Forward Price Curve'!$A$1:$P$65536,MATCH($M91,'[9]Forward Price Curve'!$D$1:$D$65536,FALSE),O$226)</f>
        <v>38.401409999999998</v>
      </c>
      <c r="P91" s="256">
        <f>INDEX('[9]Forward Price Curve'!$A$1:$P$65536,MATCH($M91,'[9]Forward Price Curve'!$D$1:$D$65536,FALSE),P$226)</f>
        <v>33.256</v>
      </c>
      <c r="Q91" s="257">
        <f>INDEX('[9]Forward Price Curve'!$A$1:$P$65536,MATCH($M91,'[9]Forward Price Curve'!$D$1:$D$65536,FALSE),Q$226)</f>
        <v>34.103160000000003</v>
      </c>
      <c r="S91" s="271">
        <f>INDEX('[9]Forward Price Curve'!$V:$V,MATCH($M91,'[9]Forward Price Curve'!$D:$D,FALSE),1)</f>
        <v>36.506482580645162</v>
      </c>
      <c r="T91" s="273">
        <f t="shared" si="24"/>
        <v>1.0519066008391473</v>
      </c>
      <c r="U91" s="273">
        <f t="shared" si="25"/>
        <v>0.9341672379601057</v>
      </c>
    </row>
    <row r="92" spans="2:21" x14ac:dyDescent="0.2">
      <c r="B92" s="241">
        <f t="shared" si="21"/>
        <v>44927</v>
      </c>
      <c r="C92" s="242">
        <f>INDEX('[9]Forward Price Curve'!$A:$IV,MATCH(B92,'[9]Forward Price Curve'!$D$1:$D$65536,FALSE),$C$226)</f>
        <v>4.1159694845783381</v>
      </c>
      <c r="D92" s="242">
        <f>INDEX('[9]Forward Price Curve'!$A:$IV,MATCH(B92,'[9]Forward Price Curve'!$D$1:$D$65536,FALSE),$D$226)</f>
        <v>4.2479582797848092</v>
      </c>
      <c r="E92" s="243">
        <f t="shared" si="19"/>
        <v>2023</v>
      </c>
      <c r="K92" s="35">
        <f t="shared" si="22"/>
        <v>1</v>
      </c>
      <c r="L92" s="274">
        <f t="shared" si="23"/>
        <v>2023</v>
      </c>
      <c r="M92" s="246">
        <f t="shared" si="20"/>
        <v>44927</v>
      </c>
      <c r="N92" s="258">
        <f>INDEX('[9]Forward Price Curve'!$A$1:$P$65536,MATCH($M92,'[9]Forward Price Curve'!$D$1:$D$65536,FALSE),N$226)</f>
        <v>38.839300000000001</v>
      </c>
      <c r="O92" s="258">
        <f>INDEX('[9]Forward Price Curve'!$A$1:$P$65536,MATCH($M92,'[9]Forward Price Curve'!$D$1:$D$65536,FALSE),O$226)</f>
        <v>40.711910000000003</v>
      </c>
      <c r="P92" s="258">
        <f>INDEX('[9]Forward Price Curve'!$A$1:$P$65536,MATCH($M92,'[9]Forward Price Curve'!$D$1:$D$65536,FALSE),P$226)</f>
        <v>32.454149999999998</v>
      </c>
      <c r="Q92" s="259">
        <f>INDEX('[9]Forward Price Curve'!$A$1:$P$65536,MATCH($M92,'[9]Forward Price Curve'!$D$1:$D$65536,FALSE),Q$226)</f>
        <v>36.20429</v>
      </c>
      <c r="S92" s="271">
        <f>INDEX('[9]Forward Price Curve'!$V:$V,MATCH($M92,'[9]Forward Price Curve'!$D:$D,FALSE),1)</f>
        <v>38.627741612903222</v>
      </c>
      <c r="T92" s="273">
        <f t="shared" si="24"/>
        <v>1.0539552223369069</v>
      </c>
      <c r="U92" s="273">
        <f t="shared" si="25"/>
        <v>0.93726136937569005</v>
      </c>
    </row>
    <row r="93" spans="2:21" x14ac:dyDescent="0.2">
      <c r="B93" s="250">
        <f t="shared" si="21"/>
        <v>44958</v>
      </c>
      <c r="C93" s="242">
        <f>INDEX('[9]Forward Price Curve'!$A:$IV,MATCH(B93,'[9]Forward Price Curve'!$D$1:$D$65536,FALSE),$C$226)</f>
        <v>4.1088990880213139</v>
      </c>
      <c r="D93" s="242">
        <f>INDEX('[9]Forward Price Curve'!$A:$IV,MATCH(B93,'[9]Forward Price Curve'!$D$1:$D$65536,FALSE),$D$226)</f>
        <v>4.167881425303797</v>
      </c>
      <c r="E93" s="251">
        <f t="shared" si="19"/>
        <v>2023</v>
      </c>
      <c r="K93" s="35">
        <f t="shared" si="22"/>
        <v>2</v>
      </c>
      <c r="L93" s="274">
        <f t="shared" si="23"/>
        <v>2023</v>
      </c>
      <c r="M93" s="246">
        <f t="shared" si="20"/>
        <v>44958</v>
      </c>
      <c r="N93" s="247">
        <f>INDEX('[9]Forward Price Curve'!$A$1:$P$65536,MATCH($M93,'[9]Forward Price Curve'!$D$1:$D$65536,FALSE),N$226)</f>
        <v>39.36121</v>
      </c>
      <c r="O93" s="247">
        <f>INDEX('[9]Forward Price Curve'!$A$1:$P$65536,MATCH($M93,'[9]Forward Price Curve'!$D$1:$D$65536,FALSE),O$226)</f>
        <v>40.743870000000001</v>
      </c>
      <c r="P93" s="247">
        <f>INDEX('[9]Forward Price Curve'!$A$1:$P$65536,MATCH($M93,'[9]Forward Price Curve'!$D$1:$D$65536,FALSE),P$226)</f>
        <v>33.128749999999997</v>
      </c>
      <c r="Q93" s="248">
        <f>INDEX('[9]Forward Price Curve'!$A$1:$P$65536,MATCH($M93,'[9]Forward Price Curve'!$D$1:$D$65536,FALSE),Q$226)</f>
        <v>36.088949999999997</v>
      </c>
      <c r="S93" s="271">
        <f>INDEX('[9]Forward Price Curve'!$V:$V,MATCH($M93,'[9]Forward Price Curve'!$D:$D,FALSE),1)</f>
        <v>38.748904285714282</v>
      </c>
      <c r="T93" s="273">
        <f t="shared" si="24"/>
        <v>1.0514844419748202</v>
      </c>
      <c r="U93" s="273">
        <f t="shared" si="25"/>
        <v>0.93135407736690656</v>
      </c>
    </row>
    <row r="94" spans="2:21" x14ac:dyDescent="0.2">
      <c r="B94" s="250">
        <f t="shared" si="21"/>
        <v>44986</v>
      </c>
      <c r="C94" s="242">
        <f>INDEX('[9]Forward Price Curve'!$A:$IV,MATCH(B94,'[9]Forward Price Curve'!$D$1:$D$65536,FALSE),$C$226)</f>
        <v>3.6987136181985858</v>
      </c>
      <c r="D94" s="242">
        <f>INDEX('[9]Forward Price Curve'!$A:$IV,MATCH(B94,'[9]Forward Price Curve'!$D$1:$D$65536,FALSE),$D$226)</f>
        <v>3.994467567113924</v>
      </c>
      <c r="E94" s="251">
        <f t="shared" si="19"/>
        <v>2023</v>
      </c>
      <c r="K94" s="35">
        <f t="shared" si="22"/>
        <v>3</v>
      </c>
      <c r="L94" s="274">
        <f t="shared" si="23"/>
        <v>2023</v>
      </c>
      <c r="M94" s="246">
        <f t="shared" si="20"/>
        <v>44986</v>
      </c>
      <c r="N94" s="247">
        <f>INDEX('[9]Forward Price Curve'!$A$1:$P$65536,MATCH($M94,'[9]Forward Price Curve'!$D$1:$D$65536,FALSE),N$226)</f>
        <v>34.686619999999998</v>
      </c>
      <c r="O94" s="247">
        <f>INDEX('[9]Forward Price Curve'!$A$1:$P$65536,MATCH($M94,'[9]Forward Price Curve'!$D$1:$D$65536,FALSE),O$226)</f>
        <v>37.629330000000003</v>
      </c>
      <c r="P94" s="247">
        <f>INDEX('[9]Forward Price Curve'!$A$1:$P$65536,MATCH($M94,'[9]Forward Price Curve'!$D$1:$D$65536,FALSE),P$226)</f>
        <v>30.28678</v>
      </c>
      <c r="Q94" s="248">
        <f>INDEX('[9]Forward Price Curve'!$A$1:$P$65536,MATCH($M94,'[9]Forward Price Curve'!$D$1:$D$65536,FALSE),Q$226)</f>
        <v>34.064630000000001</v>
      </c>
      <c r="S94" s="271">
        <f>INDEX('[9]Forward Price Curve'!$V:$V,MATCH($M94,'[9]Forward Price Curve'!$D:$D,FALSE),1)</f>
        <v>36.137241574697178</v>
      </c>
      <c r="T94" s="273">
        <f t="shared" si="24"/>
        <v>1.0412894941695707</v>
      </c>
      <c r="U94" s="273">
        <f t="shared" si="25"/>
        <v>0.94264610456188247</v>
      </c>
    </row>
    <row r="95" spans="2:21" x14ac:dyDescent="0.2">
      <c r="B95" s="250">
        <f t="shared" si="21"/>
        <v>45017</v>
      </c>
      <c r="C95" s="242">
        <f>INDEX('[9]Forward Price Curve'!$A:$IV,MATCH(B95,'[9]Forward Price Curve'!$D$1:$D$65536,FALSE),$C$226)</f>
        <v>3.2796133005430885</v>
      </c>
      <c r="D95" s="242">
        <f>INDEX('[9]Forward Price Curve'!$A:$IV,MATCH(B95,'[9]Forward Price Curve'!$D$1:$D$65536,FALSE),$D$226)</f>
        <v>3.5357283189240505</v>
      </c>
      <c r="E95" s="251">
        <f t="shared" si="19"/>
        <v>2023</v>
      </c>
      <c r="K95" s="35">
        <f t="shared" si="22"/>
        <v>4</v>
      </c>
      <c r="L95" s="274">
        <f t="shared" si="23"/>
        <v>2023</v>
      </c>
      <c r="M95" s="246">
        <f t="shared" si="20"/>
        <v>45017</v>
      </c>
      <c r="N95" s="247">
        <f>INDEX('[9]Forward Price Curve'!$A$1:$P$65536,MATCH($M95,'[9]Forward Price Curve'!$D$1:$D$65536,FALSE),N$226)</f>
        <v>31.872299999999999</v>
      </c>
      <c r="O95" s="247">
        <f>INDEX('[9]Forward Price Curve'!$A$1:$P$65536,MATCH($M95,'[9]Forward Price Curve'!$D$1:$D$65536,FALSE),O$226)</f>
        <v>34.35022</v>
      </c>
      <c r="P95" s="247">
        <f>INDEX('[9]Forward Price Curve'!$A$1:$P$65536,MATCH($M95,'[9]Forward Price Curve'!$D$1:$D$65536,FALSE),P$226)</f>
        <v>25.685120000000001</v>
      </c>
      <c r="Q95" s="248">
        <f>INDEX('[9]Forward Price Curve'!$A$1:$P$65536,MATCH($M95,'[9]Forward Price Curve'!$D$1:$D$65536,FALSE),Q$226)</f>
        <v>30.89228</v>
      </c>
      <c r="S95" s="271">
        <f>INDEX('[9]Forward Price Curve'!$V:$V,MATCH($M95,'[9]Forward Price Curve'!$D:$D,FALSE),1)</f>
        <v>32.813357777777775</v>
      </c>
      <c r="T95" s="273">
        <f t="shared" si="24"/>
        <v>1.0468364814302253</v>
      </c>
      <c r="U95" s="273">
        <f t="shared" si="25"/>
        <v>0.94145439821221866</v>
      </c>
    </row>
    <row r="96" spans="2:21" x14ac:dyDescent="0.2">
      <c r="B96" s="250">
        <f t="shared" si="21"/>
        <v>45047</v>
      </c>
      <c r="C96" s="242">
        <f>INDEX('[9]Forward Price Curve'!$A:$IV,MATCH(B96,'[9]Forward Price Curve'!$D$1:$D$65536,FALSE),$C$226)</f>
        <v>3.5009474536325449</v>
      </c>
      <c r="D96" s="242">
        <f>INDEX('[9]Forward Price Curve'!$A:$IV,MATCH(B96,'[9]Forward Price Curve'!$D$1:$D$65536,FALSE),$D$226)</f>
        <v>3.6502712422151897</v>
      </c>
      <c r="E96" s="251">
        <f t="shared" si="19"/>
        <v>2023</v>
      </c>
      <c r="K96" s="35">
        <f t="shared" si="22"/>
        <v>5</v>
      </c>
      <c r="L96" s="274">
        <f t="shared" si="23"/>
        <v>2023</v>
      </c>
      <c r="M96" s="246">
        <f t="shared" si="20"/>
        <v>45047</v>
      </c>
      <c r="N96" s="247">
        <f>INDEX('[9]Forward Price Curve'!$A$1:$P$65536,MATCH($M96,'[9]Forward Price Curve'!$D$1:$D$65536,FALSE),N$226)</f>
        <v>28.456389999999999</v>
      </c>
      <c r="O96" s="247">
        <f>INDEX('[9]Forward Price Curve'!$A$1:$P$65536,MATCH($M96,'[9]Forward Price Curve'!$D$1:$D$65536,FALSE),O$226)</f>
        <v>36.021030000000003</v>
      </c>
      <c r="P96" s="247">
        <f>INDEX('[9]Forward Price Curve'!$A$1:$P$65536,MATCH($M96,'[9]Forward Price Curve'!$D$1:$D$65536,FALSE),P$226)</f>
        <v>22.614170000000001</v>
      </c>
      <c r="Q96" s="248">
        <f>INDEX('[9]Forward Price Curve'!$A$1:$P$65536,MATCH($M96,'[9]Forward Price Curve'!$D$1:$D$65536,FALSE),Q$226)</f>
        <v>32.59543</v>
      </c>
      <c r="S96" s="271">
        <f>INDEX('[9]Forward Price Curve'!$V:$V,MATCH($M96,'[9]Forward Price Curve'!$D:$D,FALSE),1)</f>
        <v>34.510819247311829</v>
      </c>
      <c r="T96" s="273">
        <f t="shared" si="24"/>
        <v>1.0437605013623608</v>
      </c>
      <c r="U96" s="273">
        <f t="shared" si="25"/>
        <v>0.94449887632090834</v>
      </c>
    </row>
    <row r="97" spans="2:21" x14ac:dyDescent="0.2">
      <c r="B97" s="250">
        <f t="shared" si="21"/>
        <v>45078</v>
      </c>
      <c r="C97" s="242">
        <f>INDEX('[9]Forward Price Curve'!$A:$IV,MATCH(B97,'[9]Forward Price Curve'!$D$1:$D$65536,FALSE),$C$226)</f>
        <v>3.4628287939338045</v>
      </c>
      <c r="D97" s="242">
        <f>INDEX('[9]Forward Price Curve'!$A:$IV,MATCH(B97,'[9]Forward Price Curve'!$D$1:$D$65536,FALSE),$D$226)</f>
        <v>3.6439249451139237</v>
      </c>
      <c r="E97" s="251">
        <f t="shared" si="19"/>
        <v>2023</v>
      </c>
      <c r="K97" s="35">
        <f t="shared" si="22"/>
        <v>6</v>
      </c>
      <c r="L97" s="274">
        <f t="shared" si="23"/>
        <v>2023</v>
      </c>
      <c r="M97" s="246">
        <f t="shared" si="20"/>
        <v>45078</v>
      </c>
      <c r="N97" s="247">
        <f>INDEX('[9]Forward Price Curve'!$A$1:$P$65536,MATCH($M97,'[9]Forward Price Curve'!$D$1:$D$65536,FALSE),N$226)</f>
        <v>33.609180000000002</v>
      </c>
      <c r="O97" s="247">
        <f>INDEX('[9]Forward Price Curve'!$A$1:$P$65536,MATCH($M97,'[9]Forward Price Curve'!$D$1:$D$65536,FALSE),O$226)</f>
        <v>39.768799999999999</v>
      </c>
      <c r="P97" s="247">
        <f>INDEX('[9]Forward Price Curve'!$A$1:$P$65536,MATCH($M97,'[9]Forward Price Curve'!$D$1:$D$65536,FALSE),P$226)</f>
        <v>24.893260000000001</v>
      </c>
      <c r="Q97" s="248">
        <f>INDEX('[9]Forward Price Curve'!$A$1:$P$65536,MATCH($M97,'[9]Forward Price Curve'!$D$1:$D$65536,FALSE),Q$226)</f>
        <v>33.716740000000001</v>
      </c>
      <c r="S97" s="271">
        <f>INDEX('[9]Forward Price Curve'!$V:$V,MATCH($M97,'[9]Forward Price Curve'!$D:$D,FALSE),1)</f>
        <v>37.213485777777777</v>
      </c>
      <c r="T97" s="273">
        <f t="shared" si="24"/>
        <v>1.0686663495454689</v>
      </c>
      <c r="U97" s="273">
        <f t="shared" si="25"/>
        <v>0.90603552167462165</v>
      </c>
    </row>
    <row r="98" spans="2:21" x14ac:dyDescent="0.2">
      <c r="B98" s="250">
        <f t="shared" si="21"/>
        <v>45108</v>
      </c>
      <c r="C98" s="242">
        <f>INDEX('[9]Forward Price Curve'!$A:$IV,MATCH(B98,'[9]Forward Price Curve'!$D$1:$D$65536,FALSE),$C$226)</f>
        <v>3.5086326672814838</v>
      </c>
      <c r="D98" s="242">
        <f>INDEX('[9]Forward Price Curve'!$A:$IV,MATCH(B98,'[9]Forward Price Curve'!$D$1:$D$65536,FALSE),$D$226)</f>
        <v>3.6757596224430378</v>
      </c>
      <c r="E98" s="251">
        <f t="shared" si="19"/>
        <v>2023</v>
      </c>
      <c r="K98" s="35">
        <f t="shared" si="22"/>
        <v>7</v>
      </c>
      <c r="L98" s="274">
        <f t="shared" si="23"/>
        <v>2023</v>
      </c>
      <c r="M98" s="246">
        <f t="shared" si="20"/>
        <v>45108</v>
      </c>
      <c r="N98" s="247">
        <f>INDEX('[9]Forward Price Curve'!$A$1:$P$65536,MATCH($M98,'[9]Forward Price Curve'!$D$1:$D$65536,FALSE),N$226)</f>
        <v>37.513550000000002</v>
      </c>
      <c r="O98" s="247">
        <f>INDEX('[9]Forward Price Curve'!$A$1:$P$65536,MATCH($M98,'[9]Forward Price Curve'!$D$1:$D$65536,FALSE),O$226)</f>
        <v>43.015340000000002</v>
      </c>
      <c r="P98" s="247">
        <f>INDEX('[9]Forward Price Curve'!$A$1:$P$65536,MATCH($M98,'[9]Forward Price Curve'!$D$1:$D$65536,FALSE),P$226)</f>
        <v>28.45448</v>
      </c>
      <c r="Q98" s="248">
        <f>INDEX('[9]Forward Price Curve'!$A$1:$P$65536,MATCH($M98,'[9]Forward Price Curve'!$D$1:$D$65536,FALSE),Q$226)</f>
        <v>35.598050000000001</v>
      </c>
      <c r="S98" s="271">
        <f>INDEX('[9]Forward Price Curve'!$V:$V,MATCH($M98,'[9]Forward Price Curve'!$D:$D,FALSE),1)</f>
        <v>39.585840322580651</v>
      </c>
      <c r="T98" s="273">
        <f t="shared" si="24"/>
        <v>1.0866345049005588</v>
      </c>
      <c r="U98" s="273">
        <f t="shared" si="25"/>
        <v>0.89926220360400111</v>
      </c>
    </row>
    <row r="99" spans="2:21" x14ac:dyDescent="0.2">
      <c r="B99" s="250">
        <f t="shared" si="21"/>
        <v>45139</v>
      </c>
      <c r="C99" s="242">
        <f>INDEX('[9]Forward Price Curve'!$A:$IV,MATCH(B99,'[9]Forward Price Curve'!$D$1:$D$65536,FALSE),$C$226)</f>
        <v>3.6351825187006868</v>
      </c>
      <c r="D99" s="242">
        <f>INDEX('[9]Forward Price Curve'!$A:$IV,MATCH(B99,'[9]Forward Price Curve'!$D$1:$D$65536,FALSE),$D$226)</f>
        <v>3.7968552264810116</v>
      </c>
      <c r="E99" s="251">
        <f t="shared" si="19"/>
        <v>2023</v>
      </c>
      <c r="K99" s="35">
        <f t="shared" si="22"/>
        <v>8</v>
      </c>
      <c r="L99" s="274">
        <f t="shared" si="23"/>
        <v>2023</v>
      </c>
      <c r="M99" s="246">
        <f t="shared" si="20"/>
        <v>45139</v>
      </c>
      <c r="N99" s="247">
        <f>INDEX('[9]Forward Price Curve'!$A$1:$P$65536,MATCH($M99,'[9]Forward Price Curve'!$D$1:$D$65536,FALSE),N$226)</f>
        <v>41.596769999999999</v>
      </c>
      <c r="O99" s="247">
        <f>INDEX('[9]Forward Price Curve'!$A$1:$P$65536,MATCH($M99,'[9]Forward Price Curve'!$D$1:$D$65536,FALSE),O$226)</f>
        <v>44.789729999999999</v>
      </c>
      <c r="P99" s="247">
        <f>INDEX('[9]Forward Price Curve'!$A$1:$P$65536,MATCH($M99,'[9]Forward Price Curve'!$D$1:$D$65536,FALSE),P$226)</f>
        <v>30.732769999999999</v>
      </c>
      <c r="Q99" s="248">
        <f>INDEX('[9]Forward Price Curve'!$A$1:$P$65536,MATCH($M99,'[9]Forward Price Curve'!$D$1:$D$65536,FALSE),Q$226)</f>
        <v>36.266089999999998</v>
      </c>
      <c r="S99" s="271">
        <f>INDEX('[9]Forward Price Curve'!$V:$V,MATCH($M99,'[9]Forward Price Curve'!$D:$D,FALSE),1)</f>
        <v>41.215300322580639</v>
      </c>
      <c r="T99" s="273">
        <f t="shared" si="24"/>
        <v>1.0867257947762918</v>
      </c>
      <c r="U99" s="273">
        <f t="shared" si="25"/>
        <v>0.87991813030975019</v>
      </c>
    </row>
    <row r="100" spans="2:21" x14ac:dyDescent="0.2">
      <c r="B100" s="250">
        <f t="shared" si="21"/>
        <v>45170</v>
      </c>
      <c r="C100" s="242">
        <f>INDEX('[9]Forward Price Curve'!$A:$IV,MATCH(B100,'[9]Forward Price Curve'!$D$1:$D$65536,FALSE),$C$226)</f>
        <v>3.6806789835024083</v>
      </c>
      <c r="D100" s="242">
        <f>INDEX('[9]Forward Price Curve'!$A:$IV,MATCH(B100,'[9]Forward Price Curve'!$D$1:$D$65536,FALSE),$D$226)</f>
        <v>3.8477803910253163</v>
      </c>
      <c r="E100" s="251">
        <f t="shared" si="19"/>
        <v>2023</v>
      </c>
      <c r="K100" s="35">
        <f t="shared" si="22"/>
        <v>9</v>
      </c>
      <c r="L100" s="274">
        <f t="shared" si="23"/>
        <v>2023</v>
      </c>
      <c r="M100" s="246">
        <f t="shared" si="20"/>
        <v>45170</v>
      </c>
      <c r="N100" s="247">
        <f>INDEX('[9]Forward Price Curve'!$A$1:$P$65536,MATCH($M100,'[9]Forward Price Curve'!$D$1:$D$65536,FALSE),N$226)</f>
        <v>43.04515</v>
      </c>
      <c r="O100" s="247">
        <f>INDEX('[9]Forward Price Curve'!$A$1:$P$65536,MATCH($M100,'[9]Forward Price Curve'!$D$1:$D$65536,FALSE),O$226)</f>
        <v>40.709850000000003</v>
      </c>
      <c r="P100" s="247">
        <f>INDEX('[9]Forward Price Curve'!$A$1:$P$65536,MATCH($M100,'[9]Forward Price Curve'!$D$1:$D$65536,FALSE),P$226)</f>
        <v>33.850850000000001</v>
      </c>
      <c r="Q100" s="248">
        <f>INDEX('[9]Forward Price Curve'!$A$1:$P$65536,MATCH($M100,'[9]Forward Price Curve'!$D$1:$D$65536,FALSE),Q$226)</f>
        <v>35.392769999999999</v>
      </c>
      <c r="S100" s="271">
        <f>INDEX('[9]Forward Price Curve'!$V:$V,MATCH($M100,'[9]Forward Price Curve'!$D:$D,FALSE),1)</f>
        <v>38.346703333333338</v>
      </c>
      <c r="T100" s="273">
        <f t="shared" si="24"/>
        <v>1.0616258103369338</v>
      </c>
      <c r="U100" s="273">
        <f t="shared" si="25"/>
        <v>0.92296773707883262</v>
      </c>
    </row>
    <row r="101" spans="2:21" x14ac:dyDescent="0.2">
      <c r="B101" s="250">
        <f t="shared" si="21"/>
        <v>45200</v>
      </c>
      <c r="C101" s="242">
        <f>INDEX('[9]Forward Price Curve'!$A:$IV,MATCH(B101,'[9]Forward Price Curve'!$D$1:$D$65536,FALSE),$C$226)</f>
        <v>3.7211544420534892</v>
      </c>
      <c r="D101" s="242">
        <f>INDEX('[9]Forward Price Curve'!$A:$IV,MATCH(B101,'[9]Forward Price Curve'!$D$1:$D$65536,FALSE),$D$226)</f>
        <v>3.8669224741518984</v>
      </c>
      <c r="E101" s="251">
        <f t="shared" si="19"/>
        <v>2023</v>
      </c>
      <c r="K101" s="35">
        <f t="shared" si="22"/>
        <v>10</v>
      </c>
      <c r="L101" s="274">
        <f t="shared" si="23"/>
        <v>2023</v>
      </c>
      <c r="M101" s="246">
        <f t="shared" si="20"/>
        <v>45200</v>
      </c>
      <c r="N101" s="247">
        <f>INDEX('[9]Forward Price Curve'!$A$1:$P$65536,MATCH($M101,'[9]Forward Price Curve'!$D$1:$D$65536,FALSE),N$226)</f>
        <v>37.974719999999998</v>
      </c>
      <c r="O101" s="247">
        <f>INDEX('[9]Forward Price Curve'!$A$1:$P$65536,MATCH($M101,'[9]Forward Price Curve'!$D$1:$D$65536,FALSE),O$226)</f>
        <v>39.794960000000003</v>
      </c>
      <c r="P101" s="247">
        <f>INDEX('[9]Forward Price Curve'!$A$1:$P$65536,MATCH($M101,'[9]Forward Price Curve'!$D$1:$D$65536,FALSE),P$226)</f>
        <v>31.196480000000001</v>
      </c>
      <c r="Q101" s="248">
        <f>INDEX('[9]Forward Price Curve'!$A$1:$P$65536,MATCH($M101,'[9]Forward Price Curve'!$D$1:$D$65536,FALSE),Q$226)</f>
        <v>35.538679999999999</v>
      </c>
      <c r="S101" s="271">
        <f>INDEX('[9]Forward Price Curve'!$V:$V,MATCH($M101,'[9]Forward Price Curve'!$D:$D,FALSE),1)</f>
        <v>37.918535483870969</v>
      </c>
      <c r="T101" s="273">
        <f t="shared" si="24"/>
        <v>1.0494856800819006</v>
      </c>
      <c r="U101" s="273">
        <f t="shared" si="25"/>
        <v>0.93723767404246761</v>
      </c>
    </row>
    <row r="102" spans="2:21" x14ac:dyDescent="0.2">
      <c r="B102" s="250">
        <f t="shared" si="21"/>
        <v>45231</v>
      </c>
      <c r="C102" s="242">
        <f>INDEX('[9]Forward Price Curve'!$A:$IV,MATCH(B102,'[9]Forward Price Curve'!$D$1:$D$65536,FALSE),$C$226)</f>
        <v>4.0637100317655497</v>
      </c>
      <c r="D102" s="242">
        <f>INDEX('[9]Forward Price Curve'!$A:$IV,MATCH(B102,'[9]Forward Price Curve'!$D$1:$D$65536,FALSE),$D$226)</f>
        <v>4.1217030846075939</v>
      </c>
      <c r="E102" s="251">
        <f t="shared" si="19"/>
        <v>2023</v>
      </c>
      <c r="K102" s="35">
        <f t="shared" si="22"/>
        <v>11</v>
      </c>
      <c r="L102" s="274">
        <f t="shared" si="23"/>
        <v>2023</v>
      </c>
      <c r="M102" s="246">
        <f t="shared" si="20"/>
        <v>45231</v>
      </c>
      <c r="N102" s="247">
        <f>INDEX('[9]Forward Price Curve'!$A$1:$P$65536,MATCH($M102,'[9]Forward Price Curve'!$D$1:$D$65536,FALSE),N$226)</f>
        <v>41.159210000000002</v>
      </c>
      <c r="O102" s="247">
        <f>INDEX('[9]Forward Price Curve'!$A$1:$P$65536,MATCH($M102,'[9]Forward Price Curve'!$D$1:$D$65536,FALSE),O$226)</f>
        <v>42.487200000000001</v>
      </c>
      <c r="P102" s="247">
        <f>INDEX('[9]Forward Price Curve'!$A$1:$P$65536,MATCH($M102,'[9]Forward Price Curve'!$D$1:$D$65536,FALSE),P$226)</f>
        <v>33.23433</v>
      </c>
      <c r="Q102" s="248">
        <f>INDEX('[9]Forward Price Curve'!$A$1:$P$65536,MATCH($M102,'[9]Forward Price Curve'!$D$1:$D$65536,FALSE),Q$226)</f>
        <v>36.69753</v>
      </c>
      <c r="S102" s="271">
        <f>INDEX('[9]Forward Price Curve'!$V:$V,MATCH($M102,'[9]Forward Price Curve'!$D:$D,FALSE),1)</f>
        <v>39.909552191400834</v>
      </c>
      <c r="T102" s="273">
        <f t="shared" si="24"/>
        <v>1.0645872395720481</v>
      </c>
      <c r="U102" s="273">
        <f t="shared" si="25"/>
        <v>0.91951745847719846</v>
      </c>
    </row>
    <row r="103" spans="2:21" x14ac:dyDescent="0.2">
      <c r="B103" s="252">
        <f t="shared" si="21"/>
        <v>45261</v>
      </c>
      <c r="C103" s="253">
        <f>INDEX('[9]Forward Price Curve'!$A:$IV,MATCH(B103,'[9]Forward Price Curve'!$D$1:$D$65536,FALSE),$C$226)</f>
        <v>4.2734651296239372</v>
      </c>
      <c r="D103" s="253">
        <f>INDEX('[9]Forward Price Curve'!$A:$IV,MATCH(B103,'[9]Forward Price Curve'!$D$1:$D$65536,FALSE),$D$226)</f>
        <v>4.3701373979620239</v>
      </c>
      <c r="E103" s="254">
        <f t="shared" si="19"/>
        <v>2023</v>
      </c>
      <c r="K103" s="35">
        <f t="shared" si="22"/>
        <v>12</v>
      </c>
      <c r="L103" s="274">
        <f t="shared" si="23"/>
        <v>2023</v>
      </c>
      <c r="M103" s="255">
        <f t="shared" si="20"/>
        <v>45261</v>
      </c>
      <c r="N103" s="256">
        <f>INDEX('[9]Forward Price Curve'!$A$1:$P$65536,MATCH($M103,'[9]Forward Price Curve'!$D$1:$D$65536,FALSE),N$226)</f>
        <v>43.265779999999999</v>
      </c>
      <c r="O103" s="256">
        <f>INDEX('[9]Forward Price Curve'!$A$1:$P$65536,MATCH($M103,'[9]Forward Price Curve'!$D$1:$D$65536,FALSE),O$226)</f>
        <v>43.430309999999999</v>
      </c>
      <c r="P103" s="256">
        <f>INDEX('[9]Forward Price Curve'!$A$1:$P$65536,MATCH($M103,'[9]Forward Price Curve'!$D$1:$D$65536,FALSE),P$226)</f>
        <v>35.76699</v>
      </c>
      <c r="Q103" s="257">
        <f>INDEX('[9]Forward Price Curve'!$A$1:$P$65536,MATCH($M103,'[9]Forward Price Curve'!$D$1:$D$65536,FALSE),Q$226)</f>
        <v>38.271320000000003</v>
      </c>
      <c r="S103" s="271">
        <f>INDEX('[9]Forward Price Curve'!$V:$V,MATCH($M103,'[9]Forward Price Curve'!$D:$D,FALSE),1)</f>
        <v>41.044970537634413</v>
      </c>
      <c r="T103" s="273">
        <f t="shared" si="24"/>
        <v>1.0581152679882777</v>
      </c>
      <c r="U103" s="273">
        <f t="shared" si="25"/>
        <v>0.93242410699037459</v>
      </c>
    </row>
    <row r="104" spans="2:21" x14ac:dyDescent="0.2">
      <c r="B104" s="241">
        <f t="shared" si="21"/>
        <v>45292</v>
      </c>
      <c r="C104" s="242">
        <f>INDEX('[9]Forward Price Curve'!$A:$IV,MATCH(B104,'[9]Forward Price Curve'!$D$1:$D$65536,FALSE),$C$226)</f>
        <v>4.6169429449738706</v>
      </c>
      <c r="D104" s="242">
        <f>INDEX('[9]Forward Price Curve'!$A:$IV,MATCH(B104,'[9]Forward Price Curve'!$D$1:$D$65536,FALSE),$D$226)</f>
        <v>4.6589197140253162</v>
      </c>
      <c r="E104" s="243">
        <f t="shared" si="19"/>
        <v>2024</v>
      </c>
      <c r="K104" s="35">
        <f t="shared" si="22"/>
        <v>1</v>
      </c>
      <c r="L104" s="274">
        <f t="shared" si="23"/>
        <v>2024</v>
      </c>
      <c r="M104" s="246">
        <f t="shared" si="20"/>
        <v>45292</v>
      </c>
      <c r="N104" s="258">
        <f>INDEX('[9]Forward Price Curve'!$A$1:$P$65536,MATCH($M104,'[9]Forward Price Curve'!$D$1:$D$65536,FALSE),N$226)</f>
        <v>43.9161</v>
      </c>
      <c r="O104" s="258">
        <f>INDEX('[9]Forward Price Curve'!$A$1:$P$65536,MATCH($M104,'[9]Forward Price Curve'!$D$1:$D$65536,FALSE),O$226)</f>
        <v>46.523809999999997</v>
      </c>
      <c r="P104" s="258">
        <f>INDEX('[9]Forward Price Curve'!$A$1:$P$65536,MATCH($M104,'[9]Forward Price Curve'!$D$1:$D$65536,FALSE),P$226)</f>
        <v>35.668309999999998</v>
      </c>
      <c r="Q104" s="259">
        <f>INDEX('[9]Forward Price Curve'!$A$1:$P$65536,MATCH($M104,'[9]Forward Price Curve'!$D$1:$D$65536,FALSE),Q$226)</f>
        <v>41.038580000000003</v>
      </c>
      <c r="S104" s="271">
        <f>INDEX('[9]Forward Price Curve'!$V:$V,MATCH($M104,'[9]Forward Price Curve'!$D:$D,FALSE),1)</f>
        <v>44.105590322580646</v>
      </c>
      <c r="T104" s="273">
        <f t="shared" si="24"/>
        <v>1.0548279630707336</v>
      </c>
      <c r="U104" s="273">
        <f t="shared" si="25"/>
        <v>0.93046209561760629</v>
      </c>
    </row>
    <row r="105" spans="2:21" x14ac:dyDescent="0.2">
      <c r="B105" s="250">
        <f t="shared" si="21"/>
        <v>45323</v>
      </c>
      <c r="C105" s="242">
        <f>INDEX('[9]Forward Price Curve'!$A:$IV,MATCH(B105,'[9]Forward Price Curve'!$D$1:$D$65536,FALSE),$C$226)</f>
        <v>4.6064910544113129</v>
      </c>
      <c r="D105" s="242">
        <f>INDEX('[9]Forward Price Curve'!$A:$IV,MATCH(B105,'[9]Forward Price Curve'!$D$1:$D$65536,FALSE),$D$226)</f>
        <v>4.6002035668607579</v>
      </c>
      <c r="E105" s="251">
        <f t="shared" si="19"/>
        <v>2024</v>
      </c>
      <c r="K105" s="35">
        <f t="shared" si="22"/>
        <v>2</v>
      </c>
      <c r="L105" s="274">
        <f t="shared" si="23"/>
        <v>2024</v>
      </c>
      <c r="M105" s="246">
        <f t="shared" si="20"/>
        <v>45323</v>
      </c>
      <c r="N105" s="247">
        <f>INDEX('[9]Forward Price Curve'!$A$1:$P$65536,MATCH($M105,'[9]Forward Price Curve'!$D$1:$D$65536,FALSE),N$226)</f>
        <v>45.717419999999997</v>
      </c>
      <c r="O105" s="247">
        <f>INDEX('[9]Forward Price Curve'!$A$1:$P$65536,MATCH($M105,'[9]Forward Price Curve'!$D$1:$D$65536,FALSE),O$226)</f>
        <v>47.112740000000002</v>
      </c>
      <c r="P105" s="247">
        <f>INDEX('[9]Forward Price Curve'!$A$1:$P$65536,MATCH($M105,'[9]Forward Price Curve'!$D$1:$D$65536,FALSE),P$226)</f>
        <v>37.684989999999999</v>
      </c>
      <c r="Q105" s="248">
        <f>INDEX('[9]Forward Price Curve'!$A$1:$P$65536,MATCH($M105,'[9]Forward Price Curve'!$D$1:$D$65536,FALSE),Q$226)</f>
        <v>41.535409999999999</v>
      </c>
      <c r="S105" s="271">
        <f>INDEX('[9]Forward Price Curve'!$V:$V,MATCH($M105,'[9]Forward Price Curve'!$D:$D,FALSE),1)</f>
        <v>44.740772068965512</v>
      </c>
      <c r="T105" s="273">
        <f t="shared" si="24"/>
        <v>1.0530158023955918</v>
      </c>
      <c r="U105" s="273">
        <f t="shared" si="25"/>
        <v>0.92835702378974105</v>
      </c>
    </row>
    <row r="106" spans="2:21" x14ac:dyDescent="0.2">
      <c r="B106" s="250">
        <f t="shared" si="21"/>
        <v>45352</v>
      </c>
      <c r="C106" s="242">
        <f>INDEX('[9]Forward Price Curve'!$A:$IV,MATCH(B106,'[9]Forward Price Curve'!$D$1:$D$65536,FALSE),$C$226)</f>
        <v>4.0546927144174614</v>
      </c>
      <c r="D106" s="242">
        <f>INDEX('[9]Forward Price Curve'!$A:$IV,MATCH(B106,'[9]Forward Price Curve'!$D$1:$D$65536,FALSE),$D$226)</f>
        <v>4.3070355983291133</v>
      </c>
      <c r="E106" s="251">
        <f t="shared" si="19"/>
        <v>2024</v>
      </c>
      <c r="K106" s="35">
        <f t="shared" si="22"/>
        <v>3</v>
      </c>
      <c r="L106" s="274">
        <f t="shared" si="23"/>
        <v>2024</v>
      </c>
      <c r="M106" s="246">
        <f t="shared" si="20"/>
        <v>45352</v>
      </c>
      <c r="N106" s="247">
        <f>INDEX('[9]Forward Price Curve'!$A$1:$P$65536,MATCH($M106,'[9]Forward Price Curve'!$D$1:$D$65536,FALSE),N$226)</f>
        <v>38.640740000000001</v>
      </c>
      <c r="O106" s="247">
        <f>INDEX('[9]Forward Price Curve'!$A$1:$P$65536,MATCH($M106,'[9]Forward Price Curve'!$D$1:$D$65536,FALSE),O$226)</f>
        <v>42.983669999999996</v>
      </c>
      <c r="P106" s="247">
        <f>INDEX('[9]Forward Price Curve'!$A$1:$P$65536,MATCH($M106,'[9]Forward Price Curve'!$D$1:$D$65536,FALSE),P$226)</f>
        <v>33.336060000000003</v>
      </c>
      <c r="Q106" s="248">
        <f>INDEX('[9]Forward Price Curve'!$A$1:$P$65536,MATCH($M106,'[9]Forward Price Curve'!$D$1:$D$65536,FALSE),Q$226)</f>
        <v>38.941760000000002</v>
      </c>
      <c r="S106" s="271">
        <f>INDEX('[9]Forward Price Curve'!$V:$V,MATCH($M106,'[9]Forward Price Curve'!$D:$D,FALSE),1)</f>
        <v>41.204794401076711</v>
      </c>
      <c r="T106" s="273">
        <f t="shared" si="24"/>
        <v>1.0431715683764413</v>
      </c>
      <c r="U106" s="273">
        <f t="shared" si="25"/>
        <v>0.94507837172905362</v>
      </c>
    </row>
    <row r="107" spans="2:21" x14ac:dyDescent="0.2">
      <c r="B107" s="250">
        <f t="shared" si="21"/>
        <v>45383</v>
      </c>
      <c r="C107" s="242">
        <f>INDEX('[9]Forward Price Curve'!$A:$IV,MATCH(B107,'[9]Forward Price Curve'!$D$1:$D$65536,FALSE),$C$226)</f>
        <v>3.6545492570960141</v>
      </c>
      <c r="D107" s="242">
        <f>INDEX('[9]Forward Price Curve'!$A:$IV,MATCH(B107,'[9]Forward Price Curve'!$D$1:$D$65536,FALSE),$D$226)</f>
        <v>3.9876569068101264</v>
      </c>
      <c r="E107" s="251">
        <f t="shared" si="19"/>
        <v>2024</v>
      </c>
      <c r="K107" s="35">
        <f t="shared" si="22"/>
        <v>4</v>
      </c>
      <c r="L107" s="274">
        <f t="shared" si="23"/>
        <v>2024</v>
      </c>
      <c r="M107" s="246">
        <f t="shared" si="20"/>
        <v>45383</v>
      </c>
      <c r="N107" s="247">
        <f>INDEX('[9]Forward Price Curve'!$A$1:$P$65536,MATCH($M107,'[9]Forward Price Curve'!$D$1:$D$65536,FALSE),N$226)</f>
        <v>35.894590000000001</v>
      </c>
      <c r="O107" s="247">
        <f>INDEX('[9]Forward Price Curve'!$A$1:$P$65536,MATCH($M107,'[9]Forward Price Curve'!$D$1:$D$65536,FALSE),O$226)</f>
        <v>40.685450000000003</v>
      </c>
      <c r="P107" s="247">
        <f>INDEX('[9]Forward Price Curve'!$A$1:$P$65536,MATCH($M107,'[9]Forward Price Curve'!$D$1:$D$65536,FALSE),P$226)</f>
        <v>31.380230000000001</v>
      </c>
      <c r="Q107" s="248">
        <f>INDEX('[9]Forward Price Curve'!$A$1:$P$65536,MATCH($M107,'[9]Forward Price Curve'!$D$1:$D$65536,FALSE),Q$226)</f>
        <v>37.574570000000001</v>
      </c>
      <c r="S107" s="271">
        <f>INDEX('[9]Forward Price Curve'!$V:$V,MATCH($M107,'[9]Forward Price Curve'!$D:$D,FALSE),1)</f>
        <v>39.37196733333333</v>
      </c>
      <c r="T107" s="273">
        <f t="shared" si="24"/>
        <v>1.0333608594040116</v>
      </c>
      <c r="U107" s="273">
        <f t="shared" si="25"/>
        <v>0.9543482976576686</v>
      </c>
    </row>
    <row r="108" spans="2:21" x14ac:dyDescent="0.2">
      <c r="B108" s="250">
        <f t="shared" si="21"/>
        <v>45413</v>
      </c>
      <c r="C108" s="242">
        <f>INDEX('[9]Forward Price Curve'!$A:$IV,MATCH(B108,'[9]Forward Price Curve'!$D$1:$D$65536,FALSE),$C$226)</f>
        <v>3.7797670048160676</v>
      </c>
      <c r="D108" s="242">
        <f>INDEX('[9]Forward Price Curve'!$A:$IV,MATCH(B108,'[9]Forward Price Curve'!$D$1:$D$65536,FALSE),$D$226)</f>
        <v>3.9094891010506325</v>
      </c>
      <c r="E108" s="251">
        <f t="shared" si="19"/>
        <v>2024</v>
      </c>
      <c r="K108" s="35">
        <f t="shared" si="22"/>
        <v>5</v>
      </c>
      <c r="L108" s="274">
        <f t="shared" si="23"/>
        <v>2024</v>
      </c>
      <c r="M108" s="246">
        <f t="shared" si="20"/>
        <v>45413</v>
      </c>
      <c r="N108" s="247">
        <f>INDEX('[9]Forward Price Curve'!$A$1:$P$65536,MATCH($M108,'[9]Forward Price Curve'!$D$1:$D$65536,FALSE),N$226)</f>
        <v>30.009409999999999</v>
      </c>
      <c r="O108" s="247">
        <f>INDEX('[9]Forward Price Curve'!$A$1:$P$65536,MATCH($M108,'[9]Forward Price Curve'!$D$1:$D$65536,FALSE),O$226)</f>
        <v>38.084099999999999</v>
      </c>
      <c r="P108" s="247">
        <f>INDEX('[9]Forward Price Curve'!$A$1:$P$65536,MATCH($M108,'[9]Forward Price Curve'!$D$1:$D$65536,FALSE),P$226)</f>
        <v>23.9148</v>
      </c>
      <c r="Q108" s="248">
        <f>INDEX('[9]Forward Price Curve'!$A$1:$P$65536,MATCH($M108,'[9]Forward Price Curve'!$D$1:$D$65536,FALSE),Q$226)</f>
        <v>34.565649999999998</v>
      </c>
      <c r="S108" s="271">
        <f>INDEX('[9]Forward Price Curve'!$V:$V,MATCH($M108,'[9]Forward Price Curve'!$D:$D,FALSE),1)</f>
        <v>36.532955376344084</v>
      </c>
      <c r="T108" s="273">
        <f t="shared" si="24"/>
        <v>1.0424587774976539</v>
      </c>
      <c r="U108" s="273">
        <f t="shared" si="25"/>
        <v>0.94614984317370721</v>
      </c>
    </row>
    <row r="109" spans="2:21" x14ac:dyDescent="0.2">
      <c r="B109" s="250">
        <f t="shared" si="21"/>
        <v>45444</v>
      </c>
      <c r="C109" s="242">
        <f>INDEX('[9]Forward Price Curve'!$A:$IV,MATCH(B109,'[9]Forward Price Curve'!$D$1:$D$65536,FALSE),$C$226)</f>
        <v>3.7669583154011685</v>
      </c>
      <c r="D109" s="242">
        <f>INDEX('[9]Forward Price Curve'!$A:$IV,MATCH(B109,'[9]Forward Price Curve'!$D$1:$D$65536,FALSE),$D$226)</f>
        <v>3.9159901858860753</v>
      </c>
      <c r="E109" s="251">
        <f t="shared" si="19"/>
        <v>2024</v>
      </c>
      <c r="K109" s="35">
        <f t="shared" si="22"/>
        <v>6</v>
      </c>
      <c r="L109" s="274">
        <f t="shared" si="23"/>
        <v>2024</v>
      </c>
      <c r="M109" s="246">
        <f t="shared" si="20"/>
        <v>45444</v>
      </c>
      <c r="N109" s="247">
        <f>INDEX('[9]Forward Price Curve'!$A$1:$P$65536,MATCH($M109,'[9]Forward Price Curve'!$D$1:$D$65536,FALSE),N$226)</f>
        <v>34.924480000000003</v>
      </c>
      <c r="O109" s="247">
        <f>INDEX('[9]Forward Price Curve'!$A$1:$P$65536,MATCH($M109,'[9]Forward Price Curve'!$D$1:$D$65536,FALSE),O$226)</f>
        <v>41.589970000000001</v>
      </c>
      <c r="P109" s="247">
        <f>INDEX('[9]Forward Price Curve'!$A$1:$P$65536,MATCH($M109,'[9]Forward Price Curve'!$D$1:$D$65536,FALSE),P$226)</f>
        <v>26.830089999999998</v>
      </c>
      <c r="Q109" s="248">
        <f>INDEX('[9]Forward Price Curve'!$A$1:$P$65536,MATCH($M109,'[9]Forward Price Curve'!$D$1:$D$65536,FALSE),Q$226)</f>
        <v>36.093440000000001</v>
      </c>
      <c r="S109" s="271">
        <f>INDEX('[9]Forward Price Curve'!$V:$V,MATCH($M109,'[9]Forward Price Curve'!$D:$D,FALSE),1)</f>
        <v>39.147067777777778</v>
      </c>
      <c r="T109" s="273">
        <f t="shared" si="24"/>
        <v>1.0624031980144617</v>
      </c>
      <c r="U109" s="273">
        <f t="shared" si="25"/>
        <v>0.92199600248192282</v>
      </c>
    </row>
    <row r="110" spans="2:21" x14ac:dyDescent="0.2">
      <c r="B110" s="250">
        <f t="shared" si="21"/>
        <v>45474</v>
      </c>
      <c r="C110" s="242">
        <f>INDEX('[9]Forward Price Curve'!$A:$IV,MATCH(B110,'[9]Forward Price Curve'!$D$1:$D$65536,FALSE),$C$226)</f>
        <v>3.8133770058407626</v>
      </c>
      <c r="D110" s="242">
        <f>INDEX('[9]Forward Price Curve'!$A:$IV,MATCH(B110,'[9]Forward Price Curve'!$D$1:$D$65536,FALSE),$D$226)</f>
        <v>3.9290439514683539</v>
      </c>
      <c r="E110" s="251">
        <f t="shared" si="19"/>
        <v>2024</v>
      </c>
      <c r="K110" s="35">
        <f t="shared" si="22"/>
        <v>7</v>
      </c>
      <c r="L110" s="274">
        <f t="shared" si="23"/>
        <v>2024</v>
      </c>
      <c r="M110" s="246">
        <f t="shared" si="20"/>
        <v>45474</v>
      </c>
      <c r="N110" s="247">
        <f>INDEX('[9]Forward Price Curve'!$A$1:$P$65536,MATCH($M110,'[9]Forward Price Curve'!$D$1:$D$65536,FALSE),N$226)</f>
        <v>40.920960000000001</v>
      </c>
      <c r="O110" s="247">
        <f>INDEX('[9]Forward Price Curve'!$A$1:$P$65536,MATCH($M110,'[9]Forward Price Curve'!$D$1:$D$65536,FALSE),O$226)</f>
        <v>46.487830000000002</v>
      </c>
      <c r="P110" s="247">
        <f>INDEX('[9]Forward Price Curve'!$A$1:$P$65536,MATCH($M110,'[9]Forward Price Curve'!$D$1:$D$65536,FALSE),P$226)</f>
        <v>31.065079999999998</v>
      </c>
      <c r="Q110" s="248">
        <f>INDEX('[9]Forward Price Curve'!$A$1:$P$65536,MATCH($M110,'[9]Forward Price Curve'!$D$1:$D$65536,FALSE),Q$226)</f>
        <v>38.194009999999999</v>
      </c>
      <c r="S110" s="271">
        <f>INDEX('[9]Forward Price Curve'!$V:$V,MATCH($M110,'[9]Forward Price Curve'!$D:$D,FALSE),1)</f>
        <v>42.831414731182797</v>
      </c>
      <c r="T110" s="273">
        <f t="shared" si="24"/>
        <v>1.0853676044035783</v>
      </c>
      <c r="U110" s="273">
        <f t="shared" si="25"/>
        <v>0.89172889197594951</v>
      </c>
    </row>
    <row r="111" spans="2:21" x14ac:dyDescent="0.2">
      <c r="B111" s="250">
        <f t="shared" si="21"/>
        <v>45505</v>
      </c>
      <c r="C111" s="242">
        <f>INDEX('[9]Forward Price Curve'!$A:$IV,MATCH(B111,'[9]Forward Price Curve'!$D$1:$D$65536,FALSE),$C$226)</f>
        <v>3.9427960036889025</v>
      </c>
      <c r="D111" s="242">
        <f>INDEX('[9]Forward Price Curve'!$A:$IV,MATCH(B111,'[9]Forward Price Curve'!$D$1:$D$65536,FALSE),$D$226)</f>
        <v>4.0723773933164553</v>
      </c>
      <c r="E111" s="251">
        <f t="shared" si="19"/>
        <v>2024</v>
      </c>
      <c r="K111" s="35">
        <f t="shared" si="22"/>
        <v>8</v>
      </c>
      <c r="L111" s="274">
        <f t="shared" si="23"/>
        <v>2024</v>
      </c>
      <c r="M111" s="246">
        <f t="shared" si="20"/>
        <v>45505</v>
      </c>
      <c r="N111" s="247">
        <f>INDEX('[9]Forward Price Curve'!$A$1:$P$65536,MATCH($M111,'[9]Forward Price Curve'!$D$1:$D$65536,FALSE),N$226)</f>
        <v>45.710639999999998</v>
      </c>
      <c r="O111" s="247">
        <f>INDEX('[9]Forward Price Curve'!$A$1:$P$65536,MATCH($M111,'[9]Forward Price Curve'!$D$1:$D$65536,FALSE),O$226)</f>
        <v>48.344549999999998</v>
      </c>
      <c r="P111" s="247">
        <f>INDEX('[9]Forward Price Curve'!$A$1:$P$65536,MATCH($M111,'[9]Forward Price Curve'!$D$1:$D$65536,FALSE),P$226)</f>
        <v>34.130800000000001</v>
      </c>
      <c r="Q111" s="248">
        <f>INDEX('[9]Forward Price Curve'!$A$1:$P$65536,MATCH($M111,'[9]Forward Price Curve'!$D$1:$D$65536,FALSE),Q$226)</f>
        <v>39.197670000000002</v>
      </c>
      <c r="S111" s="271">
        <f>INDEX('[9]Forward Price Curve'!$V:$V,MATCH($M111,'[9]Forward Price Curve'!$D:$D,FALSE),1)</f>
        <v>44.508761612903221</v>
      </c>
      <c r="T111" s="273">
        <f t="shared" si="24"/>
        <v>1.0861805237462452</v>
      </c>
      <c r="U111" s="273">
        <f t="shared" si="25"/>
        <v>0.88067312096673755</v>
      </c>
    </row>
    <row r="112" spans="2:21" x14ac:dyDescent="0.2">
      <c r="B112" s="250">
        <f t="shared" si="21"/>
        <v>45536</v>
      </c>
      <c r="C112" s="242">
        <f>INDEX('[9]Forward Price Curve'!$A:$IV,MATCH(B112,'[9]Forward Price Curve'!$D$1:$D$65536,FALSE),$C$226)</f>
        <v>4.0023307920893538</v>
      </c>
      <c r="D112" s="242">
        <f>INDEX('[9]Forward Price Curve'!$A:$IV,MATCH(B112,'[9]Forward Price Curve'!$D$1:$D$65536,FALSE),$D$226)</f>
        <v>4.1570978798227838</v>
      </c>
      <c r="E112" s="251">
        <f t="shared" si="19"/>
        <v>2024</v>
      </c>
      <c r="K112" s="35">
        <f t="shared" si="22"/>
        <v>9</v>
      </c>
      <c r="L112" s="274">
        <f t="shared" si="23"/>
        <v>2024</v>
      </c>
      <c r="M112" s="246">
        <f t="shared" si="20"/>
        <v>45536</v>
      </c>
      <c r="N112" s="247">
        <f>INDEX('[9]Forward Price Curve'!$A$1:$P$65536,MATCH($M112,'[9]Forward Price Curve'!$D$1:$D$65536,FALSE),N$226)</f>
        <v>47.446849999999998</v>
      </c>
      <c r="O112" s="247">
        <f>INDEX('[9]Forward Price Curve'!$A$1:$P$65536,MATCH($M112,'[9]Forward Price Curve'!$D$1:$D$65536,FALSE),O$226)</f>
        <v>46.000019999999999</v>
      </c>
      <c r="P112" s="247">
        <f>INDEX('[9]Forward Price Curve'!$A$1:$P$65536,MATCH($M112,'[9]Forward Price Curve'!$D$1:$D$65536,FALSE),P$226)</f>
        <v>37.769500000000001</v>
      </c>
      <c r="Q112" s="248">
        <f>INDEX('[9]Forward Price Curve'!$A$1:$P$65536,MATCH($M112,'[9]Forward Price Curve'!$D$1:$D$65536,FALSE),Q$226)</f>
        <v>38.880229999999997</v>
      </c>
      <c r="S112" s="271">
        <f>INDEX('[9]Forward Price Curve'!$V:$V,MATCH($M112,'[9]Forward Price Curve'!$D:$D,FALSE),1)</f>
        <v>42.67745133333333</v>
      </c>
      <c r="T112" s="273">
        <f t="shared" si="24"/>
        <v>1.0778530245565898</v>
      </c>
      <c r="U112" s="273">
        <f t="shared" si="25"/>
        <v>0.91102511479246884</v>
      </c>
    </row>
    <row r="113" spans="2:21" x14ac:dyDescent="0.2">
      <c r="B113" s="250">
        <f t="shared" si="21"/>
        <v>45566</v>
      </c>
      <c r="C113" s="242">
        <f>INDEX('[9]Forward Price Curve'!$A:$IV,MATCH(B113,'[9]Forward Price Curve'!$D$1:$D$65536,FALSE),$C$226)</f>
        <v>4.2248945793626396</v>
      </c>
      <c r="D113" s="242">
        <f>INDEX('[9]Forward Price Curve'!$A:$IV,MATCH(B113,'[9]Forward Price Curve'!$D$1:$D$65536,FALSE),$D$226)</f>
        <v>4.3852034040886068</v>
      </c>
      <c r="E113" s="251">
        <f t="shared" si="19"/>
        <v>2024</v>
      </c>
      <c r="K113" s="35">
        <f t="shared" si="22"/>
        <v>10</v>
      </c>
      <c r="L113" s="274">
        <f t="shared" si="23"/>
        <v>2024</v>
      </c>
      <c r="M113" s="246">
        <f t="shared" si="20"/>
        <v>45566</v>
      </c>
      <c r="N113" s="247">
        <f>INDEX('[9]Forward Price Curve'!$A$1:$P$65536,MATCH($M113,'[9]Forward Price Curve'!$D$1:$D$65536,FALSE),N$226)</f>
        <v>42.482039999999998</v>
      </c>
      <c r="O113" s="247">
        <f>INDEX('[9]Forward Price Curve'!$A$1:$P$65536,MATCH($M113,'[9]Forward Price Curve'!$D$1:$D$65536,FALSE),O$226)</f>
        <v>45.45926</v>
      </c>
      <c r="P113" s="247">
        <f>INDEX('[9]Forward Price Curve'!$A$1:$P$65536,MATCH($M113,'[9]Forward Price Curve'!$D$1:$D$65536,FALSE),P$226)</f>
        <v>34.591090000000001</v>
      </c>
      <c r="Q113" s="248">
        <f>INDEX('[9]Forward Price Curve'!$A$1:$P$65536,MATCH($M113,'[9]Forward Price Curve'!$D$1:$D$65536,FALSE),Q$226)</f>
        <v>39.582180000000001</v>
      </c>
      <c r="S113" s="271">
        <f>INDEX('[9]Forward Price Curve'!$V:$V,MATCH($M113,'[9]Forward Price Curve'!$D:$D,FALSE),1)</f>
        <v>42.99467806451613</v>
      </c>
      <c r="T113" s="273">
        <f t="shared" si="24"/>
        <v>1.0573229535940614</v>
      </c>
      <c r="U113" s="273">
        <f t="shared" si="25"/>
        <v>0.92062975656206869</v>
      </c>
    </row>
    <row r="114" spans="2:21" x14ac:dyDescent="0.2">
      <c r="B114" s="250">
        <f t="shared" si="21"/>
        <v>45597</v>
      </c>
      <c r="C114" s="242">
        <f>INDEX('[9]Forward Price Curve'!$A:$IV,MATCH(B114,'[9]Forward Price Curve'!$D$1:$D$65536,FALSE),$C$226)</f>
        <v>4.664181391536018</v>
      </c>
      <c r="D114" s="242">
        <f>INDEX('[9]Forward Price Curve'!$A:$IV,MATCH(B114,'[9]Forward Price Curve'!$D$1:$D$65536,FALSE),$D$226)</f>
        <v>4.724033754202531</v>
      </c>
      <c r="E114" s="251">
        <f t="shared" si="19"/>
        <v>2024</v>
      </c>
      <c r="K114" s="35">
        <f t="shared" si="22"/>
        <v>11</v>
      </c>
      <c r="L114" s="274">
        <f t="shared" si="23"/>
        <v>2024</v>
      </c>
      <c r="M114" s="246">
        <f t="shared" si="20"/>
        <v>45597</v>
      </c>
      <c r="N114" s="247">
        <f>INDEX('[9]Forward Price Curve'!$A$1:$P$65536,MATCH($M114,'[9]Forward Price Curve'!$D$1:$D$65536,FALSE),N$226)</f>
        <v>45.906120000000001</v>
      </c>
      <c r="O114" s="247">
        <f>INDEX('[9]Forward Price Curve'!$A$1:$P$65536,MATCH($M114,'[9]Forward Price Curve'!$D$1:$D$65536,FALSE),O$226)</f>
        <v>47.919280000000001</v>
      </c>
      <c r="P114" s="247">
        <f>INDEX('[9]Forward Price Curve'!$A$1:$P$65536,MATCH($M114,'[9]Forward Price Curve'!$D$1:$D$65536,FALSE),P$226)</f>
        <v>36.848509999999997</v>
      </c>
      <c r="Q114" s="248">
        <f>INDEX('[9]Forward Price Curve'!$A$1:$P$65536,MATCH($M114,'[9]Forward Price Curve'!$D$1:$D$65536,FALSE),Q$226)</f>
        <v>41.272509999999997</v>
      </c>
      <c r="S114" s="271">
        <f>INDEX('[9]Forward Price Curve'!$V:$V,MATCH($M114,'[9]Forward Price Curve'!$D:$D,FALSE),1)</f>
        <v>44.960038432732311</v>
      </c>
      <c r="T114" s="273">
        <f t="shared" si="24"/>
        <v>1.0658193736131967</v>
      </c>
      <c r="U114" s="273">
        <f t="shared" si="25"/>
        <v>0.91798208895551836</v>
      </c>
    </row>
    <row r="115" spans="2:21" x14ac:dyDescent="0.2">
      <c r="B115" s="252">
        <f t="shared" si="21"/>
        <v>45627</v>
      </c>
      <c r="C115" s="253">
        <f>INDEX('[9]Forward Price Curve'!$A:$IV,MATCH(B115,'[9]Forward Price Curve'!$D$1:$D$65536,FALSE),$C$226)</f>
        <v>4.4909054411312637</v>
      </c>
      <c r="D115" s="253">
        <f>INDEX('[9]Forward Price Curve'!$A:$IV,MATCH(B115,'[9]Forward Price Curve'!$D$1:$D$65536,FALSE),$D$226)</f>
        <v>4.5415906115189859</v>
      </c>
      <c r="E115" s="254">
        <f t="shared" si="19"/>
        <v>2024</v>
      </c>
      <c r="K115" s="35">
        <f t="shared" si="22"/>
        <v>12</v>
      </c>
      <c r="L115" s="274">
        <f t="shared" si="23"/>
        <v>2024</v>
      </c>
      <c r="M115" s="255">
        <f t="shared" si="20"/>
        <v>45627</v>
      </c>
      <c r="N115" s="256">
        <f>INDEX('[9]Forward Price Curve'!$A$1:$P$65536,MATCH($M115,'[9]Forward Price Curve'!$D$1:$D$65536,FALSE),N$226)</f>
        <v>46.093679999999999</v>
      </c>
      <c r="O115" s="256">
        <f>INDEX('[9]Forward Price Curve'!$A$1:$P$65536,MATCH($M115,'[9]Forward Price Curve'!$D$1:$D$65536,FALSE),O$226)</f>
        <v>46.630409999999998</v>
      </c>
      <c r="P115" s="256">
        <f>INDEX('[9]Forward Price Curve'!$A$1:$P$65536,MATCH($M115,'[9]Forward Price Curve'!$D$1:$D$65536,FALSE),P$226)</f>
        <v>38.512279999999997</v>
      </c>
      <c r="Q115" s="257">
        <f>INDEX('[9]Forward Price Curve'!$A$1:$P$65536,MATCH($M115,'[9]Forward Price Curve'!$D$1:$D$65536,FALSE),Q$226)</f>
        <v>41.286589999999997</v>
      </c>
      <c r="S115" s="271">
        <f>INDEX('[9]Forward Price Curve'!$V:$V,MATCH($M115,'[9]Forward Price Curve'!$D:$D,FALSE),1)</f>
        <v>44.15961150537634</v>
      </c>
      <c r="T115" s="273">
        <f t="shared" si="24"/>
        <v>1.0559515450973305</v>
      </c>
      <c r="U115" s="273">
        <f t="shared" si="25"/>
        <v>0.93494006384031347</v>
      </c>
    </row>
    <row r="116" spans="2:21" x14ac:dyDescent="0.2">
      <c r="B116" s="241">
        <f t="shared" si="21"/>
        <v>45658</v>
      </c>
      <c r="C116" s="242">
        <f>INDEX('[9]Forward Price Curve'!$A:$IV,MATCH(B116,'[9]Forward Price Curve'!$D$1:$D$65536,FALSE),$C$226)</f>
        <v>4.8252634696177896</v>
      </c>
      <c r="D116" s="242">
        <f>INDEX('[9]Forward Price Curve'!$A:$IV,MATCH(B116,'[9]Forward Price Curve'!$D$1:$D$65536,FALSE),$D$226)</f>
        <v>4.8272771728987331</v>
      </c>
      <c r="E116" s="243">
        <f t="shared" si="19"/>
        <v>2025</v>
      </c>
      <c r="K116" s="35">
        <f t="shared" si="22"/>
        <v>1</v>
      </c>
      <c r="L116" s="274">
        <f t="shared" si="23"/>
        <v>2025</v>
      </c>
      <c r="M116" s="246">
        <f t="shared" si="20"/>
        <v>45658</v>
      </c>
      <c r="N116" s="258">
        <f>INDEX('[9]Forward Price Curve'!$A$1:$P$65536,MATCH($M116,'[9]Forward Price Curve'!$D$1:$D$65536,FALSE),N$226)</f>
        <v>46.221299999999999</v>
      </c>
      <c r="O116" s="258">
        <f>INDEX('[9]Forward Price Curve'!$A$1:$P$65536,MATCH($M116,'[9]Forward Price Curve'!$D$1:$D$65536,FALSE),O$226)</f>
        <v>48.7029</v>
      </c>
      <c r="P116" s="258">
        <f>INDEX('[9]Forward Price Curve'!$A$1:$P$65536,MATCH($M116,'[9]Forward Price Curve'!$D$1:$D$65536,FALSE),P$226)</f>
        <v>37.81476</v>
      </c>
      <c r="Q116" s="259">
        <f>INDEX('[9]Forward Price Curve'!$A$1:$P$65536,MATCH($M116,'[9]Forward Price Curve'!$D$1:$D$65536,FALSE),Q$226)</f>
        <v>43.489260000000002</v>
      </c>
      <c r="S116" s="271">
        <f>INDEX('[9]Forward Price Curve'!$V:$V,MATCH($M116,'[9]Forward Price Curve'!$D:$D,FALSE),1)</f>
        <v>46.404413548387097</v>
      </c>
      <c r="T116" s="273">
        <f t="shared" si="24"/>
        <v>1.0495316345117951</v>
      </c>
      <c r="U116" s="273">
        <f t="shared" si="25"/>
        <v>0.9371793903752843</v>
      </c>
    </row>
    <row r="117" spans="2:21" x14ac:dyDescent="0.2">
      <c r="B117" s="250">
        <f t="shared" si="21"/>
        <v>45689</v>
      </c>
      <c r="C117" s="242">
        <f>INDEX('[9]Forward Price Curve'!$A:$IV,MATCH(B117,'[9]Forward Price Curve'!$D$1:$D$65536,FALSE),$C$226)</f>
        <v>4.8538524643918439</v>
      </c>
      <c r="D117" s="242">
        <f>INDEX('[9]Forward Price Curve'!$A:$IV,MATCH(B117,'[9]Forward Price Curve'!$D$1:$D$65536,FALSE),$D$226)</f>
        <v>4.8739198767974683</v>
      </c>
      <c r="E117" s="251">
        <f t="shared" si="19"/>
        <v>2025</v>
      </c>
      <c r="K117" s="35">
        <f t="shared" si="22"/>
        <v>2</v>
      </c>
      <c r="L117" s="274">
        <f t="shared" si="23"/>
        <v>2025</v>
      </c>
      <c r="M117" s="246">
        <f t="shared" si="20"/>
        <v>45689</v>
      </c>
      <c r="N117" s="247">
        <f>INDEX('[9]Forward Price Curve'!$A$1:$P$65536,MATCH($M117,'[9]Forward Price Curve'!$D$1:$D$65536,FALSE),N$226)</f>
        <v>48.559480000000001</v>
      </c>
      <c r="O117" s="247">
        <f>INDEX('[9]Forward Price Curve'!$A$1:$P$65536,MATCH($M117,'[9]Forward Price Curve'!$D$1:$D$65536,FALSE),O$226)</f>
        <v>49.325969999999998</v>
      </c>
      <c r="P117" s="247">
        <f>INDEX('[9]Forward Price Curve'!$A$1:$P$65536,MATCH($M117,'[9]Forward Price Curve'!$D$1:$D$65536,FALSE),P$226)</f>
        <v>40.486660000000001</v>
      </c>
      <c r="Q117" s="248">
        <f>INDEX('[9]Forward Price Curve'!$A$1:$P$65536,MATCH($M117,'[9]Forward Price Curve'!$D$1:$D$65536,FALSE),Q$226)</f>
        <v>44.368499999999997</v>
      </c>
      <c r="S117" s="271">
        <f>INDEX('[9]Forward Price Curve'!$V:$V,MATCH($M117,'[9]Forward Price Curve'!$D:$D,FALSE),1)</f>
        <v>47.201339999999995</v>
      </c>
      <c r="T117" s="273">
        <f t="shared" si="24"/>
        <v>1.0450120695726013</v>
      </c>
      <c r="U117" s="273">
        <f t="shared" si="25"/>
        <v>0.93998390723653191</v>
      </c>
    </row>
    <row r="118" spans="2:21" x14ac:dyDescent="0.2">
      <c r="B118" s="250">
        <f t="shared" si="21"/>
        <v>45717</v>
      </c>
      <c r="C118" s="242">
        <f>INDEX('[9]Forward Price Curve'!$A:$IV,MATCH(B118,'[9]Forward Price Curve'!$D$1:$D$65536,FALSE),$C$226)</f>
        <v>4.4266570550261299</v>
      </c>
      <c r="D118" s="242">
        <f>INDEX('[9]Forward Price Curve'!$A:$IV,MATCH(B118,'[9]Forward Price Curve'!$D$1:$D$65536,FALSE),$D$226)</f>
        <v>4.6807447845443031</v>
      </c>
      <c r="E118" s="251">
        <f t="shared" si="19"/>
        <v>2025</v>
      </c>
      <c r="K118" s="35">
        <f t="shared" si="22"/>
        <v>3</v>
      </c>
      <c r="L118" s="274">
        <f t="shared" si="23"/>
        <v>2025</v>
      </c>
      <c r="M118" s="246">
        <f t="shared" si="20"/>
        <v>45717</v>
      </c>
      <c r="N118" s="247">
        <f>INDEX('[9]Forward Price Curve'!$A$1:$P$65536,MATCH($M118,'[9]Forward Price Curve'!$D$1:$D$65536,FALSE),N$226)</f>
        <v>41.727829999999997</v>
      </c>
      <c r="O118" s="247">
        <f>INDEX('[9]Forward Price Curve'!$A$1:$P$65536,MATCH($M118,'[9]Forward Price Curve'!$D$1:$D$65536,FALSE),O$226)</f>
        <v>45.716630000000002</v>
      </c>
      <c r="P118" s="247">
        <f>INDEX('[9]Forward Price Curve'!$A$1:$P$65536,MATCH($M118,'[9]Forward Price Curve'!$D$1:$D$65536,FALSE),P$226)</f>
        <v>36.123130000000003</v>
      </c>
      <c r="Q118" s="248">
        <f>INDEX('[9]Forward Price Curve'!$A$1:$P$65536,MATCH($M118,'[9]Forward Price Curve'!$D$1:$D$65536,FALSE),Q$226)</f>
        <v>41.963149999999999</v>
      </c>
      <c r="S118" s="271">
        <f>INDEX('[9]Forward Price Curve'!$V:$V,MATCH($M118,'[9]Forward Price Curve'!$D:$D,FALSE),1)</f>
        <v>44.064694656796767</v>
      </c>
      <c r="T118" s="273">
        <f t="shared" si="24"/>
        <v>1.0374888639549085</v>
      </c>
      <c r="U118" s="273">
        <f t="shared" si="25"/>
        <v>0.95230774493809833</v>
      </c>
    </row>
    <row r="119" spans="2:21" x14ac:dyDescent="0.2">
      <c r="B119" s="250">
        <f t="shared" si="21"/>
        <v>45748</v>
      </c>
      <c r="C119" s="242">
        <f>INDEX('[9]Forward Price Curve'!$A:$IV,MATCH(B119,'[9]Forward Price Curve'!$D$1:$D$65536,FALSE),$C$226)</f>
        <v>4.1654622604775078</v>
      </c>
      <c r="D119" s="242">
        <f>INDEX('[9]Forward Price Curve'!$A:$IV,MATCH(B119,'[9]Forward Price Curve'!$D$1:$D$65536,FALSE),$D$226)</f>
        <v>4.4942771607721514</v>
      </c>
      <c r="E119" s="251">
        <f t="shared" si="19"/>
        <v>2025</v>
      </c>
      <c r="K119" s="35">
        <f t="shared" si="22"/>
        <v>4</v>
      </c>
      <c r="L119" s="274">
        <f t="shared" si="23"/>
        <v>2025</v>
      </c>
      <c r="M119" s="246">
        <f t="shared" si="20"/>
        <v>45748</v>
      </c>
      <c r="N119" s="247">
        <f>INDEX('[9]Forward Price Curve'!$A$1:$P$65536,MATCH($M119,'[9]Forward Price Curve'!$D$1:$D$65536,FALSE),N$226)</f>
        <v>39.511319999999998</v>
      </c>
      <c r="O119" s="247">
        <f>INDEX('[9]Forward Price Curve'!$A$1:$P$65536,MATCH($M119,'[9]Forward Price Curve'!$D$1:$D$65536,FALSE),O$226)</f>
        <v>44.103470000000002</v>
      </c>
      <c r="P119" s="247">
        <f>INDEX('[9]Forward Price Curve'!$A$1:$P$65536,MATCH($M119,'[9]Forward Price Curve'!$D$1:$D$65536,FALSE),P$226)</f>
        <v>34.337090000000003</v>
      </c>
      <c r="Q119" s="248">
        <f>INDEX('[9]Forward Price Curve'!$A$1:$P$65536,MATCH($M119,'[9]Forward Price Curve'!$D$1:$D$65536,FALSE),Q$226)</f>
        <v>40.504890000000003</v>
      </c>
      <c r="S119" s="271">
        <f>INDEX('[9]Forward Price Curve'!$V:$V,MATCH($M119,'[9]Forward Price Curve'!$D:$D,FALSE),1)</f>
        <v>42.584069555555551</v>
      </c>
      <c r="T119" s="273">
        <f t="shared" si="24"/>
        <v>1.0356800197891427</v>
      </c>
      <c r="U119" s="273">
        <f t="shared" si="25"/>
        <v>0.95117470976222618</v>
      </c>
    </row>
    <row r="120" spans="2:21" x14ac:dyDescent="0.2">
      <c r="B120" s="250">
        <f t="shared" si="21"/>
        <v>45778</v>
      </c>
      <c r="C120" s="242">
        <f>INDEX('[9]Forward Price Curve'!$A:$IV,MATCH(B120,'[9]Forward Price Curve'!$D$1:$D$65536,FALSE),$C$226)</f>
        <v>4.0652470744953382</v>
      </c>
      <c r="D120" s="242">
        <f>INDEX('[9]Forward Price Curve'!$A:$IV,MATCH(B120,'[9]Forward Price Curve'!$D$1:$D$65536,FALSE),$D$226)</f>
        <v>4.1879522348354428</v>
      </c>
      <c r="E120" s="251">
        <f t="shared" si="19"/>
        <v>2025</v>
      </c>
      <c r="K120" s="35">
        <f t="shared" si="22"/>
        <v>5</v>
      </c>
      <c r="L120" s="274">
        <f t="shared" si="23"/>
        <v>2025</v>
      </c>
      <c r="M120" s="246">
        <f t="shared" si="20"/>
        <v>45778</v>
      </c>
      <c r="N120" s="247">
        <f>INDEX('[9]Forward Price Curve'!$A$1:$P$65536,MATCH($M120,'[9]Forward Price Curve'!$D$1:$D$65536,FALSE),N$226)</f>
        <v>31.566089999999999</v>
      </c>
      <c r="O120" s="247">
        <f>INDEX('[9]Forward Price Curve'!$A$1:$P$65536,MATCH($M120,'[9]Forward Price Curve'!$D$1:$D$65536,FALSE),O$226)</f>
        <v>39.873570000000001</v>
      </c>
      <c r="P120" s="247">
        <f>INDEX('[9]Forward Price Curve'!$A$1:$P$65536,MATCH($M120,'[9]Forward Price Curve'!$D$1:$D$65536,FALSE),P$226)</f>
        <v>25.551410000000001</v>
      </c>
      <c r="Q120" s="248">
        <f>INDEX('[9]Forward Price Curve'!$A$1:$P$65536,MATCH($M120,'[9]Forward Price Curve'!$D$1:$D$65536,FALSE),Q$226)</f>
        <v>36.451250000000002</v>
      </c>
      <c r="S120" s="271">
        <f>INDEX('[9]Forward Price Curve'!$V:$V,MATCH($M120,'[9]Forward Price Curve'!$D:$D,FALSE),1)</f>
        <v>38.364805268817207</v>
      </c>
      <c r="T120" s="273">
        <f t="shared" si="24"/>
        <v>1.0393267923715779</v>
      </c>
      <c r="U120" s="273">
        <f t="shared" si="25"/>
        <v>0.95012211699214499</v>
      </c>
    </row>
    <row r="121" spans="2:21" x14ac:dyDescent="0.2">
      <c r="B121" s="250">
        <f t="shared" si="21"/>
        <v>45809</v>
      </c>
      <c r="C121" s="242">
        <f>INDEX('[9]Forward Price Curve'!$A:$IV,MATCH(B121,'[9]Forward Price Curve'!$D$1:$D$65536,FALSE),$C$226)</f>
        <v>4.0392198176042626</v>
      </c>
      <c r="D121" s="242">
        <f>INDEX('[9]Forward Price Curve'!$A:$IV,MATCH(B121,'[9]Forward Price Curve'!$D$1:$D$65536,FALSE),$D$226)</f>
        <v>4.1546212760759493</v>
      </c>
      <c r="E121" s="251">
        <f t="shared" si="19"/>
        <v>2025</v>
      </c>
      <c r="K121" s="35">
        <f t="shared" si="22"/>
        <v>6</v>
      </c>
      <c r="L121" s="274">
        <f t="shared" si="23"/>
        <v>2025</v>
      </c>
      <c r="M121" s="246">
        <f t="shared" si="20"/>
        <v>45809</v>
      </c>
      <c r="N121" s="247">
        <f>INDEX('[9]Forward Price Curve'!$A$1:$P$65536,MATCH($M121,'[9]Forward Price Curve'!$D$1:$D$65536,FALSE),N$226)</f>
        <v>37.592210000000001</v>
      </c>
      <c r="O121" s="247">
        <f>INDEX('[9]Forward Price Curve'!$A$1:$P$65536,MATCH($M121,'[9]Forward Price Curve'!$D$1:$D$65536,FALSE),O$226)</f>
        <v>44.204009999999997</v>
      </c>
      <c r="P121" s="247">
        <f>INDEX('[9]Forward Price Curve'!$A$1:$P$65536,MATCH($M121,'[9]Forward Price Curve'!$D$1:$D$65536,FALSE),P$226)</f>
        <v>28.522639999999999</v>
      </c>
      <c r="Q121" s="248">
        <f>INDEX('[9]Forward Price Curve'!$A$1:$P$65536,MATCH($M121,'[9]Forward Price Curve'!$D$1:$D$65536,FALSE),Q$226)</f>
        <v>38.038130000000002</v>
      </c>
      <c r="S121" s="271">
        <f>INDEX('[9]Forward Price Curve'!$V:$V,MATCH($M121,'[9]Forward Price Curve'!$D:$D,FALSE),1)</f>
        <v>41.463618888888888</v>
      </c>
      <c r="T121" s="273">
        <f t="shared" si="24"/>
        <v>1.0660914600448794</v>
      </c>
      <c r="U121" s="273">
        <f t="shared" si="25"/>
        <v>0.91738567494390066</v>
      </c>
    </row>
    <row r="122" spans="2:21" x14ac:dyDescent="0.2">
      <c r="B122" s="250">
        <f t="shared" si="21"/>
        <v>45839</v>
      </c>
      <c r="C122" s="242">
        <f>INDEX('[9]Forward Price Curve'!$A:$IV,MATCH(B122,'[9]Forward Price Curve'!$D$1:$D$65536,FALSE),$C$226)</f>
        <v>4.0994718926119482</v>
      </c>
      <c r="D122" s="242">
        <f>INDEX('[9]Forward Price Curve'!$A:$IV,MATCH(B122,'[9]Forward Price Curve'!$D$1:$D$65536,FALSE),$D$226)</f>
        <v>4.2012639799746836</v>
      </c>
      <c r="E122" s="251">
        <f t="shared" si="19"/>
        <v>2025</v>
      </c>
      <c r="K122" s="35">
        <f t="shared" si="22"/>
        <v>7</v>
      </c>
      <c r="L122" s="274">
        <f t="shared" si="23"/>
        <v>2025</v>
      </c>
      <c r="M122" s="246">
        <f t="shared" si="20"/>
        <v>45839</v>
      </c>
      <c r="N122" s="247">
        <f>INDEX('[9]Forward Price Curve'!$A$1:$P$65536,MATCH($M122,'[9]Forward Price Curve'!$D$1:$D$65536,FALSE),N$226)</f>
        <v>43.356279999999998</v>
      </c>
      <c r="O122" s="247">
        <f>INDEX('[9]Forward Price Curve'!$A$1:$P$65536,MATCH($M122,'[9]Forward Price Curve'!$D$1:$D$65536,FALSE),O$226)</f>
        <v>48.940289999999997</v>
      </c>
      <c r="P122" s="247">
        <f>INDEX('[9]Forward Price Curve'!$A$1:$P$65536,MATCH($M122,'[9]Forward Price Curve'!$D$1:$D$65536,FALSE),P$226)</f>
        <v>33.081069999999997</v>
      </c>
      <c r="Q122" s="248">
        <f>INDEX('[9]Forward Price Curve'!$A$1:$P$65536,MATCH($M122,'[9]Forward Price Curve'!$D$1:$D$65536,FALSE),Q$226)</f>
        <v>40.1755</v>
      </c>
      <c r="S122" s="271">
        <f>INDEX('[9]Forward Price Curve'!$V:$V,MATCH($M122,'[9]Forward Price Curve'!$D:$D,FALSE),1)</f>
        <v>45.076242795698924</v>
      </c>
      <c r="T122" s="273">
        <f t="shared" si="24"/>
        <v>1.0857224773993313</v>
      </c>
      <c r="U122" s="273">
        <f t="shared" si="25"/>
        <v>0.89127880915206747</v>
      </c>
    </row>
    <row r="123" spans="2:21" x14ac:dyDescent="0.2">
      <c r="B123" s="250">
        <f t="shared" si="21"/>
        <v>45870</v>
      </c>
      <c r="C123" s="242">
        <f>INDEX('[9]Forward Price Curve'!$A:$IV,MATCH(B123,'[9]Forward Price Curve'!$D$1:$D$65536,FALSE),$C$226)</f>
        <v>4.1787832974690033</v>
      </c>
      <c r="D123" s="242">
        <f>INDEX('[9]Forward Price Curve'!$A:$IV,MATCH(B123,'[9]Forward Price Curve'!$D$1:$D$65536,FALSE),$D$226)</f>
        <v>4.3344330272784806</v>
      </c>
      <c r="E123" s="251">
        <f t="shared" si="19"/>
        <v>2025</v>
      </c>
      <c r="K123" s="35">
        <f t="shared" si="22"/>
        <v>8</v>
      </c>
      <c r="L123" s="274">
        <f t="shared" si="23"/>
        <v>2025</v>
      </c>
      <c r="M123" s="246">
        <f t="shared" si="20"/>
        <v>45870</v>
      </c>
      <c r="N123" s="247">
        <f>INDEX('[9]Forward Price Curve'!$A$1:$P$65536,MATCH($M123,'[9]Forward Price Curve'!$D$1:$D$65536,FALSE),N$226)</f>
        <v>49.31109</v>
      </c>
      <c r="O123" s="247">
        <f>INDEX('[9]Forward Price Curve'!$A$1:$P$65536,MATCH($M123,'[9]Forward Price Curve'!$D$1:$D$65536,FALSE),O$226)</f>
        <v>52.262650000000001</v>
      </c>
      <c r="P123" s="247">
        <f>INDEX('[9]Forward Price Curve'!$A$1:$P$65536,MATCH($M123,'[9]Forward Price Curve'!$D$1:$D$65536,FALSE),P$226)</f>
        <v>37.343260000000001</v>
      </c>
      <c r="Q123" s="248">
        <f>INDEX('[9]Forward Price Curve'!$A$1:$P$65536,MATCH($M123,'[9]Forward Price Curve'!$D$1:$D$65536,FALSE),Q$226)</f>
        <v>42.71161</v>
      </c>
      <c r="S123" s="271">
        <f>INDEX('[9]Forward Price Curve'!$V:$V,MATCH($M123,'[9]Forward Price Curve'!$D:$D,FALSE),1)</f>
        <v>48.051976451612902</v>
      </c>
      <c r="T123" s="273">
        <f t="shared" si="24"/>
        <v>1.0876274788119722</v>
      </c>
      <c r="U123" s="273">
        <f t="shared" si="25"/>
        <v>0.88886270979944992</v>
      </c>
    </row>
    <row r="124" spans="2:21" x14ac:dyDescent="0.2">
      <c r="B124" s="250">
        <f t="shared" si="21"/>
        <v>45901</v>
      </c>
      <c r="C124" s="242">
        <f>INDEX('[9]Forward Price Curve'!$A:$IV,MATCH(B124,'[9]Forward Price Curve'!$D$1:$D$65536,FALSE),$C$226)</f>
        <v>4.0811298493698125</v>
      </c>
      <c r="D124" s="242">
        <f>INDEX('[9]Forward Price Curve'!$A:$IV,MATCH(B124,'[9]Forward Price Curve'!$D$1:$D$65536,FALSE),$D$226)</f>
        <v>4.2612184290126578</v>
      </c>
      <c r="E124" s="251">
        <f t="shared" si="19"/>
        <v>2025</v>
      </c>
      <c r="K124" s="35">
        <f t="shared" si="22"/>
        <v>9</v>
      </c>
      <c r="L124" s="274">
        <f t="shared" si="23"/>
        <v>2025</v>
      </c>
      <c r="M124" s="246">
        <f t="shared" si="20"/>
        <v>45901</v>
      </c>
      <c r="N124" s="247">
        <f>INDEX('[9]Forward Price Curve'!$A$1:$P$65536,MATCH($M124,'[9]Forward Price Curve'!$D$1:$D$65536,FALSE),N$226)</f>
        <v>50.337620000000001</v>
      </c>
      <c r="O124" s="247">
        <f>INDEX('[9]Forward Price Curve'!$A$1:$P$65536,MATCH($M124,'[9]Forward Price Curve'!$D$1:$D$65536,FALSE),O$226)</f>
        <v>48.899619999999999</v>
      </c>
      <c r="P124" s="247">
        <f>INDEX('[9]Forward Price Curve'!$A$1:$P$65536,MATCH($M124,'[9]Forward Price Curve'!$D$1:$D$65536,FALSE),P$226)</f>
        <v>39.967770000000002</v>
      </c>
      <c r="Q124" s="248">
        <f>INDEX('[9]Forward Price Curve'!$A$1:$P$65536,MATCH($M124,'[9]Forward Price Curve'!$D$1:$D$65536,FALSE),Q$226)</f>
        <v>40.892879999999998</v>
      </c>
      <c r="S124" s="271">
        <f>INDEX('[9]Forward Price Curve'!$V:$V,MATCH($M124,'[9]Forward Price Curve'!$D:$D,FALSE),1)</f>
        <v>45.341068888888884</v>
      </c>
      <c r="T124" s="273">
        <f t="shared" si="24"/>
        <v>1.0784840586760662</v>
      </c>
      <c r="U124" s="273">
        <f t="shared" si="25"/>
        <v>0.90189492665491744</v>
      </c>
    </row>
    <row r="125" spans="2:21" x14ac:dyDescent="0.2">
      <c r="B125" s="250">
        <f t="shared" si="21"/>
        <v>45931</v>
      </c>
      <c r="C125" s="242">
        <f>INDEX('[9]Forward Price Curve'!$A:$IV,MATCH(B125,'[9]Forward Price Curve'!$D$1:$D$65536,FALSE),$C$226)</f>
        <v>4.1365658571574961</v>
      </c>
      <c r="D125" s="242">
        <f>INDEX('[9]Forward Price Curve'!$A:$IV,MATCH(B125,'[9]Forward Price Curve'!$D$1:$D$65536,FALSE),$D$226)</f>
        <v>4.2878419192911386</v>
      </c>
      <c r="E125" s="251">
        <f t="shared" si="19"/>
        <v>2025</v>
      </c>
      <c r="K125" s="35">
        <f t="shared" si="22"/>
        <v>10</v>
      </c>
      <c r="L125" s="274">
        <f t="shared" si="23"/>
        <v>2025</v>
      </c>
      <c r="M125" s="246">
        <f t="shared" si="20"/>
        <v>45931</v>
      </c>
      <c r="N125" s="247">
        <f>INDEX('[9]Forward Price Curve'!$A$1:$P$65536,MATCH($M125,'[9]Forward Price Curve'!$D$1:$D$65536,FALSE),N$226)</f>
        <v>42.76484</v>
      </c>
      <c r="O125" s="247">
        <f>INDEX('[9]Forward Price Curve'!$A$1:$P$65536,MATCH($M125,'[9]Forward Price Curve'!$D$1:$D$65536,FALSE),O$226)</f>
        <v>46.535800000000002</v>
      </c>
      <c r="P125" s="247">
        <f>INDEX('[9]Forward Price Curve'!$A$1:$P$65536,MATCH($M125,'[9]Forward Price Curve'!$D$1:$D$65536,FALSE),P$226)</f>
        <v>35.037579999999998</v>
      </c>
      <c r="Q125" s="248">
        <f>INDEX('[9]Forward Price Curve'!$A$1:$P$65536,MATCH($M125,'[9]Forward Price Curve'!$D$1:$D$65536,FALSE),Q$226)</f>
        <v>40.433810000000001</v>
      </c>
      <c r="S125" s="271">
        <f>INDEX('[9]Forward Price Curve'!$V:$V,MATCH($M125,'[9]Forward Price Curve'!$D:$D,FALSE),1)</f>
        <v>43.97690096774194</v>
      </c>
      <c r="T125" s="273">
        <f t="shared" si="24"/>
        <v>1.0581873432631161</v>
      </c>
      <c r="U125" s="273">
        <f t="shared" si="25"/>
        <v>0.91943290932799293</v>
      </c>
    </row>
    <row r="126" spans="2:21" x14ac:dyDescent="0.2">
      <c r="B126" s="250">
        <f t="shared" si="21"/>
        <v>45962</v>
      </c>
      <c r="C126" s="242">
        <f>INDEX('[9]Forward Price Curve'!$A:$IV,MATCH(B126,'[9]Forward Price Curve'!$D$1:$D$65536,FALSE),$C$226)</f>
        <v>4.3324875704477925</v>
      </c>
      <c r="D126" s="242">
        <f>INDEX('[9]Forward Price Curve'!$A:$IV,MATCH(B126,'[9]Forward Price Curve'!$D$1:$D$65536,FALSE),$D$226)</f>
        <v>4.3810757311772139</v>
      </c>
      <c r="E126" s="251">
        <f t="shared" si="19"/>
        <v>2025</v>
      </c>
      <c r="K126" s="35">
        <f t="shared" si="22"/>
        <v>11</v>
      </c>
      <c r="L126" s="274">
        <f t="shared" si="23"/>
        <v>2025</v>
      </c>
      <c r="M126" s="246">
        <f t="shared" si="20"/>
        <v>45962</v>
      </c>
      <c r="N126" s="247">
        <f>INDEX('[9]Forward Price Curve'!$A$1:$P$65536,MATCH($M126,'[9]Forward Price Curve'!$D$1:$D$65536,FALSE),N$226)</f>
        <v>44.20308</v>
      </c>
      <c r="O126" s="247">
        <f>INDEX('[9]Forward Price Curve'!$A$1:$P$65536,MATCH($M126,'[9]Forward Price Curve'!$D$1:$D$65536,FALSE),O$226)</f>
        <v>46.95673</v>
      </c>
      <c r="P126" s="247">
        <f>INDEX('[9]Forward Price Curve'!$A$1:$P$65536,MATCH($M126,'[9]Forward Price Curve'!$D$1:$D$65536,FALSE),P$226)</f>
        <v>36.543370000000003</v>
      </c>
      <c r="Q126" s="248">
        <f>INDEX('[9]Forward Price Curve'!$A$1:$P$65536,MATCH($M126,'[9]Forward Price Curve'!$D$1:$D$65536,FALSE),Q$226)</f>
        <v>41.180230000000002</v>
      </c>
      <c r="S126" s="271">
        <f>INDEX('[9]Forward Price Curve'!$V:$V,MATCH($M126,'[9]Forward Price Curve'!$D:$D,FALSE),1)</f>
        <v>44.256757045769767</v>
      </c>
      <c r="T126" s="273">
        <f t="shared" si="24"/>
        <v>1.0610070220788648</v>
      </c>
      <c r="U126" s="273">
        <f t="shared" si="25"/>
        <v>0.93048458018313318</v>
      </c>
    </row>
    <row r="127" spans="2:21" x14ac:dyDescent="0.2">
      <c r="B127" s="252">
        <f t="shared" si="21"/>
        <v>45992</v>
      </c>
      <c r="C127" s="253">
        <f>INDEX('[9]Forward Price Curve'!$A:$IV,MATCH(B127,'[9]Forward Price Curve'!$D$1:$D$65536,FALSE),$C$226)</f>
        <v>4.5525920893534177</v>
      </c>
      <c r="D127" s="253">
        <f>INDEX('[9]Forward Price Curve'!$A:$IV,MATCH(B127,'[9]Forward Price Curve'!$D$1:$D$65536,FALSE),$D$226)</f>
        <v>4.6141860588481007</v>
      </c>
      <c r="E127" s="254">
        <f t="shared" si="19"/>
        <v>2025</v>
      </c>
      <c r="K127" s="35">
        <f t="shared" si="22"/>
        <v>12</v>
      </c>
      <c r="L127" s="274">
        <f t="shared" si="23"/>
        <v>2025</v>
      </c>
      <c r="M127" s="255">
        <f t="shared" si="20"/>
        <v>45992</v>
      </c>
      <c r="N127" s="256">
        <f>INDEX('[9]Forward Price Curve'!$A$1:$P$65536,MATCH($M127,'[9]Forward Price Curve'!$D$1:$D$65536,FALSE),N$226)</f>
        <v>48.022419999999997</v>
      </c>
      <c r="O127" s="256">
        <f>INDEX('[9]Forward Price Curve'!$A$1:$P$65536,MATCH($M127,'[9]Forward Price Curve'!$D$1:$D$65536,FALSE),O$226)</f>
        <v>49.026119999999999</v>
      </c>
      <c r="P127" s="256">
        <f>INDEX('[9]Forward Price Curve'!$A$1:$P$65536,MATCH($M127,'[9]Forward Price Curve'!$D$1:$D$65536,FALSE),P$226)</f>
        <v>39.957189999999997</v>
      </c>
      <c r="Q127" s="257">
        <f>INDEX('[9]Forward Price Curve'!$A$1:$P$65536,MATCH($M127,'[9]Forward Price Curve'!$D$1:$D$65536,FALSE),Q$226)</f>
        <v>43.029710000000001</v>
      </c>
      <c r="S127" s="271">
        <f>INDEX('[9]Forward Price Curve'!$V:$V,MATCH($M127,'[9]Forward Price Curve'!$D:$D,FALSE),1)</f>
        <v>46.382541397849465</v>
      </c>
      <c r="T127" s="273">
        <f t="shared" si="24"/>
        <v>1.0569951219247573</v>
      </c>
      <c r="U127" s="273">
        <f t="shared" si="25"/>
        <v>0.92771350390030771</v>
      </c>
    </row>
    <row r="128" spans="2:21" x14ac:dyDescent="0.2">
      <c r="B128" s="241">
        <f t="shared" si="21"/>
        <v>46023</v>
      </c>
      <c r="C128" s="242">
        <f>INDEX('[9]Forward Price Curve'!$A:$IV,MATCH(B128,'[9]Forward Price Curve'!$D$1:$D$65536,FALSE),$C$226)</f>
        <v>4.8648167025309972</v>
      </c>
      <c r="D128" s="242">
        <f>INDEX('[9]Forward Price Curve'!$A:$IV,MATCH(B128,'[9]Forward Price Curve'!$D$1:$D$65536,FALSE),$D$226)</f>
        <v>4.8443038236582279</v>
      </c>
      <c r="E128" s="243">
        <f t="shared" si="19"/>
        <v>2026</v>
      </c>
      <c r="K128" s="35">
        <f t="shared" si="22"/>
        <v>1</v>
      </c>
      <c r="L128" s="274">
        <f t="shared" si="23"/>
        <v>2026</v>
      </c>
      <c r="M128" s="246">
        <f t="shared" si="20"/>
        <v>46023</v>
      </c>
      <c r="N128" s="258">
        <f>INDEX('[9]Forward Price Curve'!$A$1:$P$65536,MATCH($M128,'[9]Forward Price Curve'!$D$1:$D$65536,FALSE),N$226)</f>
        <v>47.874169999999999</v>
      </c>
      <c r="O128" s="258">
        <f>INDEX('[9]Forward Price Curve'!$A$1:$P$65536,MATCH($M128,'[9]Forward Price Curve'!$D$1:$D$65536,FALSE),O$226)</f>
        <v>50.960320000000003</v>
      </c>
      <c r="P128" s="258">
        <f>INDEX('[9]Forward Price Curve'!$A$1:$P$65536,MATCH($M128,'[9]Forward Price Curve'!$D$1:$D$65536,FALSE),P$226)</f>
        <v>39.232509999999998</v>
      </c>
      <c r="Q128" s="259">
        <f>INDEX('[9]Forward Price Curve'!$A$1:$P$65536,MATCH($M128,'[9]Forward Price Curve'!$D$1:$D$65536,FALSE),Q$226)</f>
        <v>45.374229999999997</v>
      </c>
      <c r="S128" s="271">
        <f>INDEX('[9]Forward Price Curve'!$V:$V,MATCH($M128,'[9]Forward Price Curve'!$D:$D,FALSE),1)</f>
        <v>48.497635161290326</v>
      </c>
      <c r="T128" s="273">
        <f t="shared" si="24"/>
        <v>1.0507794829690034</v>
      </c>
      <c r="U128" s="273">
        <f t="shared" si="25"/>
        <v>0.9355967533076055</v>
      </c>
    </row>
    <row r="129" spans="2:21" x14ac:dyDescent="0.2">
      <c r="B129" s="250">
        <f t="shared" si="21"/>
        <v>46054</v>
      </c>
      <c r="C129" s="242">
        <f>INDEX('[9]Forward Price Curve'!$A:$IV,MATCH(B129,'[9]Forward Price Curve'!$D$1:$D$65536,FALSE),$C$226)</f>
        <v>4.9341885644020902</v>
      </c>
      <c r="D129" s="242">
        <f>INDEX('[9]Forward Price Curve'!$A:$IV,MATCH(B129,'[9]Forward Price Curve'!$D$1:$D$65536,FALSE),$D$226)</f>
        <v>4.905548170481012</v>
      </c>
      <c r="E129" s="251">
        <f t="shared" si="19"/>
        <v>2026</v>
      </c>
      <c r="K129" s="35">
        <f t="shared" si="22"/>
        <v>2</v>
      </c>
      <c r="L129" s="274">
        <f t="shared" si="23"/>
        <v>2026</v>
      </c>
      <c r="M129" s="246">
        <f t="shared" si="20"/>
        <v>46054</v>
      </c>
      <c r="N129" s="247">
        <f>INDEX('[9]Forward Price Curve'!$A$1:$P$65536,MATCH($M129,'[9]Forward Price Curve'!$D$1:$D$65536,FALSE),N$226)</f>
        <v>50.230629999999998</v>
      </c>
      <c r="O129" s="247">
        <f>INDEX('[9]Forward Price Curve'!$A$1:$P$65536,MATCH($M129,'[9]Forward Price Curve'!$D$1:$D$65536,FALSE),O$226)</f>
        <v>51.910780000000003</v>
      </c>
      <c r="P129" s="247">
        <f>INDEX('[9]Forward Price Curve'!$A$1:$P$65536,MATCH($M129,'[9]Forward Price Curve'!$D$1:$D$65536,FALSE),P$226)</f>
        <v>41.297080000000001</v>
      </c>
      <c r="Q129" s="248">
        <f>INDEX('[9]Forward Price Curve'!$A$1:$P$65536,MATCH($M129,'[9]Forward Price Curve'!$D$1:$D$65536,FALSE),Q$226)</f>
        <v>46.571939999999998</v>
      </c>
      <c r="S129" s="271">
        <f>INDEX('[9]Forward Price Curve'!$V:$V,MATCH($M129,'[9]Forward Price Curve'!$D:$D,FALSE),1)</f>
        <v>49.622705714285715</v>
      </c>
      <c r="T129" s="273">
        <f t="shared" si="24"/>
        <v>1.0461094221441372</v>
      </c>
      <c r="U129" s="273">
        <f t="shared" si="25"/>
        <v>0.93852077047448379</v>
      </c>
    </row>
    <row r="130" spans="2:21" x14ac:dyDescent="0.2">
      <c r="B130" s="250">
        <f t="shared" si="21"/>
        <v>46082</v>
      </c>
      <c r="C130" s="242">
        <f>INDEX('[9]Forward Price Curve'!$A:$IV,MATCH(B130,'[9]Forward Price Curve'!$D$1:$D$65536,FALSE),$C$226)</f>
        <v>4.502074618301056</v>
      </c>
      <c r="D130" s="242">
        <f>INDEX('[9]Forward Price Curve'!$A:$IV,MATCH(B130,'[9]Forward Price Curve'!$D$1:$D$65536,FALSE),$D$226)</f>
        <v>4.7421955150126571</v>
      </c>
      <c r="E130" s="251">
        <f t="shared" si="19"/>
        <v>2026</v>
      </c>
      <c r="K130" s="35">
        <f t="shared" si="22"/>
        <v>3</v>
      </c>
      <c r="L130" s="274">
        <f t="shared" si="23"/>
        <v>2026</v>
      </c>
      <c r="M130" s="246">
        <f t="shared" si="20"/>
        <v>46082</v>
      </c>
      <c r="N130" s="247">
        <f>INDEX('[9]Forward Price Curve'!$A$1:$P$65536,MATCH($M130,'[9]Forward Price Curve'!$D$1:$D$65536,FALSE),N$226)</f>
        <v>43.101329999999997</v>
      </c>
      <c r="O130" s="247">
        <f>INDEX('[9]Forward Price Curve'!$A$1:$P$65536,MATCH($M130,'[9]Forward Price Curve'!$D$1:$D$65536,FALSE),O$226)</f>
        <v>48.230829999999997</v>
      </c>
      <c r="P130" s="247">
        <f>INDEX('[9]Forward Price Curve'!$A$1:$P$65536,MATCH($M130,'[9]Forward Price Curve'!$D$1:$D$65536,FALSE),P$226)</f>
        <v>37.56447</v>
      </c>
      <c r="Q130" s="248">
        <f>INDEX('[9]Forward Price Curve'!$A$1:$P$65536,MATCH($M130,'[9]Forward Price Curve'!$D$1:$D$65536,FALSE),Q$226)</f>
        <v>43.78942</v>
      </c>
      <c r="S130" s="271">
        <f>INDEX('[9]Forward Price Curve'!$V:$V,MATCH($M130,'[9]Forward Price Curve'!$D:$D,FALSE),1)</f>
        <v>46.276131386271871</v>
      </c>
      <c r="T130" s="273">
        <f t="shared" si="24"/>
        <v>1.0422398881490773</v>
      </c>
      <c r="U130" s="273">
        <f t="shared" si="25"/>
        <v>0.9462636285320607</v>
      </c>
    </row>
    <row r="131" spans="2:21" x14ac:dyDescent="0.2">
      <c r="B131" s="250">
        <f t="shared" si="21"/>
        <v>46113</v>
      </c>
      <c r="C131" s="242">
        <f>INDEX('[9]Forward Price Curve'!$A:$IV,MATCH(B131,'[9]Forward Price Curve'!$D$1:$D$65536,FALSE),$C$226)</f>
        <v>4.1968179321651808</v>
      </c>
      <c r="D131" s="242">
        <f>INDEX('[9]Forward Price Curve'!$A:$IV,MATCH(B131,'[9]Forward Price Curve'!$D$1:$D$65536,FALSE),$D$226)</f>
        <v>4.5244091730253153</v>
      </c>
      <c r="E131" s="251">
        <f t="shared" si="19"/>
        <v>2026</v>
      </c>
      <c r="K131" s="35">
        <f t="shared" si="22"/>
        <v>4</v>
      </c>
      <c r="L131" s="274">
        <f t="shared" si="23"/>
        <v>2026</v>
      </c>
      <c r="M131" s="246">
        <f t="shared" si="20"/>
        <v>46113</v>
      </c>
      <c r="N131" s="247">
        <f>INDEX('[9]Forward Price Curve'!$A$1:$P$65536,MATCH($M131,'[9]Forward Price Curve'!$D$1:$D$65536,FALSE),N$226)</f>
        <v>41.175550000000001</v>
      </c>
      <c r="O131" s="247">
        <f>INDEX('[9]Forward Price Curve'!$A$1:$P$65536,MATCH($M131,'[9]Forward Price Curve'!$D$1:$D$65536,FALSE),O$226)</f>
        <v>46.136180000000003</v>
      </c>
      <c r="P131" s="247">
        <f>INDEX('[9]Forward Price Curve'!$A$1:$P$65536,MATCH($M131,'[9]Forward Price Curve'!$D$1:$D$65536,FALSE),P$226)</f>
        <v>35.955100000000002</v>
      </c>
      <c r="Q131" s="248">
        <f>INDEX('[9]Forward Price Curve'!$A$1:$P$65536,MATCH($M131,'[9]Forward Price Curve'!$D$1:$D$65536,FALSE),Q$226)</f>
        <v>42.34789</v>
      </c>
      <c r="S131" s="271">
        <f>INDEX('[9]Forward Price Curve'!$V:$V,MATCH($M131,'[9]Forward Price Curve'!$D:$D,FALSE),1)</f>
        <v>44.536679777777778</v>
      </c>
      <c r="T131" s="273">
        <f t="shared" si="24"/>
        <v>1.0359142223938373</v>
      </c>
      <c r="U131" s="273">
        <f t="shared" si="25"/>
        <v>0.95085422198738068</v>
      </c>
    </row>
    <row r="132" spans="2:21" x14ac:dyDescent="0.2">
      <c r="B132" s="250">
        <f t="shared" si="21"/>
        <v>46143</v>
      </c>
      <c r="C132" s="242">
        <f>INDEX('[9]Forward Price Curve'!$A:$IV,MATCH(B132,'[9]Forward Price Curve'!$D$1:$D$65536,FALSE),$C$226)</f>
        <v>4.145173296444308</v>
      </c>
      <c r="D132" s="242">
        <f>INDEX('[9]Forward Price Curve'!$A:$IV,MATCH(B132,'[9]Forward Price Curve'!$D$1:$D$65536,FALSE),$D$226)</f>
        <v>4.2657588692151887</v>
      </c>
      <c r="E132" s="251">
        <f t="shared" si="19"/>
        <v>2026</v>
      </c>
      <c r="K132" s="35">
        <f t="shared" si="22"/>
        <v>5</v>
      </c>
      <c r="L132" s="274">
        <f t="shared" si="23"/>
        <v>2026</v>
      </c>
      <c r="M132" s="246">
        <f t="shared" si="20"/>
        <v>46143</v>
      </c>
      <c r="N132" s="247">
        <f>INDEX('[9]Forward Price Curve'!$A$1:$P$65536,MATCH($M132,'[9]Forward Price Curve'!$D$1:$D$65536,FALSE),N$226)</f>
        <v>34.369579999999999</v>
      </c>
      <c r="O132" s="247">
        <f>INDEX('[9]Forward Price Curve'!$A$1:$P$65536,MATCH($M132,'[9]Forward Price Curve'!$D$1:$D$65536,FALSE),O$226)</f>
        <v>42.643000000000001</v>
      </c>
      <c r="P132" s="247">
        <f>INDEX('[9]Forward Price Curve'!$A$1:$P$65536,MATCH($M132,'[9]Forward Price Curve'!$D$1:$D$65536,FALSE),P$226)</f>
        <v>28.094950000000001</v>
      </c>
      <c r="Q132" s="248">
        <f>INDEX('[9]Forward Price Curve'!$A$1:$P$65536,MATCH($M132,'[9]Forward Price Curve'!$D$1:$D$65536,FALSE),Q$226)</f>
        <v>38.651719999999997</v>
      </c>
      <c r="S132" s="271">
        <f>INDEX('[9]Forward Price Curve'!$V:$V,MATCH($M132,'[9]Forward Price Curve'!$D:$D,FALSE),1)</f>
        <v>40.797569462365587</v>
      </c>
      <c r="T132" s="273">
        <f t="shared" si="24"/>
        <v>1.045233835298369</v>
      </c>
      <c r="U132" s="273">
        <f t="shared" si="25"/>
        <v>0.94740251709491996</v>
      </c>
    </row>
    <row r="133" spans="2:21" x14ac:dyDescent="0.2">
      <c r="B133" s="250">
        <f t="shared" si="21"/>
        <v>46174</v>
      </c>
      <c r="C133" s="242">
        <f>INDEX('[9]Forward Price Curve'!$A:$IV,MATCH(B133,'[9]Forward Price Curve'!$D$1:$D$65536,FALSE),$C$226)</f>
        <v>4.1458905830515427</v>
      </c>
      <c r="D133" s="242">
        <f>INDEX('[9]Forward Price Curve'!$A:$IV,MATCH(B133,'[9]Forward Price Curve'!$D$1:$D$65536,FALSE),$D$226)</f>
        <v>4.2453268883037971</v>
      </c>
      <c r="E133" s="251">
        <f t="shared" si="19"/>
        <v>2026</v>
      </c>
      <c r="K133" s="35">
        <f t="shared" si="22"/>
        <v>6</v>
      </c>
      <c r="L133" s="274">
        <f t="shared" si="23"/>
        <v>2026</v>
      </c>
      <c r="M133" s="246">
        <f t="shared" si="20"/>
        <v>46174</v>
      </c>
      <c r="N133" s="247">
        <f>INDEX('[9]Forward Price Curve'!$A$1:$P$65536,MATCH($M133,'[9]Forward Price Curve'!$D$1:$D$65536,FALSE),N$226)</f>
        <v>39.615949999999998</v>
      </c>
      <c r="O133" s="247">
        <f>INDEX('[9]Forward Price Curve'!$A$1:$P$65536,MATCH($M133,'[9]Forward Price Curve'!$D$1:$D$65536,FALSE),O$226)</f>
        <v>46.22739</v>
      </c>
      <c r="P133" s="247">
        <f>INDEX('[9]Forward Price Curve'!$A$1:$P$65536,MATCH($M133,'[9]Forward Price Curve'!$D$1:$D$65536,FALSE),P$226)</f>
        <v>29.82471</v>
      </c>
      <c r="Q133" s="248">
        <f>INDEX('[9]Forward Price Curve'!$A$1:$P$65536,MATCH($M133,'[9]Forward Price Curve'!$D$1:$D$65536,FALSE),Q$226)</f>
        <v>39.94999</v>
      </c>
      <c r="S133" s="271">
        <f>INDEX('[9]Forward Price Curve'!$V:$V,MATCH($M133,'[9]Forward Price Curve'!$D:$D,FALSE),1)</f>
        <v>43.576932222222226</v>
      </c>
      <c r="T133" s="273">
        <f t="shared" si="24"/>
        <v>1.0608224958164028</v>
      </c>
      <c r="U133" s="273">
        <f t="shared" si="25"/>
        <v>0.91676921625123819</v>
      </c>
    </row>
    <row r="134" spans="2:21" x14ac:dyDescent="0.2">
      <c r="B134" s="250">
        <f t="shared" si="21"/>
        <v>46204</v>
      </c>
      <c r="C134" s="242">
        <f>INDEX('[9]Forward Price Curve'!$A:$IV,MATCH(B134,'[9]Forward Price Curve'!$D$1:$D$65536,FALSE),$C$226)</f>
        <v>4.1799104621375145</v>
      </c>
      <c r="D134" s="242">
        <f>INDEX('[9]Forward Price Curve'!$A:$IV,MATCH(B134,'[9]Forward Price Curve'!$D$1:$D$65536,FALSE),$D$226)</f>
        <v>4.3065712351265812</v>
      </c>
      <c r="E134" s="251">
        <f t="shared" si="19"/>
        <v>2026</v>
      </c>
      <c r="K134" s="35">
        <f t="shared" si="22"/>
        <v>7</v>
      </c>
      <c r="L134" s="274">
        <f t="shared" si="23"/>
        <v>2026</v>
      </c>
      <c r="M134" s="246">
        <f t="shared" si="20"/>
        <v>46204</v>
      </c>
      <c r="N134" s="247">
        <f>INDEX('[9]Forward Price Curve'!$A$1:$P$65536,MATCH($M134,'[9]Forward Price Curve'!$D$1:$D$65536,FALSE),N$226)</f>
        <v>45.397370000000002</v>
      </c>
      <c r="O134" s="247">
        <f>INDEX('[9]Forward Price Curve'!$A$1:$P$65536,MATCH($M134,'[9]Forward Price Curve'!$D$1:$D$65536,FALSE),O$226)</f>
        <v>51.47504</v>
      </c>
      <c r="P134" s="247">
        <f>INDEX('[9]Forward Price Curve'!$A$1:$P$65536,MATCH($M134,'[9]Forward Price Curve'!$D$1:$D$65536,FALSE),P$226)</f>
        <v>35.529200000000003</v>
      </c>
      <c r="Q134" s="248">
        <f>INDEX('[9]Forward Price Curve'!$A$1:$P$65536,MATCH($M134,'[9]Forward Price Curve'!$D$1:$D$65536,FALSE),Q$226)</f>
        <v>42.808819999999997</v>
      </c>
      <c r="S134" s="271">
        <f>INDEX('[9]Forward Price Curve'!$V:$V,MATCH($M134,'[9]Forward Price Curve'!$D:$D,FALSE),1)</f>
        <v>47.654448387096771</v>
      </c>
      <c r="T134" s="273">
        <f t="shared" si="24"/>
        <v>1.0801728221019071</v>
      </c>
      <c r="U134" s="273">
        <f t="shared" si="25"/>
        <v>0.89831739635855679</v>
      </c>
    </row>
    <row r="135" spans="2:21" x14ac:dyDescent="0.2">
      <c r="B135" s="250">
        <f t="shared" si="21"/>
        <v>46235</v>
      </c>
      <c r="C135" s="242">
        <f>INDEX('[9]Forward Price Curve'!$A:$IV,MATCH(B135,'[9]Forward Price Curve'!$D$1:$D$65536,FALSE),$C$226)</f>
        <v>4.3015417768213959</v>
      </c>
      <c r="D135" s="242">
        <f>INDEX('[9]Forward Price Curve'!$A:$IV,MATCH(B135,'[9]Forward Price Curve'!$D$1:$D$65536,FALSE),$D$226)</f>
        <v>4.4494919096835437</v>
      </c>
      <c r="E135" s="251">
        <f t="shared" si="19"/>
        <v>2026</v>
      </c>
      <c r="K135" s="35">
        <f t="shared" si="22"/>
        <v>8</v>
      </c>
      <c r="L135" s="274">
        <f t="shared" si="23"/>
        <v>2026</v>
      </c>
      <c r="M135" s="246">
        <f t="shared" si="20"/>
        <v>46235</v>
      </c>
      <c r="N135" s="247">
        <f>INDEX('[9]Forward Price Curve'!$A$1:$P$65536,MATCH($M135,'[9]Forward Price Curve'!$D$1:$D$65536,FALSE),N$226)</f>
        <v>50.927129999999998</v>
      </c>
      <c r="O135" s="247">
        <f>INDEX('[9]Forward Price Curve'!$A$1:$P$65536,MATCH($M135,'[9]Forward Price Curve'!$D$1:$D$65536,FALSE),O$226)</f>
        <v>54.211910000000003</v>
      </c>
      <c r="P135" s="247">
        <f>INDEX('[9]Forward Price Curve'!$A$1:$P$65536,MATCH($M135,'[9]Forward Price Curve'!$D$1:$D$65536,FALSE),P$226)</f>
        <v>39.035249999999998</v>
      </c>
      <c r="Q135" s="248">
        <f>INDEX('[9]Forward Price Curve'!$A$1:$P$65536,MATCH($M135,'[9]Forward Price Curve'!$D$1:$D$65536,FALSE),Q$226)</f>
        <v>44.845860000000002</v>
      </c>
      <c r="S135" s="271">
        <f>INDEX('[9]Forward Price Curve'!$V:$V,MATCH($M135,'[9]Forward Price Curve'!$D:$D,FALSE),1)</f>
        <v>50.082791182795695</v>
      </c>
      <c r="T135" s="273">
        <f t="shared" si="24"/>
        <v>1.0824458605378753</v>
      </c>
      <c r="U135" s="273">
        <f t="shared" si="25"/>
        <v>0.89543451834220711</v>
      </c>
    </row>
    <row r="136" spans="2:21" x14ac:dyDescent="0.2">
      <c r="B136" s="250">
        <f t="shared" si="21"/>
        <v>46266</v>
      </c>
      <c r="C136" s="242">
        <f>INDEX('[9]Forward Price Curve'!$A:$IV,MATCH(B136,'[9]Forward Price Curve'!$D$1:$D$65536,FALSE),$C$226)</f>
        <v>4.201838938415821</v>
      </c>
      <c r="D136" s="242">
        <f>INDEX('[9]Forward Price Curve'!$A:$IV,MATCH(B136,'[9]Forward Price Curve'!$D$1:$D$65536,FALSE),$D$226)</f>
        <v>4.3610565175569613</v>
      </c>
      <c r="E136" s="251">
        <f t="shared" ref="E136:E199" si="26">YEAR(B136)</f>
        <v>2026</v>
      </c>
      <c r="K136" s="35">
        <f t="shared" si="22"/>
        <v>9</v>
      </c>
      <c r="L136" s="274">
        <f t="shared" si="23"/>
        <v>2026</v>
      </c>
      <c r="M136" s="246">
        <f t="shared" ref="M136:M199" si="27">B136</f>
        <v>46266</v>
      </c>
      <c r="N136" s="247">
        <f>INDEX('[9]Forward Price Curve'!$A$1:$P$65536,MATCH($M136,'[9]Forward Price Curve'!$D$1:$D$65536,FALSE),N$226)</f>
        <v>52.033940000000001</v>
      </c>
      <c r="O136" s="247">
        <f>INDEX('[9]Forward Price Curve'!$A$1:$P$65536,MATCH($M136,'[9]Forward Price Curve'!$D$1:$D$65536,FALSE),O$226)</f>
        <v>50.067259999999997</v>
      </c>
      <c r="P136" s="247">
        <f>INDEX('[9]Forward Price Curve'!$A$1:$P$65536,MATCH($M136,'[9]Forward Price Curve'!$D$1:$D$65536,FALSE),P$226)</f>
        <v>41.421900000000001</v>
      </c>
      <c r="Q136" s="248">
        <f>INDEX('[9]Forward Price Curve'!$A$1:$P$65536,MATCH($M136,'[9]Forward Price Curve'!$D$1:$D$65536,FALSE),Q$226)</f>
        <v>42.92548</v>
      </c>
      <c r="S136" s="271">
        <f>INDEX('[9]Forward Price Curve'!$V:$V,MATCH($M136,'[9]Forward Price Curve'!$D:$D,FALSE),1)</f>
        <v>46.893135555555553</v>
      </c>
      <c r="T136" s="273">
        <f t="shared" si="24"/>
        <v>1.0676884666985849</v>
      </c>
      <c r="U136" s="273">
        <f t="shared" si="25"/>
        <v>0.91538941662676909</v>
      </c>
    </row>
    <row r="137" spans="2:21" x14ac:dyDescent="0.2">
      <c r="B137" s="250">
        <f t="shared" ref="B137:B200" si="28">EDATE(B136,1)</f>
        <v>46296</v>
      </c>
      <c r="C137" s="242">
        <f>INDEX('[9]Forward Price Curve'!$A:$IV,MATCH(B137,'[9]Forward Price Curve'!$D$1:$D$65536,FALSE),$C$226)</f>
        <v>4.2584021108720158</v>
      </c>
      <c r="D137" s="242">
        <f>INDEX('[9]Forward Price Curve'!$A:$IV,MATCH(B137,'[9]Forward Price Curve'!$D$1:$D$65536,FALSE),$D$226)</f>
        <v>4.3950582231645559</v>
      </c>
      <c r="E137" s="251">
        <f t="shared" si="26"/>
        <v>2026</v>
      </c>
      <c r="K137" s="35">
        <f t="shared" ref="K137:K200" si="29">MONTH(M137)</f>
        <v>10</v>
      </c>
      <c r="L137" s="274">
        <f t="shared" ref="L137:L200" si="30">YEAR(M137)</f>
        <v>2026</v>
      </c>
      <c r="M137" s="246">
        <f t="shared" si="27"/>
        <v>46296</v>
      </c>
      <c r="N137" s="247">
        <f>INDEX('[9]Forward Price Curve'!$A$1:$P$65536,MATCH($M137,'[9]Forward Price Curve'!$D$1:$D$65536,FALSE),N$226)</f>
        <v>44.326770000000003</v>
      </c>
      <c r="O137" s="247">
        <f>INDEX('[9]Forward Price Curve'!$A$1:$P$65536,MATCH($M137,'[9]Forward Price Curve'!$D$1:$D$65536,FALSE),O$226)</f>
        <v>47.679949999999998</v>
      </c>
      <c r="P137" s="247">
        <f>INDEX('[9]Forward Price Curve'!$A$1:$P$65536,MATCH($M137,'[9]Forward Price Curve'!$D$1:$D$65536,FALSE),P$226)</f>
        <v>36.47242</v>
      </c>
      <c r="Q137" s="248">
        <f>INDEX('[9]Forward Price Curve'!$A$1:$P$65536,MATCH($M137,'[9]Forward Price Curve'!$D$1:$D$65536,FALSE),Q$226)</f>
        <v>41.99297</v>
      </c>
      <c r="S137" s="271">
        <f>INDEX('[9]Forward Price Curve'!$V:$V,MATCH($M137,'[9]Forward Price Curve'!$D:$D,FALSE),1)</f>
        <v>45.295087419354836</v>
      </c>
      <c r="T137" s="273">
        <f t="shared" ref="T137:T200" si="31">O137/S137</f>
        <v>1.052651682920168</v>
      </c>
      <c r="U137" s="273">
        <f t="shared" ref="U137:U200" si="32">Q137/S137</f>
        <v>0.92709766980284436</v>
      </c>
    </row>
    <row r="138" spans="2:21" x14ac:dyDescent="0.2">
      <c r="B138" s="250">
        <f t="shared" si="28"/>
        <v>46327</v>
      </c>
      <c r="C138" s="242">
        <f>INDEX('[9]Forward Price Curve'!$A:$IV,MATCH(B138,'[9]Forward Price Curve'!$D$1:$D$65536,FALSE),$C$226)</f>
        <v>4.456988031560611</v>
      </c>
      <c r="D138" s="242">
        <f>INDEX('[9]Forward Price Curve'!$A:$IV,MATCH(B138,'[9]Forward Price Curve'!$D$1:$D$65536,FALSE),$D$226)</f>
        <v>4.510787852417721</v>
      </c>
      <c r="E138" s="251">
        <f t="shared" si="26"/>
        <v>2026</v>
      </c>
      <c r="K138" s="35">
        <f t="shared" si="29"/>
        <v>11</v>
      </c>
      <c r="L138" s="274">
        <f t="shared" si="30"/>
        <v>2026</v>
      </c>
      <c r="M138" s="246">
        <f t="shared" si="27"/>
        <v>46327</v>
      </c>
      <c r="N138" s="247">
        <f>INDEX('[9]Forward Price Curve'!$A$1:$P$65536,MATCH($M138,'[9]Forward Price Curve'!$D$1:$D$65536,FALSE),N$226)</f>
        <v>46.644570000000002</v>
      </c>
      <c r="O138" s="247">
        <f>INDEX('[9]Forward Price Curve'!$A$1:$P$65536,MATCH($M138,'[9]Forward Price Curve'!$D$1:$D$65536,FALSE),O$226)</f>
        <v>49.185870000000001</v>
      </c>
      <c r="P138" s="247">
        <f>INDEX('[9]Forward Price Curve'!$A$1:$P$65536,MATCH($M138,'[9]Forward Price Curve'!$D$1:$D$65536,FALSE),P$226)</f>
        <v>38.251739999999998</v>
      </c>
      <c r="Q138" s="248">
        <f>INDEX('[9]Forward Price Curve'!$A$1:$P$65536,MATCH($M138,'[9]Forward Price Curve'!$D$1:$D$65536,FALSE),Q$226)</f>
        <v>42.91113</v>
      </c>
      <c r="S138" s="271">
        <f>INDEX('[9]Forward Price Curve'!$V:$V,MATCH($M138,'[9]Forward Price Curve'!$D:$D,FALSE),1)</f>
        <v>46.253016490984749</v>
      </c>
      <c r="T138" s="273">
        <f t="shared" si="31"/>
        <v>1.0634089132237872</v>
      </c>
      <c r="U138" s="273">
        <f t="shared" si="32"/>
        <v>0.92774770718713839</v>
      </c>
    </row>
    <row r="139" spans="2:21" x14ac:dyDescent="0.2">
      <c r="B139" s="252">
        <f t="shared" si="28"/>
        <v>46357</v>
      </c>
      <c r="C139" s="253">
        <f>INDEX('[9]Forward Price Curve'!$A:$IV,MATCH(B139,'[9]Forward Price Curve'!$D$1:$D$65536,FALSE),$C$226)</f>
        <v>4.6958444717696484</v>
      </c>
      <c r="D139" s="253">
        <f>INDEX('[9]Forward Price Curve'!$A:$IV,MATCH(B139,'[9]Forward Price Curve'!$D$1:$D$65536,FALSE),$D$226)</f>
        <v>4.7558168356202515</v>
      </c>
      <c r="E139" s="254">
        <f t="shared" si="26"/>
        <v>2026</v>
      </c>
      <c r="K139" s="35">
        <f t="shared" si="29"/>
        <v>12</v>
      </c>
      <c r="L139" s="274">
        <f t="shared" si="30"/>
        <v>2026</v>
      </c>
      <c r="M139" s="255">
        <f t="shared" si="27"/>
        <v>46357</v>
      </c>
      <c r="N139" s="256">
        <f>INDEX('[9]Forward Price Curve'!$A$1:$P$65536,MATCH($M139,'[9]Forward Price Curve'!$D$1:$D$65536,FALSE),N$226)</f>
        <v>49.58155</v>
      </c>
      <c r="O139" s="256">
        <f>INDEX('[9]Forward Price Curve'!$A$1:$P$65536,MATCH($M139,'[9]Forward Price Curve'!$D$1:$D$65536,FALSE),O$226)</f>
        <v>50.865009999999998</v>
      </c>
      <c r="P139" s="256">
        <f>INDEX('[9]Forward Price Curve'!$A$1:$P$65536,MATCH($M139,'[9]Forward Price Curve'!$D$1:$D$65536,FALSE),P$226)</f>
        <v>41.037909999999997</v>
      </c>
      <c r="Q139" s="257">
        <f>INDEX('[9]Forward Price Curve'!$A$1:$P$65536,MATCH($M139,'[9]Forward Price Curve'!$D$1:$D$65536,FALSE),Q$226)</f>
        <v>44.669029999999999</v>
      </c>
      <c r="S139" s="271">
        <f>INDEX('[9]Forward Price Curve'!$V:$V,MATCH($M139,'[9]Forward Price Curve'!$D:$D,FALSE),1)</f>
        <v>48.133448924731184</v>
      </c>
      <c r="T139" s="273">
        <f t="shared" si="31"/>
        <v>1.0567497475516516</v>
      </c>
      <c r="U139" s="273">
        <f t="shared" si="32"/>
        <v>0.92802471042229528</v>
      </c>
    </row>
    <row r="140" spans="2:21" x14ac:dyDescent="0.2">
      <c r="B140" s="241">
        <f t="shared" si="28"/>
        <v>46388</v>
      </c>
      <c r="C140" s="242">
        <f>INDEX('[9]Forward Price Curve'!$A:$IV,MATCH(B140,'[9]Forward Price Curve'!$D$1:$D$65536,FALSE),$C$226)</f>
        <v>5.1246793933804691</v>
      </c>
      <c r="D140" s="242">
        <f>INDEX('[9]Forward Price Curve'!$A:$IV,MATCH(B140,'[9]Forward Price Curve'!$D$1:$D$65536,FALSE),$D$226)</f>
        <v>5.0962982548987332</v>
      </c>
      <c r="E140" s="243">
        <f t="shared" si="26"/>
        <v>2027</v>
      </c>
      <c r="K140" s="35">
        <f t="shared" si="29"/>
        <v>1</v>
      </c>
      <c r="L140" s="274">
        <f t="shared" si="30"/>
        <v>2027</v>
      </c>
      <c r="M140" s="246">
        <f t="shared" si="27"/>
        <v>46388</v>
      </c>
      <c r="N140" s="258">
        <f>INDEX('[9]Forward Price Curve'!$A$1:$P$65536,MATCH($M140,'[9]Forward Price Curve'!$D$1:$D$65536,FALSE),N$226)</f>
        <v>49.606830000000002</v>
      </c>
      <c r="O140" s="258">
        <f>INDEX('[9]Forward Price Curve'!$A$1:$P$65536,MATCH($M140,'[9]Forward Price Curve'!$D$1:$D$65536,FALSE),O$226)</f>
        <v>52.812869999999997</v>
      </c>
      <c r="P140" s="258">
        <f>INDEX('[9]Forward Price Curve'!$A$1:$P$65536,MATCH($M140,'[9]Forward Price Curve'!$D$1:$D$65536,FALSE),P$226)</f>
        <v>41.32705</v>
      </c>
      <c r="Q140" s="259">
        <f>INDEX('[9]Forward Price Curve'!$A$1:$P$65536,MATCH($M140,'[9]Forward Price Curve'!$D$1:$D$65536,FALSE),Q$226)</f>
        <v>47.08858</v>
      </c>
      <c r="S140" s="271">
        <f>INDEX('[9]Forward Price Curve'!$V:$V,MATCH($M140,'[9]Forward Price Curve'!$D:$D,FALSE),1)</f>
        <v>50.166155268817207</v>
      </c>
      <c r="T140" s="273">
        <f t="shared" si="31"/>
        <v>1.0527589710034637</v>
      </c>
      <c r="U140" s="273">
        <f t="shared" si="32"/>
        <v>0.93865235929829771</v>
      </c>
    </row>
    <row r="141" spans="2:21" x14ac:dyDescent="0.2">
      <c r="B141" s="250">
        <f t="shared" si="28"/>
        <v>46419</v>
      </c>
      <c r="C141" s="242">
        <f>INDEX('[9]Forward Price Curve'!$A:$IV,MATCH(B141,'[9]Forward Price Curve'!$D$1:$D$65536,FALSE),$C$226)</f>
        <v>5.1677165898145301</v>
      </c>
      <c r="D141" s="242">
        <f>INDEX('[9]Forward Price Curve'!$A:$IV,MATCH(B141,'[9]Forward Price Curve'!$D$1:$D$65536,FALSE),$D$226)</f>
        <v>5.131022303265822</v>
      </c>
      <c r="E141" s="251">
        <f t="shared" si="26"/>
        <v>2027</v>
      </c>
      <c r="K141" s="35">
        <f t="shared" si="29"/>
        <v>2</v>
      </c>
      <c r="L141" s="274">
        <f t="shared" si="30"/>
        <v>2027</v>
      </c>
      <c r="M141" s="246">
        <f t="shared" si="27"/>
        <v>46419</v>
      </c>
      <c r="N141" s="247">
        <f>INDEX('[9]Forward Price Curve'!$A$1:$P$65536,MATCH($M141,'[9]Forward Price Curve'!$D$1:$D$65536,FALSE),N$226)</f>
        <v>52.245429999999999</v>
      </c>
      <c r="O141" s="247">
        <f>INDEX('[9]Forward Price Curve'!$A$1:$P$65536,MATCH($M141,'[9]Forward Price Curve'!$D$1:$D$65536,FALSE),O$226)</f>
        <v>53.77046</v>
      </c>
      <c r="P141" s="247">
        <f>INDEX('[9]Forward Price Curve'!$A$1:$P$65536,MATCH($M141,'[9]Forward Price Curve'!$D$1:$D$65536,FALSE),P$226)</f>
        <v>43.476709999999997</v>
      </c>
      <c r="Q141" s="248">
        <f>INDEX('[9]Forward Price Curve'!$A$1:$P$65536,MATCH($M141,'[9]Forward Price Curve'!$D$1:$D$65536,FALSE),Q$226)</f>
        <v>48.097630000000002</v>
      </c>
      <c r="S141" s="271">
        <f>INDEX('[9]Forward Price Curve'!$V:$V,MATCH($M141,'[9]Forward Price Curve'!$D:$D,FALSE),1)</f>
        <v>51.33924714285714</v>
      </c>
      <c r="T141" s="273">
        <f t="shared" si="31"/>
        <v>1.0473558338395135</v>
      </c>
      <c r="U141" s="273">
        <f t="shared" si="32"/>
        <v>0.93685888821398222</v>
      </c>
    </row>
    <row r="142" spans="2:21" x14ac:dyDescent="0.2">
      <c r="B142" s="250">
        <f t="shared" si="28"/>
        <v>46447</v>
      </c>
      <c r="C142" s="242">
        <f>INDEX('[9]Forward Price Curve'!$A:$IV,MATCH(B142,'[9]Forward Price Curve'!$D$1:$D$65536,FALSE),$C$226)</f>
        <v>4.7166457833794446</v>
      </c>
      <c r="D142" s="242">
        <f>INDEX('[9]Forward Price Curve'!$A:$IV,MATCH(B142,'[9]Forward Price Curve'!$D$1:$D$65536,FALSE),$D$226)</f>
        <v>4.9710749779493657</v>
      </c>
      <c r="E142" s="251">
        <f t="shared" si="26"/>
        <v>2027</v>
      </c>
      <c r="K142" s="35">
        <f t="shared" si="29"/>
        <v>3</v>
      </c>
      <c r="L142" s="274">
        <f t="shared" si="30"/>
        <v>2027</v>
      </c>
      <c r="M142" s="246">
        <f t="shared" si="27"/>
        <v>46447</v>
      </c>
      <c r="N142" s="247">
        <f>INDEX('[9]Forward Price Curve'!$A$1:$P$65536,MATCH($M142,'[9]Forward Price Curve'!$D$1:$D$65536,FALSE),N$226)</f>
        <v>45.324460000000002</v>
      </c>
      <c r="O142" s="247">
        <f>INDEX('[9]Forward Price Curve'!$A$1:$P$65536,MATCH($M142,'[9]Forward Price Curve'!$D$1:$D$65536,FALSE),O$226)</f>
        <v>49.847360000000002</v>
      </c>
      <c r="P142" s="247">
        <f>INDEX('[9]Forward Price Curve'!$A$1:$P$65536,MATCH($M142,'[9]Forward Price Curve'!$D$1:$D$65536,FALSE),P$226)</f>
        <v>38.940089999999998</v>
      </c>
      <c r="Q142" s="248">
        <f>INDEX('[9]Forward Price Curve'!$A$1:$P$65536,MATCH($M142,'[9]Forward Price Curve'!$D$1:$D$65536,FALSE),Q$226)</f>
        <v>45.593470000000003</v>
      </c>
      <c r="S142" s="271">
        <f>INDEX('[9]Forward Price Curve'!$V:$V,MATCH($M142,'[9]Forward Price Curve'!$D:$D,FALSE),1)</f>
        <v>48.066795006729478</v>
      </c>
      <c r="T142" s="273">
        <f t="shared" si="31"/>
        <v>1.0370435555984383</v>
      </c>
      <c r="U142" s="273">
        <f t="shared" si="32"/>
        <v>0.94854399994043281</v>
      </c>
    </row>
    <row r="143" spans="2:21" x14ac:dyDescent="0.2">
      <c r="B143" s="250">
        <f t="shared" si="28"/>
        <v>46478</v>
      </c>
      <c r="C143" s="242">
        <f>INDEX('[9]Forward Price Curve'!$A:$IV,MATCH(B143,'[9]Forward Price Curve'!$D$1:$D$65536,FALSE),$C$226)</f>
        <v>4.3793161389486635</v>
      </c>
      <c r="D143" s="242">
        <f>INDEX('[9]Forward Price Curve'!$A:$IV,MATCH(B143,'[9]Forward Price Curve'!$D$1:$D$65536,FALSE),$D$226)</f>
        <v>4.7206284240506324</v>
      </c>
      <c r="E143" s="251">
        <f t="shared" si="26"/>
        <v>2027</v>
      </c>
      <c r="K143" s="35">
        <f t="shared" si="29"/>
        <v>4</v>
      </c>
      <c r="L143" s="274">
        <f t="shared" si="30"/>
        <v>2027</v>
      </c>
      <c r="M143" s="246">
        <f t="shared" si="27"/>
        <v>46478</v>
      </c>
      <c r="N143" s="247">
        <f>INDEX('[9]Forward Price Curve'!$A$1:$P$65536,MATCH($M143,'[9]Forward Price Curve'!$D$1:$D$65536,FALSE),N$226)</f>
        <v>42.30236</v>
      </c>
      <c r="O143" s="247">
        <f>INDEX('[9]Forward Price Curve'!$A$1:$P$65536,MATCH($M143,'[9]Forward Price Curve'!$D$1:$D$65536,FALSE),O$226)</f>
        <v>47.250489999999999</v>
      </c>
      <c r="P143" s="247">
        <f>INDEX('[9]Forward Price Curve'!$A$1:$P$65536,MATCH($M143,'[9]Forward Price Curve'!$D$1:$D$65536,FALSE),P$226)</f>
        <v>37.05348</v>
      </c>
      <c r="Q143" s="248">
        <f>INDEX('[9]Forward Price Curve'!$A$1:$P$65536,MATCH($M143,'[9]Forward Price Curve'!$D$1:$D$65536,FALSE),Q$226)</f>
        <v>43.476059999999997</v>
      </c>
      <c r="S143" s="271">
        <f>INDEX('[9]Forward Price Curve'!$V:$V,MATCH($M143,'[9]Forward Price Curve'!$D:$D,FALSE),1)</f>
        <v>45.656841777777771</v>
      </c>
      <c r="T143" s="273">
        <f t="shared" si="31"/>
        <v>1.0349049158936328</v>
      </c>
      <c r="U143" s="273">
        <f t="shared" si="32"/>
        <v>0.95223537825081872</v>
      </c>
    </row>
    <row r="144" spans="2:21" x14ac:dyDescent="0.2">
      <c r="B144" s="250">
        <f t="shared" si="28"/>
        <v>46508</v>
      </c>
      <c r="C144" s="242">
        <f>INDEX('[9]Forward Price Curve'!$A:$IV,MATCH(B144,'[9]Forward Price Curve'!$D$1:$D$65536,FALSE),$C$226)</f>
        <v>4.3370986986371554</v>
      </c>
      <c r="D144" s="242">
        <f>INDEX('[9]Forward Price Curve'!$A:$IV,MATCH(B144,'[9]Forward Price Curve'!$D$1:$D$65536,FALSE),$D$226)</f>
        <v>4.5049575144303784</v>
      </c>
      <c r="E144" s="251">
        <f t="shared" si="26"/>
        <v>2027</v>
      </c>
      <c r="K144" s="35">
        <f t="shared" si="29"/>
        <v>5</v>
      </c>
      <c r="L144" s="274">
        <f t="shared" si="30"/>
        <v>2027</v>
      </c>
      <c r="M144" s="246">
        <f t="shared" si="27"/>
        <v>46508</v>
      </c>
      <c r="N144" s="247">
        <f>INDEX('[9]Forward Price Curve'!$A$1:$P$65536,MATCH($M144,'[9]Forward Price Curve'!$D$1:$D$65536,FALSE),N$226)</f>
        <v>35.04766</v>
      </c>
      <c r="O144" s="247">
        <f>INDEX('[9]Forward Price Curve'!$A$1:$P$65536,MATCH($M144,'[9]Forward Price Curve'!$D$1:$D$65536,FALSE),O$226)</f>
        <v>43.523389999999999</v>
      </c>
      <c r="P144" s="247">
        <f>INDEX('[9]Forward Price Curve'!$A$1:$P$65536,MATCH($M144,'[9]Forward Price Curve'!$D$1:$D$65536,FALSE),P$226)</f>
        <v>28.514250000000001</v>
      </c>
      <c r="Q144" s="248">
        <f>INDEX('[9]Forward Price Curve'!$A$1:$P$65536,MATCH($M144,'[9]Forward Price Curve'!$D$1:$D$65536,FALSE),Q$226)</f>
        <v>39.664990000000003</v>
      </c>
      <c r="S144" s="271">
        <f>INDEX('[9]Forward Price Curve'!$V:$V,MATCH($M144,'[9]Forward Price Curve'!$D:$D,FALSE),1)</f>
        <v>41.739398602150537</v>
      </c>
      <c r="T144" s="273">
        <f t="shared" si="31"/>
        <v>1.0427411859680591</v>
      </c>
      <c r="U144" s="273">
        <f t="shared" si="32"/>
        <v>0.95030094654876862</v>
      </c>
    </row>
    <row r="145" spans="2:21" x14ac:dyDescent="0.2">
      <c r="B145" s="250">
        <f t="shared" si="28"/>
        <v>46539</v>
      </c>
      <c r="C145" s="242">
        <f>INDEX('[9]Forward Price Curve'!$A:$IV,MATCH(B145,'[9]Forward Price Curve'!$D$1:$D$65536,FALSE),$C$226)</f>
        <v>4.3104566246541651</v>
      </c>
      <c r="D145" s="242">
        <f>INDEX('[9]Forward Price Curve'!$A:$IV,MATCH(B145,'[9]Forward Price Curve'!$D$1:$D$65536,FALSE),$D$226)</f>
        <v>4.4771473181898722</v>
      </c>
      <c r="E145" s="251">
        <f t="shared" si="26"/>
        <v>2027</v>
      </c>
      <c r="K145" s="35">
        <f t="shared" si="29"/>
        <v>6</v>
      </c>
      <c r="L145" s="274">
        <f t="shared" si="30"/>
        <v>2027</v>
      </c>
      <c r="M145" s="246">
        <f t="shared" si="27"/>
        <v>46539</v>
      </c>
      <c r="N145" s="247">
        <f>INDEX('[9]Forward Price Curve'!$A$1:$P$65536,MATCH($M145,'[9]Forward Price Curve'!$D$1:$D$65536,FALSE),N$226)</f>
        <v>41.475180000000002</v>
      </c>
      <c r="O145" s="247">
        <f>INDEX('[9]Forward Price Curve'!$A$1:$P$65536,MATCH($M145,'[9]Forward Price Curve'!$D$1:$D$65536,FALSE),O$226)</f>
        <v>47.915559999999999</v>
      </c>
      <c r="P145" s="247">
        <f>INDEX('[9]Forward Price Curve'!$A$1:$P$65536,MATCH($M145,'[9]Forward Price Curve'!$D$1:$D$65536,FALSE),P$226)</f>
        <v>31.39847</v>
      </c>
      <c r="Q145" s="248">
        <f>INDEX('[9]Forward Price Curve'!$A$1:$P$65536,MATCH($M145,'[9]Forward Price Curve'!$D$1:$D$65536,FALSE),Q$226)</f>
        <v>41.501339999999999</v>
      </c>
      <c r="S145" s="271">
        <f>INDEX('[9]Forward Price Curve'!$V:$V,MATCH($M145,'[9]Forward Price Curve'!$D:$D,FALSE),1)</f>
        <v>45.207333777777777</v>
      </c>
      <c r="T145" s="273">
        <f t="shared" si="31"/>
        <v>1.0599067893615413</v>
      </c>
      <c r="U145" s="273">
        <f t="shared" si="32"/>
        <v>0.91802228824210141</v>
      </c>
    </row>
    <row r="146" spans="2:21" x14ac:dyDescent="0.2">
      <c r="B146" s="250">
        <f t="shared" si="28"/>
        <v>46569</v>
      </c>
      <c r="C146" s="242">
        <f>INDEX('[9]Forward Price Curve'!$A:$IV,MATCH(B146,'[9]Forward Price Curve'!$D$1:$D$65536,FALSE),$C$226)</f>
        <v>4.3585148273388663</v>
      </c>
      <c r="D146" s="242">
        <f>INDEX('[9]Forward Price Curve'!$A:$IV,MATCH(B146,'[9]Forward Price Curve'!$D$1:$D$65536,FALSE),$D$226)</f>
        <v>4.5397847546202525</v>
      </c>
      <c r="E146" s="251">
        <f t="shared" si="26"/>
        <v>2027</v>
      </c>
      <c r="K146" s="35">
        <f t="shared" si="29"/>
        <v>7</v>
      </c>
      <c r="L146" s="274">
        <f t="shared" si="30"/>
        <v>2027</v>
      </c>
      <c r="M146" s="246">
        <f t="shared" si="27"/>
        <v>46569</v>
      </c>
      <c r="N146" s="247">
        <f>INDEX('[9]Forward Price Curve'!$A$1:$P$65536,MATCH($M146,'[9]Forward Price Curve'!$D$1:$D$65536,FALSE),N$226)</f>
        <v>46.91516</v>
      </c>
      <c r="O146" s="247">
        <f>INDEX('[9]Forward Price Curve'!$A$1:$P$65536,MATCH($M146,'[9]Forward Price Curve'!$D$1:$D$65536,FALSE),O$226)</f>
        <v>52.994900000000001</v>
      </c>
      <c r="P146" s="247">
        <f>INDEX('[9]Forward Price Curve'!$A$1:$P$65536,MATCH($M146,'[9]Forward Price Curve'!$D$1:$D$65536,FALSE),P$226)</f>
        <v>37.142119999999998</v>
      </c>
      <c r="Q146" s="248">
        <f>INDEX('[9]Forward Price Curve'!$A$1:$P$65536,MATCH($M146,'[9]Forward Price Curve'!$D$1:$D$65536,FALSE),Q$226)</f>
        <v>44.571089999999998</v>
      </c>
      <c r="S146" s="271">
        <f>INDEX('[9]Forward Price Curve'!$V:$V,MATCH($M146,'[9]Forward Price Curve'!$D:$D,FALSE),1)</f>
        <v>49.28117731182796</v>
      </c>
      <c r="T146" s="273">
        <f t="shared" si="31"/>
        <v>1.075357832153103</v>
      </c>
      <c r="U146" s="273">
        <f t="shared" si="32"/>
        <v>0.90442421287899111</v>
      </c>
    </row>
    <row r="147" spans="2:21" x14ac:dyDescent="0.2">
      <c r="B147" s="250">
        <f t="shared" si="28"/>
        <v>46600</v>
      </c>
      <c r="C147" s="242">
        <f>INDEX('[9]Forward Price Curve'!$A:$IV,MATCH(B147,'[9]Forward Price Curve'!$D$1:$D$65536,FALSE),$C$226)</f>
        <v>4.441412665232094</v>
      </c>
      <c r="D147" s="242">
        <f>INDEX('[9]Forward Price Curve'!$A:$IV,MATCH(B147,'[9]Forward Price Curve'!$D$1:$D$65536,FALSE),$D$226)</f>
        <v>4.623215343341772</v>
      </c>
      <c r="E147" s="251">
        <f t="shared" si="26"/>
        <v>2027</v>
      </c>
      <c r="K147" s="35">
        <f t="shared" si="29"/>
        <v>8</v>
      </c>
      <c r="L147" s="274">
        <f t="shared" si="30"/>
        <v>2027</v>
      </c>
      <c r="M147" s="246">
        <f t="shared" si="27"/>
        <v>46600</v>
      </c>
      <c r="N147" s="247">
        <f>INDEX('[9]Forward Price Curve'!$A$1:$P$65536,MATCH($M147,'[9]Forward Price Curve'!$D$1:$D$65536,FALSE),N$226)</f>
        <v>52.932540000000003</v>
      </c>
      <c r="O147" s="247">
        <f>INDEX('[9]Forward Price Curve'!$A$1:$P$65536,MATCH($M147,'[9]Forward Price Curve'!$D$1:$D$65536,FALSE),O$226)</f>
        <v>55.560789999999997</v>
      </c>
      <c r="P147" s="247">
        <f>INDEX('[9]Forward Price Curve'!$A$1:$P$65536,MATCH($M147,'[9]Forward Price Curve'!$D$1:$D$65536,FALSE),P$226)</f>
        <v>40.616970000000002</v>
      </c>
      <c r="Q147" s="248">
        <f>INDEX('[9]Forward Price Curve'!$A$1:$P$65536,MATCH($M147,'[9]Forward Price Curve'!$D$1:$D$65536,FALSE),Q$226)</f>
        <v>46.149540000000002</v>
      </c>
      <c r="S147" s="271">
        <f>INDEX('[9]Forward Price Curve'!$V:$V,MATCH($M147,'[9]Forward Price Curve'!$D:$D,FALSE),1)</f>
        <v>51.411744301075267</v>
      </c>
      <c r="T147" s="273">
        <f t="shared" si="31"/>
        <v>1.0807022939083193</v>
      </c>
      <c r="U147" s="273">
        <f t="shared" si="32"/>
        <v>0.89764587114066841</v>
      </c>
    </row>
    <row r="148" spans="2:21" x14ac:dyDescent="0.2">
      <c r="B148" s="250">
        <f t="shared" si="28"/>
        <v>46631</v>
      </c>
      <c r="C148" s="242">
        <f>INDEX('[9]Forward Price Curve'!$A:$IV,MATCH(B148,'[9]Forward Price Curve'!$D$1:$D$65536,FALSE),$C$226)</f>
        <v>4.4362891894661338</v>
      </c>
      <c r="D148" s="242">
        <f>INDEX('[9]Forward Price Curve'!$A:$IV,MATCH(B148,'[9]Forward Price Curve'!$D$1:$D$65536,FALSE),$D$226)</f>
        <v>4.6441116874556956</v>
      </c>
      <c r="E148" s="251">
        <f t="shared" si="26"/>
        <v>2027</v>
      </c>
      <c r="K148" s="35">
        <f t="shared" si="29"/>
        <v>9</v>
      </c>
      <c r="L148" s="274">
        <f t="shared" si="30"/>
        <v>2027</v>
      </c>
      <c r="M148" s="246">
        <f t="shared" si="27"/>
        <v>46631</v>
      </c>
      <c r="N148" s="247">
        <f>INDEX('[9]Forward Price Curve'!$A$1:$P$65536,MATCH($M148,'[9]Forward Price Curve'!$D$1:$D$65536,FALSE),N$226)</f>
        <v>54.088009999999997</v>
      </c>
      <c r="O148" s="247">
        <f>INDEX('[9]Forward Price Curve'!$A$1:$P$65536,MATCH($M148,'[9]Forward Price Curve'!$D$1:$D$65536,FALSE),O$226)</f>
        <v>52.305199999999999</v>
      </c>
      <c r="P148" s="247">
        <f>INDEX('[9]Forward Price Curve'!$A$1:$P$65536,MATCH($M148,'[9]Forward Price Curve'!$D$1:$D$65536,FALSE),P$226)</f>
        <v>43.553339999999999</v>
      </c>
      <c r="Q148" s="248">
        <f>INDEX('[9]Forward Price Curve'!$A$1:$P$65536,MATCH($M148,'[9]Forward Price Curve'!$D$1:$D$65536,FALSE),Q$226)</f>
        <v>45.3018</v>
      </c>
      <c r="S148" s="271">
        <f>INDEX('[9]Forward Price Curve'!$V:$V,MATCH($M148,'[9]Forward Price Curve'!$D:$D,FALSE),1)</f>
        <v>49.192577777777778</v>
      </c>
      <c r="T148" s="273">
        <f t="shared" si="31"/>
        <v>1.0632742247475455</v>
      </c>
      <c r="U148" s="273">
        <f t="shared" si="32"/>
        <v>0.92090721906556816</v>
      </c>
    </row>
    <row r="149" spans="2:21" x14ac:dyDescent="0.2">
      <c r="B149" s="250">
        <f t="shared" si="28"/>
        <v>46661</v>
      </c>
      <c r="C149" s="242">
        <f>INDEX('[9]Forward Price Curve'!$A:$IV,MATCH(B149,'[9]Forward Price Curve'!$D$1:$D$65536,FALSE),$C$226)</f>
        <v>4.5632489189466137</v>
      </c>
      <c r="D149" s="242">
        <f>INDEX('[9]Forward Price Curve'!$A:$IV,MATCH(B149,'[9]Forward Price Curve'!$D$1:$D$65536,FALSE),$D$226)</f>
        <v>4.7693349644050631</v>
      </c>
      <c r="E149" s="251">
        <f t="shared" si="26"/>
        <v>2027</v>
      </c>
      <c r="K149" s="35">
        <f t="shared" si="29"/>
        <v>10</v>
      </c>
      <c r="L149" s="274">
        <f t="shared" si="30"/>
        <v>2027</v>
      </c>
      <c r="M149" s="246">
        <f t="shared" si="27"/>
        <v>46661</v>
      </c>
      <c r="N149" s="247">
        <f>INDEX('[9]Forward Price Curve'!$A$1:$P$65536,MATCH($M149,'[9]Forward Price Curve'!$D$1:$D$65536,FALSE),N$226)</f>
        <v>47.68347</v>
      </c>
      <c r="O149" s="247">
        <f>INDEX('[9]Forward Price Curve'!$A$1:$P$65536,MATCH($M149,'[9]Forward Price Curve'!$D$1:$D$65536,FALSE),O$226)</f>
        <v>50.618270000000003</v>
      </c>
      <c r="P149" s="247">
        <f>INDEX('[9]Forward Price Curve'!$A$1:$P$65536,MATCH($M149,'[9]Forward Price Curve'!$D$1:$D$65536,FALSE),P$226)</f>
        <v>39.550710000000002</v>
      </c>
      <c r="Q149" s="248">
        <f>INDEX('[9]Forward Price Curve'!$A$1:$P$65536,MATCH($M149,'[9]Forward Price Curve'!$D$1:$D$65536,FALSE),Q$226)</f>
        <v>44.66957</v>
      </c>
      <c r="S149" s="271">
        <f>INDEX('[9]Forward Price Curve'!$V:$V,MATCH($M149,'[9]Forward Price Curve'!$D:$D,FALSE),1)</f>
        <v>47.995724838709677</v>
      </c>
      <c r="T149" s="273">
        <f t="shared" si="31"/>
        <v>1.0546412241945178</v>
      </c>
      <c r="U149" s="273">
        <f t="shared" si="32"/>
        <v>0.93069893516792868</v>
      </c>
    </row>
    <row r="150" spans="2:21" x14ac:dyDescent="0.2">
      <c r="B150" s="250">
        <f t="shared" si="28"/>
        <v>46692</v>
      </c>
      <c r="C150" s="242">
        <f>INDEX('[9]Forward Price Curve'!$A:$IV,MATCH(B150,'[9]Forward Price Curve'!$D$1:$D$65536,FALSE),$C$226)</f>
        <v>4.8472944154114153</v>
      </c>
      <c r="D150" s="242">
        <f>INDEX('[9]Forward Price Curve'!$A:$IV,MATCH(B150,'[9]Forward Price Curve'!$D$1:$D$65536,FALSE),$D$226)</f>
        <v>4.9849542781139231</v>
      </c>
      <c r="E150" s="251">
        <f t="shared" si="26"/>
        <v>2027</v>
      </c>
      <c r="K150" s="35">
        <f t="shared" si="29"/>
        <v>11</v>
      </c>
      <c r="L150" s="274">
        <f t="shared" si="30"/>
        <v>2027</v>
      </c>
      <c r="M150" s="246">
        <f t="shared" si="27"/>
        <v>46692</v>
      </c>
      <c r="N150" s="247">
        <f>INDEX('[9]Forward Price Curve'!$A$1:$P$65536,MATCH($M150,'[9]Forward Price Curve'!$D$1:$D$65536,FALSE),N$226)</f>
        <v>51.215339999999998</v>
      </c>
      <c r="O150" s="247">
        <f>INDEX('[9]Forward Price Curve'!$A$1:$P$65536,MATCH($M150,'[9]Forward Price Curve'!$D$1:$D$65536,FALSE),O$226)</f>
        <v>52.814079999999997</v>
      </c>
      <c r="P150" s="247">
        <f>INDEX('[9]Forward Price Curve'!$A$1:$P$65536,MATCH($M150,'[9]Forward Price Curve'!$D$1:$D$65536,FALSE),P$226)</f>
        <v>42.104759999999999</v>
      </c>
      <c r="Q150" s="248">
        <f>INDEX('[9]Forward Price Curve'!$A$1:$P$65536,MATCH($M150,'[9]Forward Price Curve'!$D$1:$D$65536,FALSE),Q$226)</f>
        <v>45.882890000000003</v>
      </c>
      <c r="S150" s="271">
        <f>INDEX('[9]Forward Price Curve'!$V:$V,MATCH($M150,'[9]Forward Price Curve'!$D:$D,FALSE),1)</f>
        <v>49.728210388349517</v>
      </c>
      <c r="T150" s="273">
        <f t="shared" si="31"/>
        <v>1.0620547087367826</v>
      </c>
      <c r="U150" s="273">
        <f t="shared" si="32"/>
        <v>0.92267326014108064</v>
      </c>
    </row>
    <row r="151" spans="2:21" x14ac:dyDescent="0.2">
      <c r="B151" s="252">
        <f t="shared" si="28"/>
        <v>46722</v>
      </c>
      <c r="C151" s="253">
        <f>INDEX('[9]Forward Price Curve'!$A:$IV,MATCH(B151,'[9]Forward Price Curve'!$D$1:$D$65536,FALSE),$C$226)</f>
        <v>5.1471202172353729</v>
      </c>
      <c r="D151" s="253">
        <f>INDEX('[9]Forward Price Curve'!$A:$IV,MATCH(B151,'[9]Forward Price Curve'!$D$1:$D$65536,FALSE),$D$226)</f>
        <v>5.3119175686075941</v>
      </c>
      <c r="E151" s="254">
        <f t="shared" si="26"/>
        <v>2027</v>
      </c>
      <c r="K151" s="35">
        <f t="shared" si="29"/>
        <v>12</v>
      </c>
      <c r="L151" s="274">
        <f t="shared" si="30"/>
        <v>2027</v>
      </c>
      <c r="M151" s="255">
        <f t="shared" si="27"/>
        <v>46722</v>
      </c>
      <c r="N151" s="256">
        <f>INDEX('[9]Forward Price Curve'!$A$1:$P$65536,MATCH($M151,'[9]Forward Price Curve'!$D$1:$D$65536,FALSE),N$226)</f>
        <v>53.493389999999998</v>
      </c>
      <c r="O151" s="256">
        <f>INDEX('[9]Forward Price Curve'!$A$1:$P$65536,MATCH($M151,'[9]Forward Price Curve'!$D$1:$D$65536,FALSE),O$226)</f>
        <v>54.486130000000003</v>
      </c>
      <c r="P151" s="256">
        <f>INDEX('[9]Forward Price Curve'!$A$1:$P$65536,MATCH($M151,'[9]Forward Price Curve'!$D$1:$D$65536,FALSE),P$226)</f>
        <v>44.214790000000001</v>
      </c>
      <c r="Q151" s="257">
        <f>INDEX('[9]Forward Price Curve'!$A$1:$P$65536,MATCH($M151,'[9]Forward Price Curve'!$D$1:$D$65536,FALSE),Q$226)</f>
        <v>47.874980000000001</v>
      </c>
      <c r="S151" s="271">
        <f>INDEX('[9]Forward Price Curve'!$V:$V,MATCH($M151,'[9]Forward Price Curve'!$D:$D,FALSE),1)</f>
        <v>51.571536989247313</v>
      </c>
      <c r="T151" s="273">
        <f t="shared" si="31"/>
        <v>1.0565155351363753</v>
      </c>
      <c r="U151" s="273">
        <f t="shared" si="32"/>
        <v>0.92832176031484104</v>
      </c>
    </row>
    <row r="152" spans="2:21" x14ac:dyDescent="0.2">
      <c r="B152" s="241">
        <f t="shared" si="28"/>
        <v>46753</v>
      </c>
      <c r="C152" s="242">
        <f>INDEX('[9]Forward Price Curve'!$A:$IV,MATCH(B152,'[9]Forward Price Curve'!$D$1:$D$65536,FALSE),$C$226)</f>
        <v>5.0830767701608774</v>
      </c>
      <c r="D152" s="242">
        <f>INDEX('[9]Forward Price Curve'!$A:$IV,MATCH(B152,'[9]Forward Price Curve'!$D$1:$D$65536,FALSE),$D$226)</f>
        <v>5.1579037731012649</v>
      </c>
      <c r="E152" s="243">
        <f t="shared" si="26"/>
        <v>2028</v>
      </c>
      <c r="K152" s="35">
        <f t="shared" si="29"/>
        <v>1</v>
      </c>
      <c r="L152" s="274">
        <f t="shared" si="30"/>
        <v>2028</v>
      </c>
      <c r="M152" s="246">
        <f t="shared" si="27"/>
        <v>46753</v>
      </c>
      <c r="N152" s="258">
        <f>INDEX('[9]Forward Price Curve'!$A$1:$P$65536,MATCH($M152,'[9]Forward Price Curve'!$D$1:$D$65536,FALSE),N$226)</f>
        <v>49.851909999999997</v>
      </c>
      <c r="O152" s="258">
        <f>INDEX('[9]Forward Price Curve'!$A$1:$P$65536,MATCH($M152,'[9]Forward Price Curve'!$D$1:$D$65536,FALSE),O$226)</f>
        <v>53.038879999999999</v>
      </c>
      <c r="P152" s="258">
        <f>INDEX('[9]Forward Price Curve'!$A$1:$P$65536,MATCH($M152,'[9]Forward Price Curve'!$D$1:$D$65536,FALSE),P$226)</f>
        <v>41.197290000000002</v>
      </c>
      <c r="Q152" s="259">
        <f>INDEX('[9]Forward Price Curve'!$A$1:$P$65536,MATCH($M152,'[9]Forward Price Curve'!$D$1:$D$65536,FALSE),Q$226)</f>
        <v>46.917079999999999</v>
      </c>
      <c r="S152" s="271">
        <f>INDEX('[9]Forward Price Curve'!$V:$V,MATCH($M152,'[9]Forward Price Curve'!$D:$D,FALSE),1)</f>
        <v>50.208370322580642</v>
      </c>
      <c r="T152" s="273">
        <f t="shared" si="31"/>
        <v>1.0563752549472087</v>
      </c>
      <c r="U152" s="273">
        <f t="shared" si="32"/>
        <v>0.93444737796836197</v>
      </c>
    </row>
    <row r="153" spans="2:21" x14ac:dyDescent="0.2">
      <c r="B153" s="250">
        <f t="shared" si="28"/>
        <v>46784</v>
      </c>
      <c r="C153" s="242">
        <f>INDEX('[9]Forward Price Curve'!$A:$IV,MATCH(B153,'[9]Forward Price Curve'!$D$1:$D$65536,FALSE),$C$226)</f>
        <v>5.1125879905728047</v>
      </c>
      <c r="D153" s="242">
        <f>INDEX('[9]Forward Price Curve'!$A:$IV,MATCH(B153,'[9]Forward Price Curve'!$D$1:$D$65536,FALSE),$D$226)</f>
        <v>5.1934533560506324</v>
      </c>
      <c r="E153" s="251">
        <f t="shared" si="26"/>
        <v>2028</v>
      </c>
      <c r="K153" s="35">
        <f t="shared" si="29"/>
        <v>2</v>
      </c>
      <c r="L153" s="274">
        <f t="shared" si="30"/>
        <v>2028</v>
      </c>
      <c r="M153" s="246">
        <f t="shared" si="27"/>
        <v>46784</v>
      </c>
      <c r="N153" s="247">
        <f>INDEX('[9]Forward Price Curve'!$A$1:$P$65536,MATCH($M153,'[9]Forward Price Curve'!$D$1:$D$65536,FALSE),N$226)</f>
        <v>52.593760000000003</v>
      </c>
      <c r="O153" s="247">
        <f>INDEX('[9]Forward Price Curve'!$A$1:$P$65536,MATCH($M153,'[9]Forward Price Curve'!$D$1:$D$65536,FALSE),O$226)</f>
        <v>53.55677</v>
      </c>
      <c r="P153" s="247">
        <f>INDEX('[9]Forward Price Curve'!$A$1:$P$65536,MATCH($M153,'[9]Forward Price Curve'!$D$1:$D$65536,FALSE),P$226)</f>
        <v>43.831859999999999</v>
      </c>
      <c r="Q153" s="248">
        <f>INDEX('[9]Forward Price Curve'!$A$1:$P$65536,MATCH($M153,'[9]Forward Price Curve'!$D$1:$D$65536,FALSE),Q$226)</f>
        <v>48.337159999999997</v>
      </c>
      <c r="S153" s="271">
        <f>INDEX('[9]Forward Price Curve'!$V:$V,MATCH($M153,'[9]Forward Price Curve'!$D:$D,FALSE),1)</f>
        <v>51.336935862068962</v>
      </c>
      <c r="T153" s="273">
        <f t="shared" si="31"/>
        <v>1.0432404875876355</v>
      </c>
      <c r="U153" s="273">
        <f t="shared" si="32"/>
        <v>0.94156690866535742</v>
      </c>
    </row>
    <row r="154" spans="2:21" x14ac:dyDescent="0.2">
      <c r="B154" s="250">
        <f t="shared" si="28"/>
        <v>46813</v>
      </c>
      <c r="C154" s="242">
        <f>INDEX('[9]Forward Price Curve'!$A:$IV,MATCH(B154,'[9]Forward Price Curve'!$D$1:$D$65536,FALSE),$C$226)</f>
        <v>4.7125470027666774</v>
      </c>
      <c r="D154" s="242">
        <f>INDEX('[9]Forward Price Curve'!$A:$IV,MATCH(B154,'[9]Forward Price Curve'!$D$1:$D$65536,FALSE),$D$226)</f>
        <v>4.9730356225822785</v>
      </c>
      <c r="E154" s="251">
        <f t="shared" si="26"/>
        <v>2028</v>
      </c>
      <c r="K154" s="35">
        <f t="shared" si="29"/>
        <v>3</v>
      </c>
      <c r="L154" s="274">
        <f t="shared" si="30"/>
        <v>2028</v>
      </c>
      <c r="M154" s="246">
        <f t="shared" si="27"/>
        <v>46813</v>
      </c>
      <c r="N154" s="247">
        <f>INDEX('[9]Forward Price Curve'!$A$1:$P$65536,MATCH($M154,'[9]Forward Price Curve'!$D$1:$D$65536,FALSE),N$226)</f>
        <v>45.469589999999997</v>
      </c>
      <c r="O154" s="247">
        <f>INDEX('[9]Forward Price Curve'!$A$1:$P$65536,MATCH($M154,'[9]Forward Price Curve'!$D$1:$D$65536,FALSE),O$226)</f>
        <v>49.889279999999999</v>
      </c>
      <c r="P154" s="247">
        <f>INDEX('[9]Forward Price Curve'!$A$1:$P$65536,MATCH($M154,'[9]Forward Price Curve'!$D$1:$D$65536,FALSE),P$226)</f>
        <v>38.855379999999997</v>
      </c>
      <c r="Q154" s="248">
        <f>INDEX('[9]Forward Price Curve'!$A$1:$P$65536,MATCH($M154,'[9]Forward Price Curve'!$D$1:$D$65536,FALSE),Q$226)</f>
        <v>45.393940000000001</v>
      </c>
      <c r="S154" s="271">
        <f>INDEX('[9]Forward Price Curve'!$V:$V,MATCH($M154,'[9]Forward Price Curve'!$D:$D,FALSE),1)</f>
        <v>48.007650471063258</v>
      </c>
      <c r="T154" s="273">
        <f t="shared" si="31"/>
        <v>1.039194368199104</v>
      </c>
      <c r="U154" s="273">
        <f t="shared" si="32"/>
        <v>0.94555637600638931</v>
      </c>
    </row>
    <row r="155" spans="2:21" x14ac:dyDescent="0.2">
      <c r="B155" s="250">
        <f t="shared" si="28"/>
        <v>46844</v>
      </c>
      <c r="C155" s="242">
        <f>INDEX('[9]Forward Price Curve'!$A:$IV,MATCH(B155,'[9]Forward Price Curve'!$D$1:$D$65536,FALSE),$C$226)</f>
        <v>4.4264521159954917</v>
      </c>
      <c r="D155" s="242">
        <f>INDEX('[9]Forward Price Curve'!$A:$IV,MATCH(B155,'[9]Forward Price Curve'!$D$1:$D$65536,FALSE),$D$226)</f>
        <v>4.809528179379746</v>
      </c>
      <c r="E155" s="251">
        <f t="shared" si="26"/>
        <v>2028</v>
      </c>
      <c r="K155" s="35">
        <f t="shared" si="29"/>
        <v>4</v>
      </c>
      <c r="L155" s="274">
        <f t="shared" si="30"/>
        <v>2028</v>
      </c>
      <c r="M155" s="246">
        <f t="shared" si="27"/>
        <v>46844</v>
      </c>
      <c r="N155" s="247">
        <f>INDEX('[9]Forward Price Curve'!$A$1:$P$65536,MATCH($M155,'[9]Forward Price Curve'!$D$1:$D$65536,FALSE),N$226)</f>
        <v>42.689869999999999</v>
      </c>
      <c r="O155" s="247">
        <f>INDEX('[9]Forward Price Curve'!$A$1:$P$65536,MATCH($M155,'[9]Forward Price Curve'!$D$1:$D$65536,FALSE),O$226)</f>
        <v>47.167499999999997</v>
      </c>
      <c r="P155" s="247">
        <f>INDEX('[9]Forward Price Curve'!$A$1:$P$65536,MATCH($M155,'[9]Forward Price Curve'!$D$1:$D$65536,FALSE),P$226)</f>
        <v>37.297699999999999</v>
      </c>
      <c r="Q155" s="248">
        <f>INDEX('[9]Forward Price Curve'!$A$1:$P$65536,MATCH($M155,'[9]Forward Price Curve'!$D$1:$D$65536,FALSE),Q$226)</f>
        <v>43.721200000000003</v>
      </c>
      <c r="S155" s="271">
        <f>INDEX('[9]Forward Price Curve'!$V:$V,MATCH($M155,'[9]Forward Price Curve'!$D:$D,FALSE),1)</f>
        <v>45.63581111111111</v>
      </c>
      <c r="T155" s="273">
        <f t="shared" si="31"/>
        <v>1.0335633102950581</v>
      </c>
      <c r="U155" s="273">
        <f t="shared" si="32"/>
        <v>0.95804586213117726</v>
      </c>
    </row>
    <row r="156" spans="2:21" x14ac:dyDescent="0.2">
      <c r="B156" s="250">
        <f t="shared" si="28"/>
        <v>46874</v>
      </c>
      <c r="C156" s="242">
        <f>INDEX('[9]Forward Price Curve'!$A:$IV,MATCH(B156,'[9]Forward Price Curve'!$D$1:$D$65536,FALSE),$C$226)</f>
        <v>4.5069931550363771</v>
      </c>
      <c r="D156" s="242">
        <f>INDEX('[9]Forward Price Curve'!$A:$IV,MATCH(B156,'[9]Forward Price Curve'!$D$1:$D$65536,FALSE),$D$226)</f>
        <v>4.695810790670885</v>
      </c>
      <c r="E156" s="251">
        <f t="shared" si="26"/>
        <v>2028</v>
      </c>
      <c r="K156" s="35">
        <f t="shared" si="29"/>
        <v>5</v>
      </c>
      <c r="L156" s="274">
        <f t="shared" si="30"/>
        <v>2028</v>
      </c>
      <c r="M156" s="246">
        <f t="shared" si="27"/>
        <v>46874</v>
      </c>
      <c r="N156" s="247">
        <f>INDEX('[9]Forward Price Curve'!$A$1:$P$65536,MATCH($M156,'[9]Forward Price Curve'!$D$1:$D$65536,FALSE),N$226)</f>
        <v>37.413490000000003</v>
      </c>
      <c r="O156" s="247">
        <f>INDEX('[9]Forward Price Curve'!$A$1:$P$65536,MATCH($M156,'[9]Forward Price Curve'!$D$1:$D$65536,FALSE),O$226)</f>
        <v>45.540999999999997</v>
      </c>
      <c r="P156" s="247">
        <f>INDEX('[9]Forward Price Curve'!$A$1:$P$65536,MATCH($M156,'[9]Forward Price Curve'!$D$1:$D$65536,FALSE),P$226)</f>
        <v>29.834019999999999</v>
      </c>
      <c r="Q156" s="248">
        <f>INDEX('[9]Forward Price Curve'!$A$1:$P$65536,MATCH($M156,'[9]Forward Price Curve'!$D$1:$D$65536,FALSE),Q$226)</f>
        <v>41.243000000000002</v>
      </c>
      <c r="S156" s="271">
        <f>INDEX('[9]Forward Price Curve'!$V:$V,MATCH($M156,'[9]Forward Price Curve'!$D:$D,FALSE),1)</f>
        <v>43.64618279569892</v>
      </c>
      <c r="T156" s="273">
        <f t="shared" si="31"/>
        <v>1.0434131253395154</v>
      </c>
      <c r="U156" s="273">
        <f t="shared" si="32"/>
        <v>0.94493945078890751</v>
      </c>
    </row>
    <row r="157" spans="2:21" x14ac:dyDescent="0.2">
      <c r="B157" s="250">
        <f t="shared" si="28"/>
        <v>46905</v>
      </c>
      <c r="C157" s="242">
        <f>INDEX('[9]Forward Price Curve'!$A:$IV,MATCH(B157,'[9]Forward Price Curve'!$D$1:$D$65536,FALSE),$C$226)</f>
        <v>4.4801461420227486</v>
      </c>
      <c r="D157" s="242">
        <f>INDEX('[9]Forward Price Curve'!$A:$IV,MATCH(B157,'[9]Forward Price Curve'!$D$1:$D$65536,FALSE),$D$226)</f>
        <v>4.695810790670885</v>
      </c>
      <c r="E157" s="251">
        <f t="shared" si="26"/>
        <v>2028</v>
      </c>
      <c r="K157" s="35">
        <f t="shared" si="29"/>
        <v>6</v>
      </c>
      <c r="L157" s="274">
        <f t="shared" si="30"/>
        <v>2028</v>
      </c>
      <c r="M157" s="246">
        <f t="shared" si="27"/>
        <v>46905</v>
      </c>
      <c r="N157" s="247">
        <f>INDEX('[9]Forward Price Curve'!$A$1:$P$65536,MATCH($M157,'[9]Forward Price Curve'!$D$1:$D$65536,FALSE),N$226)</f>
        <v>43.539610000000003</v>
      </c>
      <c r="O157" s="247">
        <f>INDEX('[9]Forward Price Curve'!$A$1:$P$65536,MATCH($M157,'[9]Forward Price Curve'!$D$1:$D$65536,FALSE),O$226)</f>
        <v>49.731340000000003</v>
      </c>
      <c r="P157" s="247">
        <f>INDEX('[9]Forward Price Curve'!$A$1:$P$65536,MATCH($M157,'[9]Forward Price Curve'!$D$1:$D$65536,FALSE),P$226)</f>
        <v>32.959670000000003</v>
      </c>
      <c r="Q157" s="248">
        <f>INDEX('[9]Forward Price Curve'!$A$1:$P$65536,MATCH($M157,'[9]Forward Price Curve'!$D$1:$D$65536,FALSE),Q$226)</f>
        <v>43.084060000000001</v>
      </c>
      <c r="S157" s="271">
        <f>INDEX('[9]Forward Price Curve'!$V:$V,MATCH($M157,'[9]Forward Price Curve'!$D:$D,FALSE),1)</f>
        <v>46.92471066666667</v>
      </c>
      <c r="T157" s="273">
        <f t="shared" si="31"/>
        <v>1.0598113295417086</v>
      </c>
      <c r="U157" s="273">
        <f t="shared" si="32"/>
        <v>0.91815291746924066</v>
      </c>
    </row>
    <row r="158" spans="2:21" x14ac:dyDescent="0.2">
      <c r="B158" s="250">
        <f t="shared" si="28"/>
        <v>46935</v>
      </c>
      <c r="C158" s="242">
        <f>INDEX('[9]Forward Price Curve'!$A:$IV,MATCH(B158,'[9]Forward Price Curve'!$D$1:$D$65536,FALSE),$C$226)</f>
        <v>4.5571007480274623</v>
      </c>
      <c r="D158" s="242">
        <f>INDEX('[9]Forward Price Curve'!$A:$IV,MATCH(B158,'[9]Forward Price Curve'!$D$1:$D$65536,FALSE),$D$226)</f>
        <v>4.7526694850253159</v>
      </c>
      <c r="E158" s="251">
        <f t="shared" si="26"/>
        <v>2028</v>
      </c>
      <c r="K158" s="35">
        <f t="shared" si="29"/>
        <v>7</v>
      </c>
      <c r="L158" s="274">
        <f t="shared" si="30"/>
        <v>2028</v>
      </c>
      <c r="M158" s="246">
        <f t="shared" si="27"/>
        <v>46935</v>
      </c>
      <c r="N158" s="247">
        <f>INDEX('[9]Forward Price Curve'!$A$1:$P$65536,MATCH($M158,'[9]Forward Price Curve'!$D$1:$D$65536,FALSE),N$226)</f>
        <v>48.295969999999997</v>
      </c>
      <c r="O158" s="247">
        <f>INDEX('[9]Forward Price Curve'!$A$1:$P$65536,MATCH($M158,'[9]Forward Price Curve'!$D$1:$D$65536,FALSE),O$226)</f>
        <v>54.426690000000001</v>
      </c>
      <c r="P158" s="247">
        <f>INDEX('[9]Forward Price Curve'!$A$1:$P$65536,MATCH($M158,'[9]Forward Price Curve'!$D$1:$D$65536,FALSE),P$226)</f>
        <v>38.889220000000002</v>
      </c>
      <c r="Q158" s="248">
        <f>INDEX('[9]Forward Price Curve'!$A$1:$P$65536,MATCH($M158,'[9]Forward Price Curve'!$D$1:$D$65536,FALSE),Q$226)</f>
        <v>46.40372</v>
      </c>
      <c r="S158" s="271">
        <f>INDEX('[9]Forward Price Curve'!$V:$V,MATCH($M158,'[9]Forward Price Curve'!$D:$D,FALSE),1)</f>
        <v>50.717144731182799</v>
      </c>
      <c r="T158" s="273">
        <f t="shared" si="31"/>
        <v>1.0731418396772725</v>
      </c>
      <c r="U158" s="273">
        <f t="shared" si="32"/>
        <v>0.91495134921247367</v>
      </c>
    </row>
    <row r="159" spans="2:21" x14ac:dyDescent="0.2">
      <c r="B159" s="250">
        <f t="shared" si="28"/>
        <v>46966</v>
      </c>
      <c r="C159" s="242">
        <f>INDEX('[9]Forward Price Curve'!$A:$IV,MATCH(B159,'[9]Forward Price Curve'!$D$1:$D$65536,FALSE),$C$226)</f>
        <v>4.6700221539092119</v>
      </c>
      <c r="D159" s="242">
        <f>INDEX('[9]Forward Price Curve'!$A:$IV,MATCH(B159,'[9]Forward Price Curve'!$D$1:$D$65536,FALSE),$D$226)</f>
        <v>4.8877475810506326</v>
      </c>
      <c r="E159" s="251">
        <f t="shared" si="26"/>
        <v>2028</v>
      </c>
      <c r="K159" s="35">
        <f t="shared" si="29"/>
        <v>8</v>
      </c>
      <c r="L159" s="274">
        <f t="shared" si="30"/>
        <v>2028</v>
      </c>
      <c r="M159" s="246">
        <f t="shared" si="27"/>
        <v>46966</v>
      </c>
      <c r="N159" s="247">
        <f>INDEX('[9]Forward Price Curve'!$A$1:$P$65536,MATCH($M159,'[9]Forward Price Curve'!$D$1:$D$65536,FALSE),N$226)</f>
        <v>54.377920000000003</v>
      </c>
      <c r="O159" s="247">
        <f>INDEX('[9]Forward Price Curve'!$A$1:$P$65536,MATCH($M159,'[9]Forward Price Curve'!$D$1:$D$65536,FALSE),O$226)</f>
        <v>57.257280000000002</v>
      </c>
      <c r="P159" s="247">
        <f>INDEX('[9]Forward Price Curve'!$A$1:$P$65536,MATCH($M159,'[9]Forward Price Curve'!$D$1:$D$65536,FALSE),P$226)</f>
        <v>41.659669999999998</v>
      </c>
      <c r="Q159" s="248">
        <f>INDEX('[9]Forward Price Curve'!$A$1:$P$65536,MATCH($M159,'[9]Forward Price Curve'!$D$1:$D$65536,FALSE),Q$226)</f>
        <v>47.468269999999997</v>
      </c>
      <c r="S159" s="271">
        <f>INDEX('[9]Forward Price Curve'!$V:$V,MATCH($M159,'[9]Forward Price Curve'!$D:$D,FALSE),1)</f>
        <v>53.152211290322583</v>
      </c>
      <c r="T159" s="273">
        <f t="shared" si="31"/>
        <v>1.0772323222312452</v>
      </c>
      <c r="U159" s="273">
        <f t="shared" si="32"/>
        <v>0.89306293844904505</v>
      </c>
    </row>
    <row r="160" spans="2:21" x14ac:dyDescent="0.2">
      <c r="B160" s="250">
        <f t="shared" si="28"/>
        <v>46997</v>
      </c>
      <c r="C160" s="242">
        <f>INDEX('[9]Forward Price Curve'!$A:$IV,MATCH(B160,'[9]Forward Price Curve'!$D$1:$D$65536,FALSE),$C$226)</f>
        <v>4.6648986781432527</v>
      </c>
      <c r="D160" s="242">
        <f>INDEX('[9]Forward Price Curve'!$A:$IV,MATCH(B160,'[9]Forward Price Curve'!$D$1:$D$65536,FALSE),$D$226)</f>
        <v>4.8806273452784801</v>
      </c>
      <c r="E160" s="251">
        <f t="shared" si="26"/>
        <v>2028</v>
      </c>
      <c r="K160" s="35">
        <f t="shared" si="29"/>
        <v>9</v>
      </c>
      <c r="L160" s="274">
        <f t="shared" si="30"/>
        <v>2028</v>
      </c>
      <c r="M160" s="246">
        <f t="shared" si="27"/>
        <v>46997</v>
      </c>
      <c r="N160" s="247">
        <f>INDEX('[9]Forward Price Curve'!$A$1:$P$65536,MATCH($M160,'[9]Forward Price Curve'!$D$1:$D$65536,FALSE),N$226)</f>
        <v>55.757129999999997</v>
      </c>
      <c r="O160" s="247">
        <f>INDEX('[9]Forward Price Curve'!$A$1:$P$65536,MATCH($M160,'[9]Forward Price Curve'!$D$1:$D$65536,FALSE),O$226)</f>
        <v>53.127630000000003</v>
      </c>
      <c r="P160" s="247">
        <f>INDEX('[9]Forward Price Curve'!$A$1:$P$65536,MATCH($M160,'[9]Forward Price Curve'!$D$1:$D$65536,FALSE),P$226)</f>
        <v>45.033360000000002</v>
      </c>
      <c r="Q160" s="248">
        <f>INDEX('[9]Forward Price Curve'!$A$1:$P$65536,MATCH($M160,'[9]Forward Price Curve'!$D$1:$D$65536,FALSE),Q$226)</f>
        <v>46.54213</v>
      </c>
      <c r="S160" s="271">
        <f>INDEX('[9]Forward Price Curve'!$V:$V,MATCH($M160,'[9]Forward Price Curve'!$D:$D,FALSE),1)</f>
        <v>50.200741111111114</v>
      </c>
      <c r="T160" s="273">
        <f t="shared" si="31"/>
        <v>1.058303698792229</v>
      </c>
      <c r="U160" s="273">
        <f t="shared" si="32"/>
        <v>0.92712037650971368</v>
      </c>
    </row>
    <row r="161" spans="2:21" x14ac:dyDescent="0.2">
      <c r="B161" s="250">
        <f t="shared" si="28"/>
        <v>47027</v>
      </c>
      <c r="C161" s="242">
        <f>INDEX('[9]Forward Price Curve'!$A:$IV,MATCH(B161,'[9]Forward Price Curve'!$D$1:$D$65536,FALSE),$C$226)</f>
        <v>4.7663434983092534</v>
      </c>
      <c r="D161" s="242">
        <f>INDEX('[9]Forward Price Curve'!$A:$IV,MATCH(B161,'[9]Forward Price Curve'!$D$1:$D$65536,FALSE),$D$226)</f>
        <v>4.9659669827215174</v>
      </c>
      <c r="E161" s="251">
        <f t="shared" si="26"/>
        <v>2028</v>
      </c>
      <c r="K161" s="35">
        <f t="shared" si="29"/>
        <v>10</v>
      </c>
      <c r="L161" s="274">
        <f t="shared" si="30"/>
        <v>2028</v>
      </c>
      <c r="M161" s="246">
        <f t="shared" si="27"/>
        <v>47027</v>
      </c>
      <c r="N161" s="247">
        <f>INDEX('[9]Forward Price Curve'!$A$1:$P$65536,MATCH($M161,'[9]Forward Price Curve'!$D$1:$D$65536,FALSE),N$226)</f>
        <v>49.691519999999997</v>
      </c>
      <c r="O161" s="247">
        <f>INDEX('[9]Forward Price Curve'!$A$1:$P$65536,MATCH($M161,'[9]Forward Price Curve'!$D$1:$D$65536,FALSE),O$226)</f>
        <v>51.758580000000002</v>
      </c>
      <c r="P161" s="247">
        <f>INDEX('[9]Forward Price Curve'!$A$1:$P$65536,MATCH($M161,'[9]Forward Price Curve'!$D$1:$D$65536,FALSE),P$226)</f>
        <v>40.911900000000003</v>
      </c>
      <c r="Q161" s="248">
        <f>INDEX('[9]Forward Price Curve'!$A$1:$P$65536,MATCH($M161,'[9]Forward Price Curve'!$D$1:$D$65536,FALSE),Q$226)</f>
        <v>45.716299999999997</v>
      </c>
      <c r="S161" s="271">
        <f>INDEX('[9]Forward Price Curve'!$V:$V,MATCH($M161,'[9]Forward Price Curve'!$D:$D,FALSE),1)</f>
        <v>49.094779139784947</v>
      </c>
      <c r="T161" s="273">
        <f t="shared" si="31"/>
        <v>1.0542583326962436</v>
      </c>
      <c r="U161" s="273">
        <f t="shared" si="32"/>
        <v>0.93118455365354458</v>
      </c>
    </row>
    <row r="162" spans="2:21" x14ac:dyDescent="0.2">
      <c r="B162" s="250">
        <f t="shared" si="28"/>
        <v>47058</v>
      </c>
      <c r="C162" s="242">
        <f>INDEX('[9]Forward Price Curve'!$A:$IV,MATCH(B162,'[9]Forward Price Curve'!$D$1:$D$65536,FALSE),$C$226)</f>
        <v>5.0125777436212724</v>
      </c>
      <c r="D162" s="242">
        <f>INDEX('[9]Forward Price Curve'!$A:$IV,MATCH(B162,'[9]Forward Price Curve'!$D$1:$D$65536,FALSE),$D$226)</f>
        <v>5.2148140633670881</v>
      </c>
      <c r="E162" s="251">
        <f t="shared" si="26"/>
        <v>2028</v>
      </c>
      <c r="K162" s="35">
        <f t="shared" si="29"/>
        <v>11</v>
      </c>
      <c r="L162" s="274">
        <f t="shared" si="30"/>
        <v>2028</v>
      </c>
      <c r="M162" s="246">
        <f t="shared" si="27"/>
        <v>47058</v>
      </c>
      <c r="N162" s="247">
        <f>INDEX('[9]Forward Price Curve'!$A$1:$P$65536,MATCH($M162,'[9]Forward Price Curve'!$D$1:$D$65536,FALSE),N$226)</f>
        <v>52.414929999999998</v>
      </c>
      <c r="O162" s="247">
        <f>INDEX('[9]Forward Price Curve'!$A$1:$P$65536,MATCH($M162,'[9]Forward Price Curve'!$D$1:$D$65536,FALSE),O$226)</f>
        <v>53.893230000000003</v>
      </c>
      <c r="P162" s="247">
        <f>INDEX('[9]Forward Price Curve'!$A$1:$P$65536,MATCH($M162,'[9]Forward Price Curve'!$D$1:$D$65536,FALSE),P$226)</f>
        <v>42.373640000000002</v>
      </c>
      <c r="Q162" s="248">
        <f>INDEX('[9]Forward Price Curve'!$A$1:$P$65536,MATCH($M162,'[9]Forward Price Curve'!$D$1:$D$65536,FALSE),Q$226)</f>
        <v>46.535130000000002</v>
      </c>
      <c r="S162" s="271">
        <f>INDEX('[9]Forward Price Curve'!$V:$V,MATCH($M162,'[9]Forward Price Curve'!$D:$D,FALSE),1)</f>
        <v>50.617293661581144</v>
      </c>
      <c r="T162" s="273">
        <f t="shared" si="31"/>
        <v>1.0647197054888242</v>
      </c>
      <c r="U162" s="273">
        <f t="shared" si="32"/>
        <v>0.91935239191423757</v>
      </c>
    </row>
    <row r="163" spans="2:21" x14ac:dyDescent="0.2">
      <c r="B163" s="252">
        <f t="shared" si="28"/>
        <v>47088</v>
      </c>
      <c r="C163" s="253">
        <f>INDEX('[9]Forward Price Curve'!$A:$IV,MATCH(B163,'[9]Forward Price Curve'!$D$1:$D$65536,FALSE),$C$226)</f>
        <v>5.3053331488882058</v>
      </c>
      <c r="D163" s="253">
        <f>INDEX('[9]Forward Price Curve'!$A:$IV,MATCH(B163,'[9]Forward Price Curve'!$D$1:$D$65536,FALSE),$D$226)</f>
        <v>5.4564893123291132</v>
      </c>
      <c r="E163" s="254">
        <f t="shared" si="26"/>
        <v>2028</v>
      </c>
      <c r="K163" s="35">
        <f t="shared" si="29"/>
        <v>12</v>
      </c>
      <c r="L163" s="274">
        <f t="shared" si="30"/>
        <v>2028</v>
      </c>
      <c r="M163" s="255">
        <f t="shared" si="27"/>
        <v>47088</v>
      </c>
      <c r="N163" s="256">
        <f>INDEX('[9]Forward Price Curve'!$A$1:$P$65536,MATCH($M163,'[9]Forward Price Curve'!$D$1:$D$65536,FALSE),N$226)</f>
        <v>54.888620000000003</v>
      </c>
      <c r="O163" s="256">
        <f>INDEX('[9]Forward Price Curve'!$A$1:$P$65536,MATCH($M163,'[9]Forward Price Curve'!$D$1:$D$65536,FALSE),O$226)</f>
        <v>55.700209999999998</v>
      </c>
      <c r="P163" s="256">
        <f>INDEX('[9]Forward Price Curve'!$A$1:$P$65536,MATCH($M163,'[9]Forward Price Curve'!$D$1:$D$65536,FALSE),P$226)</f>
        <v>45.494239999999998</v>
      </c>
      <c r="Q163" s="257">
        <f>INDEX('[9]Forward Price Curve'!$A$1:$P$65536,MATCH($M163,'[9]Forward Price Curve'!$D$1:$D$65536,FALSE),Q$226)</f>
        <v>49.313189999999999</v>
      </c>
      <c r="S163" s="271">
        <f>INDEX('[9]Forward Price Curve'!$V:$V,MATCH($M163,'[9]Forward Price Curve'!$D:$D,FALSE),1)</f>
        <v>52.747071720430107</v>
      </c>
      <c r="T163" s="273">
        <f t="shared" si="31"/>
        <v>1.0559867720282579</v>
      </c>
      <c r="U163" s="273">
        <f t="shared" si="32"/>
        <v>0.93489910229272333</v>
      </c>
    </row>
    <row r="164" spans="2:21" x14ac:dyDescent="0.2">
      <c r="B164" s="241">
        <f t="shared" si="28"/>
        <v>47119</v>
      </c>
      <c r="C164" s="242">
        <f>INDEX('[9]Forward Price Curve'!$A:$IV,MATCH(B164,'[9]Forward Price Curve'!$D$1:$D$65536,FALSE),$C$226)</f>
        <v>5.4502250435495441</v>
      </c>
      <c r="D164" s="242">
        <f>INDEX('[9]Forward Price Curve'!$A:$IV,MATCH(B164,'[9]Forward Price Curve'!$D$1:$D$65536,FALSE),$D$226)</f>
        <v>5.5195911119620247</v>
      </c>
      <c r="E164" s="243">
        <f t="shared" si="26"/>
        <v>2029</v>
      </c>
      <c r="K164" s="35">
        <f t="shared" si="29"/>
        <v>1</v>
      </c>
      <c r="L164" s="274">
        <f t="shared" si="30"/>
        <v>2029</v>
      </c>
      <c r="M164" s="246">
        <f t="shared" si="27"/>
        <v>47119</v>
      </c>
      <c r="N164" s="258">
        <f>INDEX('[9]Forward Price Curve'!$A$1:$P$65536,MATCH($M164,'[9]Forward Price Curve'!$D$1:$D$65536,FALSE),N$226)</f>
        <v>53.110799999999998</v>
      </c>
      <c r="O164" s="258">
        <f>INDEX('[9]Forward Price Curve'!$A$1:$P$65536,MATCH($M164,'[9]Forward Price Curve'!$D$1:$D$65536,FALSE),O$226)</f>
        <v>55.746229999999997</v>
      </c>
      <c r="P164" s="258">
        <f>INDEX('[9]Forward Price Curve'!$A$1:$P$65536,MATCH($M164,'[9]Forward Price Curve'!$D$1:$D$65536,FALSE),P$226)</f>
        <v>43.296120000000002</v>
      </c>
      <c r="Q164" s="259">
        <f>INDEX('[9]Forward Price Curve'!$A$1:$P$65536,MATCH($M164,'[9]Forward Price Curve'!$D$1:$D$65536,FALSE),Q$226)</f>
        <v>48.964979999999997</v>
      </c>
      <c r="S164" s="271">
        <f>INDEX('[9]Forward Price Curve'!$V:$V,MATCH($M164,'[9]Forward Price Curve'!$D:$D,FALSE),1)</f>
        <v>52.756646666666661</v>
      </c>
      <c r="T164" s="273">
        <f t="shared" si="31"/>
        <v>1.0566674252861914</v>
      </c>
      <c r="U164" s="273">
        <f t="shared" si="32"/>
        <v>0.92812911914922069</v>
      </c>
    </row>
    <row r="165" spans="2:21" x14ac:dyDescent="0.2">
      <c r="B165" s="250">
        <f t="shared" si="28"/>
        <v>47150</v>
      </c>
      <c r="C165" s="242">
        <f>INDEX('[9]Forward Price Curve'!$A:$IV,MATCH(B165,'[9]Forward Price Curve'!$D$1:$D$65536,FALSE),$C$226)</f>
        <v>5.4799412029921104</v>
      </c>
      <c r="D165" s="242">
        <f>INDEX('[9]Forward Price Curve'!$A:$IV,MATCH(B165,'[9]Forward Price Curve'!$D$1:$D$65536,FALSE),$D$226)</f>
        <v>5.5631380611772148</v>
      </c>
      <c r="E165" s="251">
        <f t="shared" si="26"/>
        <v>2029</v>
      </c>
      <c r="K165" s="35">
        <f t="shared" si="29"/>
        <v>2</v>
      </c>
      <c r="L165" s="274">
        <f t="shared" si="30"/>
        <v>2029</v>
      </c>
      <c r="M165" s="246">
        <f t="shared" si="27"/>
        <v>47150</v>
      </c>
      <c r="N165" s="247">
        <f>INDEX('[9]Forward Price Curve'!$A$1:$P$65536,MATCH($M165,'[9]Forward Price Curve'!$D$1:$D$65536,FALSE),N$226)</f>
        <v>56.161639999999998</v>
      </c>
      <c r="O165" s="247">
        <f>INDEX('[9]Forward Price Curve'!$A$1:$P$65536,MATCH($M165,'[9]Forward Price Curve'!$D$1:$D$65536,FALSE),O$226)</f>
        <v>55.973129999999998</v>
      </c>
      <c r="P165" s="247">
        <f>INDEX('[9]Forward Price Curve'!$A$1:$P$65536,MATCH($M165,'[9]Forward Price Curve'!$D$1:$D$65536,FALSE),P$226)</f>
        <v>46.431959999999997</v>
      </c>
      <c r="Q165" s="248">
        <f>INDEX('[9]Forward Price Curve'!$A$1:$P$65536,MATCH($M165,'[9]Forward Price Curve'!$D$1:$D$65536,FALSE),Q$226)</f>
        <v>50.546759999999999</v>
      </c>
      <c r="S165" s="271">
        <f>INDEX('[9]Forward Price Curve'!$V:$V,MATCH($M165,'[9]Forward Price Curve'!$D:$D,FALSE),1)</f>
        <v>53.647542857142845</v>
      </c>
      <c r="T165" s="273">
        <f t="shared" si="31"/>
        <v>1.0433493692162177</v>
      </c>
      <c r="U165" s="273">
        <f t="shared" si="32"/>
        <v>0.94220084104504342</v>
      </c>
    </row>
    <row r="166" spans="2:21" x14ac:dyDescent="0.2">
      <c r="B166" s="250">
        <f t="shared" si="28"/>
        <v>47178</v>
      </c>
      <c r="C166" s="242">
        <f>INDEX('[9]Forward Price Curve'!$A:$IV,MATCH(B166,'[9]Forward Price Curve'!$D$1:$D$65536,FALSE),$C$226)</f>
        <v>5.0613532329132083</v>
      </c>
      <c r="D166" s="242">
        <f>INDEX('[9]Forward Price Curve'!$A:$IV,MATCH(B166,'[9]Forward Price Curve'!$D$1:$D$65536,FALSE),$D$226)</f>
        <v>5.3309048639999999</v>
      </c>
      <c r="E166" s="251">
        <f t="shared" si="26"/>
        <v>2029</v>
      </c>
      <c r="K166" s="35">
        <f t="shared" si="29"/>
        <v>3</v>
      </c>
      <c r="L166" s="274">
        <f t="shared" si="30"/>
        <v>2029</v>
      </c>
      <c r="M166" s="246">
        <f t="shared" si="27"/>
        <v>47178</v>
      </c>
      <c r="N166" s="247">
        <f>INDEX('[9]Forward Price Curve'!$A$1:$P$65536,MATCH($M166,'[9]Forward Price Curve'!$D$1:$D$65536,FALSE),N$226)</f>
        <v>48.867319999999999</v>
      </c>
      <c r="O166" s="247">
        <f>INDEX('[9]Forward Price Curve'!$A$1:$P$65536,MATCH($M166,'[9]Forward Price Curve'!$D$1:$D$65536,FALSE),O$226)</f>
        <v>52.017890000000001</v>
      </c>
      <c r="P166" s="247">
        <f>INDEX('[9]Forward Price Curve'!$A$1:$P$65536,MATCH($M166,'[9]Forward Price Curve'!$D$1:$D$65536,FALSE),P$226)</f>
        <v>41.345649999999999</v>
      </c>
      <c r="Q166" s="248">
        <f>INDEX('[9]Forward Price Curve'!$A$1:$P$65536,MATCH($M166,'[9]Forward Price Curve'!$D$1:$D$65536,FALSE),Q$226)</f>
        <v>47.588970000000003</v>
      </c>
      <c r="S166" s="271">
        <f>INDEX('[9]Forward Price Curve'!$V:$V,MATCH($M166,'[9]Forward Price Curve'!$D:$D,FALSE),1)</f>
        <v>50.164062113055181</v>
      </c>
      <c r="T166" s="273">
        <f t="shared" si="31"/>
        <v>1.0369552984518444</v>
      </c>
      <c r="U166" s="273">
        <f t="shared" si="32"/>
        <v>0.94866659507653761</v>
      </c>
    </row>
    <row r="167" spans="2:21" x14ac:dyDescent="0.2">
      <c r="B167" s="250">
        <f t="shared" si="28"/>
        <v>47209</v>
      </c>
      <c r="C167" s="242">
        <f>INDEX('[9]Forward Price Curve'!$A:$IV,MATCH(B167,'[9]Forward Price Curve'!$D$1:$D$65536,FALSE),$C$226)</f>
        <v>4.6705345014858084</v>
      </c>
      <c r="D167" s="242">
        <f>INDEX('[9]Forward Price Curve'!$A:$IV,MATCH(B167,'[9]Forward Price Curve'!$D$1:$D$65536,FALSE),$D$226)</f>
        <v>5.0767950003924041</v>
      </c>
      <c r="E167" s="251">
        <f t="shared" si="26"/>
        <v>2029</v>
      </c>
      <c r="K167" s="35">
        <f t="shared" si="29"/>
        <v>4</v>
      </c>
      <c r="L167" s="274">
        <f t="shared" si="30"/>
        <v>2029</v>
      </c>
      <c r="M167" s="246">
        <f t="shared" si="27"/>
        <v>47209</v>
      </c>
      <c r="N167" s="247">
        <f>INDEX('[9]Forward Price Curve'!$A$1:$P$65536,MATCH($M167,'[9]Forward Price Curve'!$D$1:$D$65536,FALSE),N$226)</f>
        <v>45.942810000000001</v>
      </c>
      <c r="O167" s="247">
        <f>INDEX('[9]Forward Price Curve'!$A$1:$P$65536,MATCH($M167,'[9]Forward Price Curve'!$D$1:$D$65536,FALSE),O$226)</f>
        <v>49.208309999999997</v>
      </c>
      <c r="P167" s="247">
        <f>INDEX('[9]Forward Price Curve'!$A$1:$P$65536,MATCH($M167,'[9]Forward Price Curve'!$D$1:$D$65536,FALSE),P$226)</f>
        <v>39.969180000000001</v>
      </c>
      <c r="Q167" s="248">
        <f>INDEX('[9]Forward Price Curve'!$A$1:$P$65536,MATCH($M167,'[9]Forward Price Curve'!$D$1:$D$65536,FALSE),Q$226)</f>
        <v>45.46725</v>
      </c>
      <c r="S167" s="271">
        <f>INDEX('[9]Forward Price Curve'!$V:$V,MATCH($M167,'[9]Forward Price Curve'!$D:$D,FALSE),1)</f>
        <v>47.545616666666668</v>
      </c>
      <c r="T167" s="273">
        <f t="shared" si="31"/>
        <v>1.0349704862383038</v>
      </c>
      <c r="U167" s="273">
        <f t="shared" si="32"/>
        <v>0.95628689220212026</v>
      </c>
    </row>
    <row r="168" spans="2:21" x14ac:dyDescent="0.2">
      <c r="B168" s="250">
        <f t="shared" si="28"/>
        <v>47239</v>
      </c>
      <c r="C168" s="242">
        <f>INDEX('[9]Forward Price Curve'!$A:$IV,MATCH(B168,'[9]Forward Price Curve'!$D$1:$D$65536,FALSE),$C$226)</f>
        <v>4.6054663592581209</v>
      </c>
      <c r="D168" s="242">
        <f>INDEX('[9]Forward Price Curve'!$A:$IV,MATCH(B168,'[9]Forward Price Curve'!$D$1:$D$65536,FALSE),$D$226)</f>
        <v>4.7937398304936698</v>
      </c>
      <c r="E168" s="251">
        <f t="shared" si="26"/>
        <v>2029</v>
      </c>
      <c r="K168" s="35">
        <f t="shared" si="29"/>
        <v>5</v>
      </c>
      <c r="L168" s="274">
        <f t="shared" si="30"/>
        <v>2029</v>
      </c>
      <c r="M168" s="246">
        <f t="shared" si="27"/>
        <v>47239</v>
      </c>
      <c r="N168" s="247">
        <f>INDEX('[9]Forward Price Curve'!$A$1:$P$65536,MATCH($M168,'[9]Forward Price Curve'!$D$1:$D$65536,FALSE),N$226)</f>
        <v>39.187690000000003</v>
      </c>
      <c r="O168" s="247">
        <f>INDEX('[9]Forward Price Curve'!$A$1:$P$65536,MATCH($M168,'[9]Forward Price Curve'!$D$1:$D$65536,FALSE),O$226)</f>
        <v>46.268630000000002</v>
      </c>
      <c r="P168" s="247">
        <f>INDEX('[9]Forward Price Curve'!$A$1:$P$65536,MATCH($M168,'[9]Forward Price Curve'!$D$1:$D$65536,FALSE),P$226)</f>
        <v>31.757819999999999</v>
      </c>
      <c r="Q168" s="248">
        <f>INDEX('[9]Forward Price Curve'!$A$1:$P$65536,MATCH($M168,'[9]Forward Price Curve'!$D$1:$D$65536,FALSE),Q$226)</f>
        <v>42.352879999999999</v>
      </c>
      <c r="S168" s="271">
        <f>INDEX('[9]Forward Price Curve'!$V:$V,MATCH($M168,'[9]Forward Price Curve'!$D:$D,FALSE),1)</f>
        <v>44.542331612903226</v>
      </c>
      <c r="T168" s="273">
        <f t="shared" si="31"/>
        <v>1.0387563543394907</v>
      </c>
      <c r="U168" s="273">
        <f t="shared" si="32"/>
        <v>0.95084559937430446</v>
      </c>
    </row>
    <row r="169" spans="2:21" x14ac:dyDescent="0.2">
      <c r="B169" s="250">
        <f t="shared" si="28"/>
        <v>47270</v>
      </c>
      <c r="C169" s="242">
        <f>INDEX('[9]Forward Price Curve'!$A:$IV,MATCH(B169,'[9]Forward Price Curve'!$D$1:$D$65536,FALSE),$C$226)</f>
        <v>4.5782094681832159</v>
      </c>
      <c r="D169" s="242">
        <f>INDEX('[9]Forward Price Curve'!$A:$IV,MATCH(B169,'[9]Forward Price Curve'!$D$1:$D$65536,FALSE),$D$226)</f>
        <v>4.8009632580886077</v>
      </c>
      <c r="E169" s="251">
        <f t="shared" si="26"/>
        <v>2029</v>
      </c>
      <c r="K169" s="35">
        <f t="shared" si="29"/>
        <v>6</v>
      </c>
      <c r="L169" s="274">
        <f t="shared" si="30"/>
        <v>2029</v>
      </c>
      <c r="M169" s="246">
        <f t="shared" si="27"/>
        <v>47270</v>
      </c>
      <c r="N169" s="247">
        <f>INDEX('[9]Forward Price Curve'!$A$1:$P$65536,MATCH($M169,'[9]Forward Price Curve'!$D$1:$D$65536,FALSE),N$226)</f>
        <v>43.054020000000001</v>
      </c>
      <c r="O169" s="247">
        <f>INDEX('[9]Forward Price Curve'!$A$1:$P$65536,MATCH($M169,'[9]Forward Price Curve'!$D$1:$D$65536,FALSE),O$226)</f>
        <v>49.2104</v>
      </c>
      <c r="P169" s="247">
        <f>INDEX('[9]Forward Price Curve'!$A$1:$P$65536,MATCH($M169,'[9]Forward Price Curve'!$D$1:$D$65536,FALSE),P$226)</f>
        <v>33.292929999999998</v>
      </c>
      <c r="Q169" s="248">
        <f>INDEX('[9]Forward Price Curve'!$A$1:$P$65536,MATCH($M169,'[9]Forward Price Curve'!$D$1:$D$65536,FALSE),Q$226)</f>
        <v>43.35127</v>
      </c>
      <c r="S169" s="271">
        <f>INDEX('[9]Forward Price Curve'!$V:$V,MATCH($M169,'[9]Forward Price Curve'!$D:$D,FALSE),1)</f>
        <v>46.736545111111113</v>
      </c>
      <c r="T169" s="273">
        <f t="shared" si="31"/>
        <v>1.0529319161912281</v>
      </c>
      <c r="U169" s="273">
        <f t="shared" si="32"/>
        <v>0.92756685152779295</v>
      </c>
    </row>
    <row r="170" spans="2:21" x14ac:dyDescent="0.2">
      <c r="B170" s="250">
        <f t="shared" si="28"/>
        <v>47300</v>
      </c>
      <c r="C170" s="242">
        <f>INDEX('[9]Forward Price Curve'!$A:$IV,MATCH(B170,'[9]Forward Price Curve'!$D$1:$D$65536,FALSE),$C$226)</f>
        <v>4.6131515729070598</v>
      </c>
      <c r="D170" s="242">
        <f>INDEX('[9]Forward Price Curve'!$A:$IV,MATCH(B170,'[9]Forward Price Curve'!$D$1:$D$65536,FALSE),$D$226)</f>
        <v>4.8010148539999991</v>
      </c>
      <c r="E170" s="251">
        <f t="shared" si="26"/>
        <v>2029</v>
      </c>
      <c r="K170" s="35">
        <f t="shared" si="29"/>
        <v>7</v>
      </c>
      <c r="L170" s="274">
        <f t="shared" si="30"/>
        <v>2029</v>
      </c>
      <c r="M170" s="246">
        <f t="shared" si="27"/>
        <v>47300</v>
      </c>
      <c r="N170" s="247">
        <f>INDEX('[9]Forward Price Curve'!$A$1:$P$65536,MATCH($M170,'[9]Forward Price Curve'!$D$1:$D$65536,FALSE),N$226)</f>
        <v>48.92257</v>
      </c>
      <c r="O170" s="247">
        <f>INDEX('[9]Forward Price Curve'!$A$1:$P$65536,MATCH($M170,'[9]Forward Price Curve'!$D$1:$D$65536,FALSE),O$226)</f>
        <v>54.797600000000003</v>
      </c>
      <c r="P170" s="247">
        <f>INDEX('[9]Forward Price Curve'!$A$1:$P$65536,MATCH($M170,'[9]Forward Price Curve'!$D$1:$D$65536,FALSE),P$226)</f>
        <v>39.30048</v>
      </c>
      <c r="Q170" s="248">
        <f>INDEX('[9]Forward Price Curve'!$A$1:$P$65536,MATCH($M170,'[9]Forward Price Curve'!$D$1:$D$65536,FALSE),Q$226)</f>
        <v>46.882820000000002</v>
      </c>
      <c r="S170" s="271">
        <f>INDEX('[9]Forward Price Curve'!$V:$V,MATCH($M170,'[9]Forward Price Curve'!$D:$D,FALSE),1)</f>
        <v>51.138078064516129</v>
      </c>
      <c r="T170" s="273">
        <f t="shared" si="31"/>
        <v>1.0715615852998424</v>
      </c>
      <c r="U170" s="273">
        <f t="shared" si="32"/>
        <v>0.91678885430250889</v>
      </c>
    </row>
    <row r="171" spans="2:21" x14ac:dyDescent="0.2">
      <c r="B171" s="250">
        <f t="shared" si="28"/>
        <v>47331</v>
      </c>
      <c r="C171" s="242">
        <f>INDEX('[9]Forward Price Curve'!$A:$IV,MATCH(B171,'[9]Forward Price Curve'!$D$1:$D$65536,FALSE),$C$226)</f>
        <v>4.7285322471564717</v>
      </c>
      <c r="D171" s="242">
        <f>INDEX('[9]Forward Price Curve'!$A:$IV,MATCH(B171,'[9]Forward Price Curve'!$D$1:$D$65536,FALSE),$D$226)</f>
        <v>4.953429176253163</v>
      </c>
      <c r="E171" s="251">
        <f t="shared" si="26"/>
        <v>2029</v>
      </c>
      <c r="K171" s="35">
        <f t="shared" si="29"/>
        <v>8</v>
      </c>
      <c r="L171" s="274">
        <f t="shared" si="30"/>
        <v>2029</v>
      </c>
      <c r="M171" s="246">
        <f t="shared" si="27"/>
        <v>47331</v>
      </c>
      <c r="N171" s="247">
        <f>INDEX('[9]Forward Price Curve'!$A$1:$P$65536,MATCH($M171,'[9]Forward Price Curve'!$D$1:$D$65536,FALSE),N$226)</f>
        <v>56.260109999999997</v>
      </c>
      <c r="O171" s="247">
        <f>INDEX('[9]Forward Price Curve'!$A$1:$P$65536,MATCH($M171,'[9]Forward Price Curve'!$D$1:$D$65536,FALSE),O$226)</f>
        <v>58.088749999999997</v>
      </c>
      <c r="P171" s="247">
        <f>INDEX('[9]Forward Price Curve'!$A$1:$P$65536,MATCH($M171,'[9]Forward Price Curve'!$D$1:$D$65536,FALSE),P$226)</f>
        <v>42.762419999999999</v>
      </c>
      <c r="Q171" s="248">
        <f>INDEX('[9]Forward Price Curve'!$A$1:$P$65536,MATCH($M171,'[9]Forward Price Curve'!$D$1:$D$65536,FALSE),Q$226)</f>
        <v>48.352609999999999</v>
      </c>
      <c r="S171" s="271">
        <f>INDEX('[9]Forward Price Curve'!$V:$V,MATCH($M171,'[9]Forward Price Curve'!$D:$D,FALSE),1)</f>
        <v>54.005852580645161</v>
      </c>
      <c r="T171" s="273">
        <f t="shared" si="31"/>
        <v>1.0756010177463262</v>
      </c>
      <c r="U171" s="273">
        <f t="shared" si="32"/>
        <v>0.89532166773585586</v>
      </c>
    </row>
    <row r="172" spans="2:21" x14ac:dyDescent="0.2">
      <c r="B172" s="250">
        <f t="shared" si="28"/>
        <v>47362</v>
      </c>
      <c r="C172" s="242">
        <f>INDEX('[9]Forward Price Curve'!$A:$IV,MATCH(B172,'[9]Forward Price Curve'!$D$1:$D$65536,FALSE),$C$226)</f>
        <v>4.6657184342658065</v>
      </c>
      <c r="D172" s="242">
        <f>INDEX('[9]Forward Price Curve'!$A:$IV,MATCH(B172,'[9]Forward Price Curve'!$D$1:$D$65536,FALSE),$D$226)</f>
        <v>4.8735587054177207</v>
      </c>
      <c r="E172" s="251">
        <f t="shared" si="26"/>
        <v>2029</v>
      </c>
      <c r="K172" s="35">
        <f t="shared" si="29"/>
        <v>9</v>
      </c>
      <c r="L172" s="274">
        <f t="shared" si="30"/>
        <v>2029</v>
      </c>
      <c r="M172" s="246">
        <f t="shared" si="27"/>
        <v>47362</v>
      </c>
      <c r="N172" s="247">
        <f>INDEX('[9]Forward Price Curve'!$A$1:$P$65536,MATCH($M172,'[9]Forward Price Curve'!$D$1:$D$65536,FALSE),N$226)</f>
        <v>56.660209999999999</v>
      </c>
      <c r="O172" s="247">
        <f>INDEX('[9]Forward Price Curve'!$A$1:$P$65536,MATCH($M172,'[9]Forward Price Curve'!$D$1:$D$65536,FALSE),O$226)</f>
        <v>54.352429999999998</v>
      </c>
      <c r="P172" s="247">
        <f>INDEX('[9]Forward Price Curve'!$A$1:$P$65536,MATCH($M172,'[9]Forward Price Curve'!$D$1:$D$65536,FALSE),P$226)</f>
        <v>45.967750000000002</v>
      </c>
      <c r="Q172" s="248">
        <f>INDEX('[9]Forward Price Curve'!$A$1:$P$65536,MATCH($M172,'[9]Forward Price Curve'!$D$1:$D$65536,FALSE),Q$226)</f>
        <v>47.289250000000003</v>
      </c>
      <c r="S172" s="271">
        <f>INDEX('[9]Forward Price Curve'!$V:$V,MATCH($M172,'[9]Forward Price Curve'!$D:$D,FALSE),1)</f>
        <v>51.056279333333336</v>
      </c>
      <c r="T172" s="273">
        <f t="shared" si="31"/>
        <v>1.0645591631373477</v>
      </c>
      <c r="U172" s="273">
        <f t="shared" si="32"/>
        <v>0.92621809927160248</v>
      </c>
    </row>
    <row r="173" spans="2:21" x14ac:dyDescent="0.2">
      <c r="B173" s="250">
        <f t="shared" si="28"/>
        <v>47392</v>
      </c>
      <c r="C173" s="242">
        <f>INDEX('[9]Forward Price Curve'!$A:$IV,MATCH(B173,'[9]Forward Price Curve'!$D$1:$D$65536,FALSE),$C$226)</f>
        <v>4.7692126447381904</v>
      </c>
      <c r="D173" s="242">
        <f>INDEX('[9]Forward Price Curve'!$A:$IV,MATCH(B173,'[9]Forward Price Curve'!$D$1:$D$65536,FALSE),$D$226)</f>
        <v>4.9679276273544293</v>
      </c>
      <c r="E173" s="251">
        <f t="shared" si="26"/>
        <v>2029</v>
      </c>
      <c r="K173" s="35">
        <f t="shared" si="29"/>
        <v>10</v>
      </c>
      <c r="L173" s="274">
        <f t="shared" si="30"/>
        <v>2029</v>
      </c>
      <c r="M173" s="246">
        <f t="shared" si="27"/>
        <v>47392</v>
      </c>
      <c r="N173" s="247">
        <f>INDEX('[9]Forward Price Curve'!$A$1:$P$65536,MATCH($M173,'[9]Forward Price Curve'!$D$1:$D$65536,FALSE),N$226)</f>
        <v>49.080150000000003</v>
      </c>
      <c r="O173" s="247">
        <f>INDEX('[9]Forward Price Curve'!$A$1:$P$65536,MATCH($M173,'[9]Forward Price Curve'!$D$1:$D$65536,FALSE),O$226)</f>
        <v>51.854230000000001</v>
      </c>
      <c r="P173" s="247">
        <f>INDEX('[9]Forward Price Curve'!$A$1:$P$65536,MATCH($M173,'[9]Forward Price Curve'!$D$1:$D$65536,FALSE),P$226)</f>
        <v>40.36486</v>
      </c>
      <c r="Q173" s="248">
        <f>INDEX('[9]Forward Price Curve'!$A$1:$P$65536,MATCH($M173,'[9]Forward Price Curve'!$D$1:$D$65536,FALSE),Q$226)</f>
        <v>45.455440000000003</v>
      </c>
      <c r="S173" s="271">
        <f>INDEX('[9]Forward Price Curve'!$V:$V,MATCH($M173,'[9]Forward Price Curve'!$D:$D,FALSE),1)</f>
        <v>49.170866451612902</v>
      </c>
      <c r="T173" s="273">
        <f t="shared" si="31"/>
        <v>1.0545722242057234</v>
      </c>
      <c r="U173" s="273">
        <f t="shared" si="32"/>
        <v>0.92443845879207553</v>
      </c>
    </row>
    <row r="174" spans="2:21" x14ac:dyDescent="0.2">
      <c r="B174" s="250">
        <f t="shared" si="28"/>
        <v>47423</v>
      </c>
      <c r="C174" s="242">
        <f>INDEX('[9]Forward Price Curve'!$A:$IV,MATCH(B174,'[9]Forward Price Curve'!$D$1:$D$65536,FALSE),$C$226)</f>
        <v>5.076723660211087</v>
      </c>
      <c r="D174" s="242">
        <f>INDEX('[9]Forward Price Curve'!$A:$IV,MATCH(B174,'[9]Forward Price Curve'!$D$1:$D$65536,FALSE),$D$226)</f>
        <v>5.2219858950506319</v>
      </c>
      <c r="E174" s="251">
        <f t="shared" si="26"/>
        <v>2029</v>
      </c>
      <c r="K174" s="35">
        <f t="shared" si="29"/>
        <v>11</v>
      </c>
      <c r="L174" s="274">
        <f t="shared" si="30"/>
        <v>2029</v>
      </c>
      <c r="M174" s="246">
        <f t="shared" si="27"/>
        <v>47423</v>
      </c>
      <c r="N174" s="247">
        <f>INDEX('[9]Forward Price Curve'!$A$1:$P$65536,MATCH($M174,'[9]Forward Price Curve'!$D$1:$D$65536,FALSE),N$226)</f>
        <v>51.081040000000002</v>
      </c>
      <c r="O174" s="247">
        <f>INDEX('[9]Forward Price Curve'!$A$1:$P$65536,MATCH($M174,'[9]Forward Price Curve'!$D$1:$D$65536,FALSE),O$226)</f>
        <v>54.196840000000002</v>
      </c>
      <c r="P174" s="247">
        <f>INDEX('[9]Forward Price Curve'!$A$1:$P$65536,MATCH($M174,'[9]Forward Price Curve'!$D$1:$D$65536,FALSE),P$226)</f>
        <v>42.047750000000001</v>
      </c>
      <c r="Q174" s="248">
        <f>INDEX('[9]Forward Price Curve'!$A$1:$P$65536,MATCH($M174,'[9]Forward Price Curve'!$D$1:$D$65536,FALSE),Q$226)</f>
        <v>46.99926</v>
      </c>
      <c r="S174" s="271">
        <f>INDEX('[9]Forward Price Curve'!$V:$V,MATCH($M174,'[9]Forward Price Curve'!$D:$D,FALSE),1)</f>
        <v>50.99236957004161</v>
      </c>
      <c r="T174" s="273">
        <f t="shared" si="31"/>
        <v>1.0628421557377683</v>
      </c>
      <c r="U174" s="273">
        <f t="shared" si="32"/>
        <v>0.92169201777225129</v>
      </c>
    </row>
    <row r="175" spans="2:21" x14ac:dyDescent="0.2">
      <c r="B175" s="252">
        <f t="shared" si="28"/>
        <v>47453</v>
      </c>
      <c r="C175" s="253">
        <f>INDEX('[9]Forward Price Curve'!$A:$IV,MATCH(B175,'[9]Forward Price Curve'!$D$1:$D$65536,FALSE),$C$226)</f>
        <v>5.3037961061584182</v>
      </c>
      <c r="D175" s="253">
        <f>INDEX('[9]Forward Price Curve'!$A:$IV,MATCH(B175,'[9]Forward Price Curve'!$D$1:$D$65536,FALSE),$D$226)</f>
        <v>5.4760441627468337</v>
      </c>
      <c r="E175" s="254">
        <f t="shared" si="26"/>
        <v>2029</v>
      </c>
      <c r="K175" s="35">
        <f t="shared" si="29"/>
        <v>12</v>
      </c>
      <c r="L175" s="274">
        <f t="shared" si="30"/>
        <v>2029</v>
      </c>
      <c r="M175" s="255">
        <f t="shared" si="27"/>
        <v>47453</v>
      </c>
      <c r="N175" s="256">
        <f>INDEX('[9]Forward Price Curve'!$A$1:$P$65536,MATCH($M175,'[9]Forward Price Curve'!$D$1:$D$65536,FALSE),N$226)</f>
        <v>54.863109999999999</v>
      </c>
      <c r="O175" s="256">
        <f>INDEX('[9]Forward Price Curve'!$A$1:$P$65536,MATCH($M175,'[9]Forward Price Curve'!$D$1:$D$65536,FALSE),O$226)</f>
        <v>55.642589999999998</v>
      </c>
      <c r="P175" s="256">
        <f>INDEX('[9]Forward Price Curve'!$A$1:$P$65536,MATCH($M175,'[9]Forward Price Curve'!$D$1:$D$65536,FALSE),P$226)</f>
        <v>45.871850000000002</v>
      </c>
      <c r="Q175" s="257">
        <f>INDEX('[9]Forward Price Curve'!$A$1:$P$65536,MATCH($M175,'[9]Forward Price Curve'!$D$1:$D$65536,FALSE),Q$226)</f>
        <v>49.197119999999998</v>
      </c>
      <c r="S175" s="271">
        <f>INDEX('[9]Forward Price Curve'!$V:$V,MATCH($M175,'[9]Forward Price Curve'!$D:$D,FALSE),1)</f>
        <v>52.662426451612902</v>
      </c>
      <c r="T175" s="273">
        <f t="shared" si="31"/>
        <v>1.0565899399095353</v>
      </c>
      <c r="U175" s="273">
        <f t="shared" si="32"/>
        <v>0.93419774429123803</v>
      </c>
    </row>
    <row r="176" spans="2:21" x14ac:dyDescent="0.2">
      <c r="B176" s="241">
        <f t="shared" si="28"/>
        <v>47484</v>
      </c>
      <c r="C176" s="242">
        <f>INDEX('[9]Forward Price Curve'!$A:$IV,MATCH(B176,'[9]Forward Price Curve'!$D$1:$D$65536,FALSE),$C$226)</f>
        <v>5.5121166308023364</v>
      </c>
      <c r="D176" s="242">
        <f>INDEX('[9]Forward Price Curve'!$A:$IV,MATCH(B176,'[9]Forward Price Curve'!$D$1:$D$65536,FALSE),$D$226)</f>
        <v>5.6180877068101251</v>
      </c>
      <c r="E176" s="243">
        <f t="shared" si="26"/>
        <v>2030</v>
      </c>
      <c r="K176" s="35">
        <f t="shared" si="29"/>
        <v>1</v>
      </c>
      <c r="L176" s="274">
        <f t="shared" si="30"/>
        <v>2030</v>
      </c>
      <c r="M176" s="246">
        <f t="shared" si="27"/>
        <v>47484</v>
      </c>
      <c r="N176" s="258">
        <f>INDEX('[9]Forward Price Curve'!$A$1:$P$65536,MATCH($M176,'[9]Forward Price Curve'!$D$1:$D$65536,FALSE),N$226)</f>
        <v>53.495829999999998</v>
      </c>
      <c r="O176" s="258">
        <f>INDEX('[9]Forward Price Curve'!$A$1:$P$65536,MATCH($M176,'[9]Forward Price Curve'!$D$1:$D$65536,FALSE),O$226)</f>
        <v>55.788249999999998</v>
      </c>
      <c r="P176" s="258">
        <f>INDEX('[9]Forward Price Curve'!$A$1:$P$65536,MATCH($M176,'[9]Forward Price Curve'!$D$1:$D$65536,FALSE),P$226)</f>
        <v>43.601039999999998</v>
      </c>
      <c r="Q176" s="259">
        <f>INDEX('[9]Forward Price Curve'!$A$1:$P$65536,MATCH($M176,'[9]Forward Price Curve'!$D$1:$D$65536,FALSE),Q$226)</f>
        <v>49.404380000000003</v>
      </c>
      <c r="S176" s="271">
        <f>INDEX('[9]Forward Price Curve'!$V:$V,MATCH($M176,'[9]Forward Price Curve'!$D:$D,FALSE),1)</f>
        <v>52.97385569892473</v>
      </c>
      <c r="T176" s="273">
        <f t="shared" si="31"/>
        <v>1.0531279867010397</v>
      </c>
      <c r="U176" s="273">
        <f t="shared" si="32"/>
        <v>0.9326181632084376</v>
      </c>
    </row>
    <row r="177" spans="2:21" x14ac:dyDescent="0.2">
      <c r="B177" s="250">
        <f t="shared" si="28"/>
        <v>47515</v>
      </c>
      <c r="C177" s="242">
        <f>INDEX('[9]Forward Price Curve'!$A:$IV,MATCH(B177,'[9]Forward Price Curve'!$D$1:$D$65536,FALSE),$C$226)</f>
        <v>5.5716514192027873</v>
      </c>
      <c r="D177" s="242">
        <f>INDEX('[9]Forward Price Curve'!$A:$IV,MATCH(B177,'[9]Forward Price Curve'!$D$1:$D$65536,FALSE),$D$226)</f>
        <v>5.6477553558607587</v>
      </c>
      <c r="E177" s="251">
        <f t="shared" si="26"/>
        <v>2030</v>
      </c>
      <c r="K177" s="35">
        <f t="shared" si="29"/>
        <v>2</v>
      </c>
      <c r="L177" s="274">
        <f t="shared" si="30"/>
        <v>2030</v>
      </c>
      <c r="M177" s="246">
        <f t="shared" si="27"/>
        <v>47515</v>
      </c>
      <c r="N177" s="247">
        <f>INDEX('[9]Forward Price Curve'!$A$1:$P$65536,MATCH($M177,'[9]Forward Price Curve'!$D$1:$D$65536,FALSE),N$226)</f>
        <v>57.690069999999999</v>
      </c>
      <c r="O177" s="247">
        <f>INDEX('[9]Forward Price Curve'!$A$1:$P$65536,MATCH($M177,'[9]Forward Price Curve'!$D$1:$D$65536,FALSE),O$226)</f>
        <v>55.948529999999998</v>
      </c>
      <c r="P177" s="247">
        <f>INDEX('[9]Forward Price Curve'!$A$1:$P$65536,MATCH($M177,'[9]Forward Price Curve'!$D$1:$D$65536,FALSE),P$226)</f>
        <v>46.932090000000002</v>
      </c>
      <c r="Q177" s="248">
        <f>INDEX('[9]Forward Price Curve'!$A$1:$P$65536,MATCH($M177,'[9]Forward Price Curve'!$D$1:$D$65536,FALSE),Q$226)</f>
        <v>50.59883</v>
      </c>
      <c r="S177" s="271">
        <f>INDEX('[9]Forward Price Curve'!$V:$V,MATCH($M177,'[9]Forward Price Curve'!$D:$D,FALSE),1)</f>
        <v>53.655801428571422</v>
      </c>
      <c r="T177" s="273">
        <f t="shared" si="31"/>
        <v>1.0427303014843743</v>
      </c>
      <c r="U177" s="273">
        <f t="shared" si="32"/>
        <v>0.94302626468750117</v>
      </c>
    </row>
    <row r="178" spans="2:21" x14ac:dyDescent="0.2">
      <c r="B178" s="250">
        <f t="shared" si="28"/>
        <v>47543</v>
      </c>
      <c r="C178" s="242">
        <f>INDEX('[9]Forward Price Curve'!$A:$IV,MATCH(B178,'[9]Forward Price Curve'!$D$1:$D$65536,FALSE),$C$226)</f>
        <v>5.1925142125217754</v>
      </c>
      <c r="D178" s="242">
        <f>INDEX('[9]Forward Price Curve'!$A:$IV,MATCH(B178,'[9]Forward Price Curve'!$D$1:$D$65536,FALSE),$D$226)</f>
        <v>5.4845574881265815</v>
      </c>
      <c r="E178" s="251">
        <f t="shared" si="26"/>
        <v>2030</v>
      </c>
      <c r="K178" s="35">
        <f t="shared" si="29"/>
        <v>3</v>
      </c>
      <c r="L178" s="274">
        <f t="shared" si="30"/>
        <v>2030</v>
      </c>
      <c r="M178" s="246">
        <f t="shared" si="27"/>
        <v>47543</v>
      </c>
      <c r="N178" s="247">
        <f>INDEX('[9]Forward Price Curve'!$A$1:$P$65536,MATCH($M178,'[9]Forward Price Curve'!$D$1:$D$65536,FALSE),N$226)</f>
        <v>49.698450000000001</v>
      </c>
      <c r="O178" s="247">
        <f>INDEX('[9]Forward Price Curve'!$A$1:$P$65536,MATCH($M178,'[9]Forward Price Curve'!$D$1:$D$65536,FALSE),O$226)</f>
        <v>52.822609999999997</v>
      </c>
      <c r="P178" s="247">
        <f>INDEX('[9]Forward Price Curve'!$A$1:$P$65536,MATCH($M178,'[9]Forward Price Curve'!$D$1:$D$65536,FALSE),P$226)</f>
        <v>42.7667</v>
      </c>
      <c r="Q178" s="248">
        <f>INDEX('[9]Forward Price Curve'!$A$1:$P$65536,MATCH($M178,'[9]Forward Price Curve'!$D$1:$D$65536,FALSE),Q$226)</f>
        <v>48.61251</v>
      </c>
      <c r="S178" s="271">
        <f>INDEX('[9]Forward Price Curve'!$V:$V,MATCH($M178,'[9]Forward Price Curve'!$D:$D,FALSE),1)</f>
        <v>50.969712691790036</v>
      </c>
      <c r="T178" s="273">
        <f t="shared" si="31"/>
        <v>1.0363529086266248</v>
      </c>
      <c r="U178" s="273">
        <f t="shared" si="32"/>
        <v>0.95375287465236736</v>
      </c>
    </row>
    <row r="179" spans="2:21" x14ac:dyDescent="0.2">
      <c r="B179" s="250">
        <f t="shared" si="28"/>
        <v>47574</v>
      </c>
      <c r="C179" s="242">
        <f>INDEX('[9]Forward Price Curve'!$A:$IV,MATCH(B179,'[9]Forward Price Curve'!$D$1:$D$65536,FALSE),$C$226)</f>
        <v>4.8248535915565114</v>
      </c>
      <c r="D179" s="242">
        <f>INDEX('[9]Forward Price Curve'!$A:$IV,MATCH(B179,'[9]Forward Price Curve'!$D$1:$D$65536,FALSE),$D$226)</f>
        <v>5.2323050773291131</v>
      </c>
      <c r="E179" s="251">
        <f t="shared" si="26"/>
        <v>2030</v>
      </c>
      <c r="K179" s="35">
        <f t="shared" si="29"/>
        <v>4</v>
      </c>
      <c r="L179" s="274">
        <f t="shared" si="30"/>
        <v>2030</v>
      </c>
      <c r="M179" s="246">
        <f t="shared" si="27"/>
        <v>47574</v>
      </c>
      <c r="N179" s="247">
        <f>INDEX('[9]Forward Price Curve'!$A$1:$P$65536,MATCH($M179,'[9]Forward Price Curve'!$D$1:$D$65536,FALSE),N$226)</f>
        <v>46.971080000000001</v>
      </c>
      <c r="O179" s="247">
        <f>INDEX('[9]Forward Price Curve'!$A$1:$P$65536,MATCH($M179,'[9]Forward Price Curve'!$D$1:$D$65536,FALSE),O$226)</f>
        <v>49.819519999999997</v>
      </c>
      <c r="P179" s="247">
        <f>INDEX('[9]Forward Price Curve'!$A$1:$P$65536,MATCH($M179,'[9]Forward Price Curve'!$D$1:$D$65536,FALSE),P$226)</f>
        <v>40.861339999999998</v>
      </c>
      <c r="Q179" s="248">
        <f>INDEX('[9]Forward Price Curve'!$A$1:$P$65536,MATCH($M179,'[9]Forward Price Curve'!$D$1:$D$65536,FALSE),Q$226)</f>
        <v>46.960450000000002</v>
      </c>
      <c r="S179" s="271">
        <f>INDEX('[9]Forward Price Curve'!$V:$V,MATCH($M179,'[9]Forward Price Curve'!$D:$D,FALSE),1)</f>
        <v>48.612357111111109</v>
      </c>
      <c r="T179" s="273">
        <f t="shared" si="31"/>
        <v>1.0248324286380464</v>
      </c>
      <c r="U179" s="273">
        <f t="shared" si="32"/>
        <v>0.96601878186372625</v>
      </c>
    </row>
    <row r="180" spans="2:21" x14ac:dyDescent="0.2">
      <c r="B180" s="250">
        <f t="shared" si="28"/>
        <v>47604</v>
      </c>
      <c r="C180" s="242">
        <f>INDEX('[9]Forward Price Curve'!$A:$IV,MATCH(B180,'[9]Forward Price Curve'!$D$1:$D$65536,FALSE),$C$226)</f>
        <v>4.9170761553437856</v>
      </c>
      <c r="D180" s="242">
        <f>INDEX('[9]Forward Price Curve'!$A:$IV,MATCH(B180,'[9]Forward Price Curve'!$D$1:$D$65536,FALSE),$D$226)</f>
        <v>5.1507319414177211</v>
      </c>
      <c r="E180" s="251">
        <f t="shared" si="26"/>
        <v>2030</v>
      </c>
      <c r="K180" s="35">
        <f t="shared" si="29"/>
        <v>5</v>
      </c>
      <c r="L180" s="274">
        <f t="shared" si="30"/>
        <v>2030</v>
      </c>
      <c r="M180" s="246">
        <f t="shared" si="27"/>
        <v>47604</v>
      </c>
      <c r="N180" s="247">
        <f>INDEX('[9]Forward Price Curve'!$A$1:$P$65536,MATCH($M180,'[9]Forward Price Curve'!$D$1:$D$65536,FALSE),N$226)</f>
        <v>39.700060000000001</v>
      </c>
      <c r="O180" s="247">
        <f>INDEX('[9]Forward Price Curve'!$A$1:$P$65536,MATCH($M180,'[9]Forward Price Curve'!$D$1:$D$65536,FALSE),O$226)</f>
        <v>47.000999999999998</v>
      </c>
      <c r="P180" s="247">
        <f>INDEX('[9]Forward Price Curve'!$A$1:$P$65536,MATCH($M180,'[9]Forward Price Curve'!$D$1:$D$65536,FALSE),P$226)</f>
        <v>31.9313</v>
      </c>
      <c r="Q180" s="248">
        <f>INDEX('[9]Forward Price Curve'!$A$1:$P$65536,MATCH($M180,'[9]Forward Price Curve'!$D$1:$D$65536,FALSE),Q$226)</f>
        <v>43.539290000000001</v>
      </c>
      <c r="S180" s="271">
        <f>INDEX('[9]Forward Price Curve'!$V:$V,MATCH($M180,'[9]Forward Price Curve'!$D:$D,FALSE),1)</f>
        <v>45.474869784946236</v>
      </c>
      <c r="T180" s="273">
        <f t="shared" si="31"/>
        <v>1.0335598589346366</v>
      </c>
      <c r="U180" s="273">
        <f t="shared" si="32"/>
        <v>0.95743627647314389</v>
      </c>
    </row>
    <row r="181" spans="2:21" x14ac:dyDescent="0.2">
      <c r="B181" s="250">
        <f t="shared" si="28"/>
        <v>47635</v>
      </c>
      <c r="C181" s="242">
        <f>INDEX('[9]Forward Price Curve'!$A:$IV,MATCH(B181,'[9]Forward Price Curve'!$D$1:$D$65536,FALSE),$C$226)</f>
        <v>4.8895118557229225</v>
      </c>
      <c r="D181" s="242">
        <f>INDEX('[9]Forward Price Curve'!$A:$IV,MATCH(B181,'[9]Forward Price Curve'!$D$1:$D$65536,FALSE),$D$226)</f>
        <v>5.1581101567468348</v>
      </c>
      <c r="E181" s="251">
        <f t="shared" si="26"/>
        <v>2030</v>
      </c>
      <c r="K181" s="35">
        <f t="shared" si="29"/>
        <v>6</v>
      </c>
      <c r="L181" s="274">
        <f t="shared" si="30"/>
        <v>2030</v>
      </c>
      <c r="M181" s="246">
        <f t="shared" si="27"/>
        <v>47635</v>
      </c>
      <c r="N181" s="247">
        <f>INDEX('[9]Forward Price Curve'!$A$1:$P$65536,MATCH($M181,'[9]Forward Price Curve'!$D$1:$D$65536,FALSE),N$226)</f>
        <v>44.941200000000002</v>
      </c>
      <c r="O181" s="247">
        <f>INDEX('[9]Forward Price Curve'!$A$1:$P$65536,MATCH($M181,'[9]Forward Price Curve'!$D$1:$D$65536,FALSE),O$226)</f>
        <v>51.022939999999998</v>
      </c>
      <c r="P181" s="247">
        <f>INDEX('[9]Forward Price Curve'!$A$1:$P$65536,MATCH($M181,'[9]Forward Price Curve'!$D$1:$D$65536,FALSE),P$226)</f>
        <v>35.045760000000001</v>
      </c>
      <c r="Q181" s="248">
        <f>INDEX('[9]Forward Price Curve'!$A$1:$P$65536,MATCH($M181,'[9]Forward Price Curve'!$D$1:$D$65536,FALSE),Q$226)</f>
        <v>45.229039999999998</v>
      </c>
      <c r="S181" s="271">
        <f>INDEX('[9]Forward Price Curve'!$V:$V,MATCH($M181,'[9]Forward Price Curve'!$D:$D,FALSE),1)</f>
        <v>48.447873333333334</v>
      </c>
      <c r="T181" s="273">
        <f t="shared" si="31"/>
        <v>1.0531512838334425</v>
      </c>
      <c r="U181" s="273">
        <f t="shared" si="32"/>
        <v>0.93356089520819685</v>
      </c>
    </row>
    <row r="182" spans="2:21" x14ac:dyDescent="0.2">
      <c r="B182" s="250">
        <f t="shared" si="28"/>
        <v>47665</v>
      </c>
      <c r="C182" s="242">
        <f>INDEX('[9]Forward Price Curve'!$A:$IV,MATCH(B182,'[9]Forward Price Curve'!$D$1:$D$65536,FALSE),$C$226)</f>
        <v>4.9247613689927245</v>
      </c>
      <c r="D182" s="242">
        <f>INDEX('[9]Forward Price Curve'!$A:$IV,MATCH(B182,'[9]Forward Price Curve'!$D$1:$D$65536,FALSE),$D$226)</f>
        <v>5.1655915638987331</v>
      </c>
      <c r="E182" s="251">
        <f t="shared" si="26"/>
        <v>2030</v>
      </c>
      <c r="K182" s="35">
        <f t="shared" si="29"/>
        <v>7</v>
      </c>
      <c r="L182" s="274">
        <f t="shared" si="30"/>
        <v>2030</v>
      </c>
      <c r="M182" s="246">
        <f t="shared" si="27"/>
        <v>47665</v>
      </c>
      <c r="N182" s="247">
        <f>INDEX('[9]Forward Price Curve'!$A$1:$P$65536,MATCH($M182,'[9]Forward Price Curve'!$D$1:$D$65536,FALSE),N$226)</f>
        <v>51.44173</v>
      </c>
      <c r="O182" s="247">
        <f>INDEX('[9]Forward Price Curve'!$A$1:$P$65536,MATCH($M182,'[9]Forward Price Curve'!$D$1:$D$65536,FALSE),O$226)</f>
        <v>56.73169</v>
      </c>
      <c r="P182" s="247">
        <f>INDEX('[9]Forward Price Curve'!$A$1:$P$65536,MATCH($M182,'[9]Forward Price Curve'!$D$1:$D$65536,FALSE),P$226)</f>
        <v>40.525219999999997</v>
      </c>
      <c r="Q182" s="248">
        <f>INDEX('[9]Forward Price Curve'!$A$1:$P$65536,MATCH($M182,'[9]Forward Price Curve'!$D$1:$D$65536,FALSE),Q$226)</f>
        <v>48.093969999999999</v>
      </c>
      <c r="S182" s="271">
        <f>INDEX('[9]Forward Price Curve'!$V:$V,MATCH($M182,'[9]Forward Price Curve'!$D:$D,FALSE),1)</f>
        <v>52.923662903225804</v>
      </c>
      <c r="T182" s="273">
        <f t="shared" si="31"/>
        <v>1.0719532036876853</v>
      </c>
      <c r="U182" s="273">
        <f t="shared" si="32"/>
        <v>0.90874227824976517</v>
      </c>
    </row>
    <row r="183" spans="2:21" x14ac:dyDescent="0.2">
      <c r="B183" s="250">
        <f t="shared" si="28"/>
        <v>47696</v>
      </c>
      <c r="C183" s="242">
        <f>INDEX('[9]Forward Price Curve'!$A:$IV,MATCH(B183,'[9]Forward Price Curve'!$D$1:$D$65536,FALSE),$C$226)</f>
        <v>5.0720100625064042</v>
      </c>
      <c r="D183" s="242">
        <f>INDEX('[9]Forward Price Curve'!$A:$IV,MATCH(B183,'[9]Forward Price Curve'!$D$1:$D$65536,FALSE),$D$226)</f>
        <v>5.3064999979113914</v>
      </c>
      <c r="E183" s="251">
        <f t="shared" si="26"/>
        <v>2030</v>
      </c>
      <c r="K183" s="35">
        <f t="shared" si="29"/>
        <v>8</v>
      </c>
      <c r="L183" s="274">
        <f t="shared" si="30"/>
        <v>2030</v>
      </c>
      <c r="M183" s="246">
        <f t="shared" si="27"/>
        <v>47696</v>
      </c>
      <c r="N183" s="247">
        <f>INDEX('[9]Forward Price Curve'!$A$1:$P$65536,MATCH($M183,'[9]Forward Price Curve'!$D$1:$D$65536,FALSE),N$226)</f>
        <v>58.632489999999997</v>
      </c>
      <c r="O183" s="247">
        <f>INDEX('[9]Forward Price Curve'!$A$1:$P$65536,MATCH($M183,'[9]Forward Price Curve'!$D$1:$D$65536,FALSE),O$226)</f>
        <v>59.955210000000001</v>
      </c>
      <c r="P183" s="247">
        <f>INDEX('[9]Forward Price Curve'!$A$1:$P$65536,MATCH($M183,'[9]Forward Price Curve'!$D$1:$D$65536,FALSE),P$226)</f>
        <v>44.428260000000002</v>
      </c>
      <c r="Q183" s="248">
        <f>INDEX('[9]Forward Price Curve'!$A$1:$P$65536,MATCH($M183,'[9]Forward Price Curve'!$D$1:$D$65536,FALSE),Q$226)</f>
        <v>49.776299999999999</v>
      </c>
      <c r="S183" s="271">
        <f>INDEX('[9]Forward Price Curve'!$V:$V,MATCH($M183,'[9]Forward Price Curve'!$D:$D,FALSE),1)</f>
        <v>55.686634838709672</v>
      </c>
      <c r="T183" s="273">
        <f t="shared" si="31"/>
        <v>1.0766534945710724</v>
      </c>
      <c r="U183" s="273">
        <f t="shared" si="32"/>
        <v>0.89386439213236135</v>
      </c>
    </row>
    <row r="184" spans="2:21" x14ac:dyDescent="0.2">
      <c r="B184" s="250">
        <f t="shared" si="28"/>
        <v>47727</v>
      </c>
      <c r="C184" s="242">
        <f>INDEX('[9]Forward Price Curve'!$A:$IV,MATCH(B184,'[9]Forward Price Curve'!$D$1:$D$65536,FALSE),$C$226)</f>
        <v>5.1405621682549443</v>
      </c>
      <c r="D184" s="242">
        <f>INDEX('[9]Forward Price Curve'!$A:$IV,MATCH(B184,'[9]Forward Price Curve'!$D$1:$D$65536,FALSE),$D$226)</f>
        <v>5.3880731338227843</v>
      </c>
      <c r="E184" s="251">
        <f t="shared" si="26"/>
        <v>2030</v>
      </c>
      <c r="K184" s="35">
        <f t="shared" si="29"/>
        <v>9</v>
      </c>
      <c r="L184" s="274">
        <f t="shared" si="30"/>
        <v>2030</v>
      </c>
      <c r="M184" s="246">
        <f t="shared" si="27"/>
        <v>47727</v>
      </c>
      <c r="N184" s="247">
        <f>INDEX('[9]Forward Price Curve'!$A$1:$P$65536,MATCH($M184,'[9]Forward Price Curve'!$D$1:$D$65536,FALSE),N$226)</f>
        <v>60.430129999999998</v>
      </c>
      <c r="O184" s="247">
        <f>INDEX('[9]Forward Price Curve'!$A$1:$P$65536,MATCH($M184,'[9]Forward Price Curve'!$D$1:$D$65536,FALSE),O$226)</f>
        <v>56.741959999999999</v>
      </c>
      <c r="P184" s="247">
        <f>INDEX('[9]Forward Price Curve'!$A$1:$P$65536,MATCH($M184,'[9]Forward Price Curve'!$D$1:$D$65536,FALSE),P$226)</f>
        <v>48.654530000000001</v>
      </c>
      <c r="Q184" s="248">
        <f>INDEX('[9]Forward Price Curve'!$A$1:$P$65536,MATCH($M184,'[9]Forward Price Curve'!$D$1:$D$65536,FALSE),Q$226)</f>
        <v>49.21716</v>
      </c>
      <c r="S184" s="271">
        <f>INDEX('[9]Forward Price Curve'!$V:$V,MATCH($M184,'[9]Forward Price Curve'!$D:$D,FALSE),1)</f>
        <v>53.230386666666661</v>
      </c>
      <c r="T184" s="273">
        <f t="shared" si="31"/>
        <v>1.0659693373133492</v>
      </c>
      <c r="U184" s="273">
        <f t="shared" si="32"/>
        <v>0.92460647164188681</v>
      </c>
    </row>
    <row r="185" spans="2:21" x14ac:dyDescent="0.2">
      <c r="B185" s="250">
        <f t="shared" si="28"/>
        <v>47757</v>
      </c>
      <c r="C185" s="242">
        <f>INDEX('[9]Forward Price Curve'!$A:$IV,MATCH(B185,'[9]Forward Price Curve'!$D$1:$D$65536,FALSE),$C$226)</f>
        <v>5.2167994876524233</v>
      </c>
      <c r="D185" s="242">
        <f>INDEX('[9]Forward Price Curve'!$A:$IV,MATCH(B185,'[9]Forward Price Curve'!$D$1:$D$65536,FALSE),$D$226)</f>
        <v>5.440030216594935</v>
      </c>
      <c r="E185" s="251">
        <f t="shared" si="26"/>
        <v>2030</v>
      </c>
      <c r="K185" s="35">
        <f t="shared" si="29"/>
        <v>10</v>
      </c>
      <c r="L185" s="274">
        <f t="shared" si="30"/>
        <v>2030</v>
      </c>
      <c r="M185" s="246">
        <f t="shared" si="27"/>
        <v>47757</v>
      </c>
      <c r="N185" s="247">
        <f>INDEX('[9]Forward Price Curve'!$A$1:$P$65536,MATCH($M185,'[9]Forward Price Curve'!$D$1:$D$65536,FALSE),N$226)</f>
        <v>53.002369999999999</v>
      </c>
      <c r="O185" s="247">
        <f>INDEX('[9]Forward Price Curve'!$A$1:$P$65536,MATCH($M185,'[9]Forward Price Curve'!$D$1:$D$65536,FALSE),O$226)</f>
        <v>54.354050000000001</v>
      </c>
      <c r="P185" s="247">
        <f>INDEX('[9]Forward Price Curve'!$A$1:$P$65536,MATCH($M185,'[9]Forward Price Curve'!$D$1:$D$65536,FALSE),P$226)</f>
        <v>44.021279999999997</v>
      </c>
      <c r="Q185" s="248">
        <f>INDEX('[9]Forward Price Curve'!$A$1:$P$65536,MATCH($M185,'[9]Forward Price Curve'!$D$1:$D$65536,FALSE),Q$226)</f>
        <v>48.204990000000002</v>
      </c>
      <c r="S185" s="271">
        <f>INDEX('[9]Forward Price Curve'!$V:$V,MATCH($M185,'[9]Forward Price Curve'!$D:$D,FALSE),1)</f>
        <v>51.775411935483874</v>
      </c>
      <c r="T185" s="273">
        <f t="shared" si="31"/>
        <v>1.0498042983748601</v>
      </c>
      <c r="U185" s="273">
        <f t="shared" si="32"/>
        <v>0.93104020225019379</v>
      </c>
    </row>
    <row r="186" spans="2:21" x14ac:dyDescent="0.2">
      <c r="B186" s="250">
        <f t="shared" si="28"/>
        <v>47788</v>
      </c>
      <c r="C186" s="242">
        <f>INDEX('[9]Forward Price Curve'!$A:$IV,MATCH(B186,'[9]Forward Price Curve'!$D$1:$D$65536,FALSE),$C$226)</f>
        <v>5.5146783686853169</v>
      </c>
      <c r="D186" s="242">
        <f>INDEX('[9]Forward Price Curve'!$A:$IV,MATCH(B186,'[9]Forward Price Curve'!$D$1:$D$65536,FALSE),$D$226)</f>
        <v>5.6477553558607587</v>
      </c>
      <c r="E186" s="251">
        <f t="shared" si="26"/>
        <v>2030</v>
      </c>
      <c r="K186" s="35">
        <f t="shared" si="29"/>
        <v>11</v>
      </c>
      <c r="L186" s="274">
        <f t="shared" si="30"/>
        <v>2030</v>
      </c>
      <c r="M186" s="246">
        <f t="shared" si="27"/>
        <v>47788</v>
      </c>
      <c r="N186" s="247">
        <f>INDEX('[9]Forward Price Curve'!$A$1:$P$65536,MATCH($M186,'[9]Forward Price Curve'!$D$1:$D$65536,FALSE),N$226)</f>
        <v>55.247700000000002</v>
      </c>
      <c r="O186" s="247">
        <f>INDEX('[9]Forward Price Curve'!$A$1:$P$65536,MATCH($M186,'[9]Forward Price Curve'!$D$1:$D$65536,FALSE),O$226)</f>
        <v>56.95834</v>
      </c>
      <c r="P186" s="247">
        <f>INDEX('[9]Forward Price Curve'!$A$1:$P$65536,MATCH($M186,'[9]Forward Price Curve'!$D$1:$D$65536,FALSE),P$226)</f>
        <v>44.886339999999997</v>
      </c>
      <c r="Q186" s="248">
        <f>INDEX('[9]Forward Price Curve'!$A$1:$P$65536,MATCH($M186,'[9]Forward Price Curve'!$D$1:$D$65536,FALSE),Q$226)</f>
        <v>49.962240000000001</v>
      </c>
      <c r="S186" s="271">
        <f>INDEX('[9]Forward Price Curve'!$V:$V,MATCH($M186,'[9]Forward Price Curve'!$D:$D,FALSE),1)</f>
        <v>53.843571484049932</v>
      </c>
      <c r="T186" s="273">
        <f t="shared" si="31"/>
        <v>1.057848475316552</v>
      </c>
      <c r="U186" s="273">
        <f t="shared" si="32"/>
        <v>0.92791467250273885</v>
      </c>
    </row>
    <row r="187" spans="2:21" x14ac:dyDescent="0.2">
      <c r="B187" s="252">
        <f t="shared" si="28"/>
        <v>47818</v>
      </c>
      <c r="C187" s="253">
        <f>INDEX('[9]Forward Price Curve'!$A:$IV,MATCH(B187,'[9]Forward Price Curve'!$D$1:$D$65536,FALSE),$C$226)</f>
        <v>5.7324260887386007</v>
      </c>
      <c r="D187" s="253">
        <f>INDEX('[9]Forward Price Curve'!$A:$IV,MATCH(B187,'[9]Forward Price Curve'!$D$1:$D$65536,FALSE),$D$226)</f>
        <v>5.9000077666582253</v>
      </c>
      <c r="E187" s="254">
        <f t="shared" si="26"/>
        <v>2030</v>
      </c>
      <c r="K187" s="35">
        <f t="shared" si="29"/>
        <v>12</v>
      </c>
      <c r="L187" s="274">
        <f t="shared" si="30"/>
        <v>2030</v>
      </c>
      <c r="M187" s="255">
        <f t="shared" si="27"/>
        <v>47818</v>
      </c>
      <c r="N187" s="256">
        <f>INDEX('[9]Forward Price Curve'!$A$1:$P$65536,MATCH($M187,'[9]Forward Price Curve'!$D$1:$D$65536,FALSE),N$226)</f>
        <v>58.640099999999997</v>
      </c>
      <c r="O187" s="256">
        <f>INDEX('[9]Forward Price Curve'!$A$1:$P$65536,MATCH($M187,'[9]Forward Price Curve'!$D$1:$D$65536,FALSE),O$226)</f>
        <v>58.111429999999999</v>
      </c>
      <c r="P187" s="256">
        <f>INDEX('[9]Forward Price Curve'!$A$1:$P$65536,MATCH($M187,'[9]Forward Price Curve'!$D$1:$D$65536,FALSE),P$226)</f>
        <v>48.131070000000001</v>
      </c>
      <c r="Q187" s="257">
        <f>INDEX('[9]Forward Price Curve'!$A$1:$P$65536,MATCH($M187,'[9]Forward Price Curve'!$D$1:$D$65536,FALSE),Q$226)</f>
        <v>52.034239999999997</v>
      </c>
      <c r="S187" s="271">
        <f>INDEX('[9]Forward Price Curve'!$V:$V,MATCH($M187,'[9]Forward Price Curve'!$D:$D,FALSE),1)</f>
        <v>55.3015464516129</v>
      </c>
      <c r="T187" s="273">
        <f t="shared" si="31"/>
        <v>1.0508102165071578</v>
      </c>
      <c r="U187" s="273">
        <f t="shared" si="32"/>
        <v>0.94091835289865366</v>
      </c>
    </row>
    <row r="188" spans="2:21" x14ac:dyDescent="0.2">
      <c r="B188" s="241">
        <f t="shared" si="28"/>
        <v>47849</v>
      </c>
      <c r="C188" s="242">
        <f>INDEX('[9]Forward Price Curve'!$A:$IV,MATCH(B188,'[9]Forward Price Curve'!$D$1:$D$65536,FALSE),$C$226)</f>
        <v>5.7095753868224204</v>
      </c>
      <c r="D188" s="242">
        <f>INDEX('[9]Forward Price Curve'!$A:$IV,MATCH(B188,'[9]Forward Price Curve'!$D$1:$D$65536,FALSE),$D$226)</f>
        <v>5.8016143636329103</v>
      </c>
      <c r="E188" s="243">
        <f t="shared" si="26"/>
        <v>2031</v>
      </c>
      <c r="K188" s="35">
        <f t="shared" si="29"/>
        <v>1</v>
      </c>
      <c r="L188" s="274">
        <f t="shared" si="30"/>
        <v>2031</v>
      </c>
      <c r="M188" s="246">
        <f t="shared" si="27"/>
        <v>47849</v>
      </c>
      <c r="N188" s="258">
        <f>INDEX('[9]Forward Price Curve'!$A$1:$P$65536,MATCH($M188,'[9]Forward Price Curve'!$D$1:$D$65536,FALSE),N$226)</f>
        <v>56.483170000000001</v>
      </c>
      <c r="O188" s="258">
        <f>INDEX('[9]Forward Price Curve'!$A$1:$P$65536,MATCH($M188,'[9]Forward Price Curve'!$D$1:$D$65536,FALSE),O$226)</f>
        <v>57.946910000000003</v>
      </c>
      <c r="P188" s="258">
        <f>INDEX('[9]Forward Price Curve'!$A$1:$P$65536,MATCH($M188,'[9]Forward Price Curve'!$D$1:$D$65536,FALSE),P$226)</f>
        <v>45.671819999999997</v>
      </c>
      <c r="Q188" s="259">
        <f>INDEX('[9]Forward Price Curve'!$A$1:$P$65536,MATCH($M188,'[9]Forward Price Curve'!$D$1:$D$65536,FALSE),Q$226)</f>
        <v>50.994660000000003</v>
      </c>
      <c r="S188" s="271">
        <f>INDEX('[9]Forward Price Curve'!$V:$V,MATCH($M188,'[9]Forward Price Curve'!$D:$D,FALSE),1)</f>
        <v>54.881939569892481</v>
      </c>
      <c r="T188" s="273">
        <f t="shared" si="31"/>
        <v>1.0558466128224981</v>
      </c>
      <c r="U188" s="273">
        <f t="shared" si="32"/>
        <v>0.92917014959097788</v>
      </c>
    </row>
    <row r="189" spans="2:21" x14ac:dyDescent="0.2">
      <c r="B189" s="250">
        <f t="shared" si="28"/>
        <v>47880</v>
      </c>
      <c r="C189" s="242">
        <f>INDEX('[9]Forward Price Curve'!$A:$IV,MATCH(B189,'[9]Forward Price Curve'!$D$1:$D$65536,FALSE),$C$226)</f>
        <v>5.7701348703760633</v>
      </c>
      <c r="D189" s="242">
        <f>INDEX('[9]Forward Price Curve'!$A:$IV,MATCH(B189,'[9]Forward Price Curve'!$D$1:$D$65536,FALSE),$D$226)</f>
        <v>5.8471219574810114</v>
      </c>
      <c r="E189" s="251">
        <f t="shared" si="26"/>
        <v>2031</v>
      </c>
      <c r="K189" s="35">
        <f t="shared" si="29"/>
        <v>2</v>
      </c>
      <c r="L189" s="274">
        <f t="shared" si="30"/>
        <v>2031</v>
      </c>
      <c r="M189" s="246">
        <f t="shared" si="27"/>
        <v>47880</v>
      </c>
      <c r="N189" s="247">
        <f>INDEX('[9]Forward Price Curve'!$A$1:$P$65536,MATCH($M189,'[9]Forward Price Curve'!$D$1:$D$65536,FALSE),N$226)</f>
        <v>60.630690000000001</v>
      </c>
      <c r="O189" s="247">
        <f>INDEX('[9]Forward Price Curve'!$A$1:$P$65536,MATCH($M189,'[9]Forward Price Curve'!$D$1:$D$65536,FALSE),O$226)</f>
        <v>57.979430000000001</v>
      </c>
      <c r="P189" s="247">
        <f>INDEX('[9]Forward Price Curve'!$A$1:$P$65536,MATCH($M189,'[9]Forward Price Curve'!$D$1:$D$65536,FALSE),P$226)</f>
        <v>49.52713</v>
      </c>
      <c r="Q189" s="248">
        <f>INDEX('[9]Forward Price Curve'!$A$1:$P$65536,MATCH($M189,'[9]Forward Price Curve'!$D$1:$D$65536,FALSE),Q$226)</f>
        <v>52.404490000000003</v>
      </c>
      <c r="S189" s="271">
        <f>INDEX('[9]Forward Price Curve'!$V:$V,MATCH($M189,'[9]Forward Price Curve'!$D:$D,FALSE),1)</f>
        <v>55.590170000000001</v>
      </c>
      <c r="T189" s="273">
        <f t="shared" si="31"/>
        <v>1.0429799009429186</v>
      </c>
      <c r="U189" s="273">
        <f t="shared" si="32"/>
        <v>0.94269346540944199</v>
      </c>
    </row>
    <row r="190" spans="2:21" x14ac:dyDescent="0.2">
      <c r="B190" s="250">
        <f t="shared" si="28"/>
        <v>47908</v>
      </c>
      <c r="C190" s="242">
        <f>INDEX('[9]Forward Price Curve'!$A:$IV,MATCH(B190,'[9]Forward Price Curve'!$D$1:$D$65536,FALSE),$C$226)</f>
        <v>5.4171273901014452</v>
      </c>
      <c r="D190" s="242">
        <f>INDEX('[9]Forward Price Curve'!$A:$IV,MATCH(B190,'[9]Forward Price Curve'!$D$1:$D$65536,FALSE),$D$226)</f>
        <v>5.7030145769620244</v>
      </c>
      <c r="E190" s="251">
        <f t="shared" si="26"/>
        <v>2031</v>
      </c>
      <c r="K190" s="35">
        <f t="shared" si="29"/>
        <v>3</v>
      </c>
      <c r="L190" s="274">
        <f t="shared" si="30"/>
        <v>2031</v>
      </c>
      <c r="M190" s="246">
        <f t="shared" si="27"/>
        <v>47908</v>
      </c>
      <c r="N190" s="247">
        <f>INDEX('[9]Forward Price Curve'!$A$1:$P$65536,MATCH($M190,'[9]Forward Price Curve'!$D$1:$D$65536,FALSE),N$226)</f>
        <v>51.949829999999999</v>
      </c>
      <c r="O190" s="247">
        <f>INDEX('[9]Forward Price Curve'!$A$1:$P$65536,MATCH($M190,'[9]Forward Price Curve'!$D$1:$D$65536,FALSE),O$226)</f>
        <v>54.894390000000001</v>
      </c>
      <c r="P190" s="247">
        <f>INDEX('[9]Forward Price Curve'!$A$1:$P$65536,MATCH($M190,'[9]Forward Price Curve'!$D$1:$D$65536,FALSE),P$226)</f>
        <v>44.970019999999998</v>
      </c>
      <c r="Q190" s="248">
        <f>INDEX('[9]Forward Price Curve'!$A$1:$P$65536,MATCH($M190,'[9]Forward Price Curve'!$D$1:$D$65536,FALSE),Q$226)</f>
        <v>50.415649999999999</v>
      </c>
      <c r="S190" s="271">
        <f>INDEX('[9]Forward Price Curve'!$V:$V,MATCH($M190,'[9]Forward Price Curve'!$D:$D,FALSE),1)</f>
        <v>52.923262166890979</v>
      </c>
      <c r="T190" s="273">
        <f t="shared" si="31"/>
        <v>1.0372450176425854</v>
      </c>
      <c r="U190" s="273">
        <f t="shared" si="32"/>
        <v>0.95261795920698644</v>
      </c>
    </row>
    <row r="191" spans="2:21" x14ac:dyDescent="0.2">
      <c r="B191" s="250">
        <f t="shared" si="28"/>
        <v>47939</v>
      </c>
      <c r="C191" s="242">
        <f>INDEX('[9]Forward Price Curve'!$A:$IV,MATCH(B191,'[9]Forward Price Curve'!$D$1:$D$65536,FALSE),$C$226)</f>
        <v>5.0136024387744653</v>
      </c>
      <c r="D191" s="242">
        <f>INDEX('[9]Forward Price Curve'!$A:$IV,MATCH(B191,'[9]Forward Price Curve'!$D$1:$D$65536,FALSE),$D$226)</f>
        <v>5.4225392026329109</v>
      </c>
      <c r="E191" s="251">
        <f t="shared" si="26"/>
        <v>2031</v>
      </c>
      <c r="K191" s="35">
        <f t="shared" si="29"/>
        <v>4</v>
      </c>
      <c r="L191" s="274">
        <f t="shared" si="30"/>
        <v>2031</v>
      </c>
      <c r="M191" s="246">
        <f t="shared" si="27"/>
        <v>47939</v>
      </c>
      <c r="N191" s="247">
        <f>INDEX('[9]Forward Price Curve'!$A$1:$P$65536,MATCH($M191,'[9]Forward Price Curve'!$D$1:$D$65536,FALSE),N$226)</f>
        <v>48.884999999999998</v>
      </c>
      <c r="O191" s="247">
        <f>INDEX('[9]Forward Price Curve'!$A$1:$P$65536,MATCH($M191,'[9]Forward Price Curve'!$D$1:$D$65536,FALSE),O$226)</f>
        <v>51.190719999999999</v>
      </c>
      <c r="P191" s="247">
        <f>INDEX('[9]Forward Price Curve'!$A$1:$P$65536,MATCH($M191,'[9]Forward Price Curve'!$D$1:$D$65536,FALSE),P$226)</f>
        <v>42.516559999999998</v>
      </c>
      <c r="Q191" s="248">
        <f>INDEX('[9]Forward Price Curve'!$A$1:$P$65536,MATCH($M191,'[9]Forward Price Curve'!$D$1:$D$65536,FALSE),Q$226)</f>
        <v>48.322589999999998</v>
      </c>
      <c r="S191" s="271">
        <f>INDEX('[9]Forward Price Curve'!$V:$V,MATCH($M191,'[9]Forward Price Curve'!$D:$D,FALSE),1)</f>
        <v>49.979731777777772</v>
      </c>
      <c r="T191" s="273">
        <f t="shared" si="31"/>
        <v>1.0242295862572168</v>
      </c>
      <c r="U191" s="273">
        <f t="shared" si="32"/>
        <v>0.96684372406907193</v>
      </c>
    </row>
    <row r="192" spans="2:21" x14ac:dyDescent="0.2">
      <c r="B192" s="250">
        <f t="shared" si="28"/>
        <v>47969</v>
      </c>
      <c r="C192" s="242">
        <f>INDEX('[9]Forward Price Curve'!$A:$IV,MATCH(B192,'[9]Forward Price Curve'!$D$1:$D$65536,FALSE),$C$226)</f>
        <v>5.0442408238549028</v>
      </c>
      <c r="D192" s="242">
        <f>INDEX('[9]Forward Price Curve'!$A:$IV,MATCH(B192,'[9]Forward Price Curve'!$D$1:$D$65536,FALSE),$D$226)</f>
        <v>5.2784834180253153</v>
      </c>
      <c r="E192" s="251">
        <f t="shared" si="26"/>
        <v>2031</v>
      </c>
      <c r="K192" s="35">
        <f t="shared" si="29"/>
        <v>5</v>
      </c>
      <c r="L192" s="274">
        <f t="shared" si="30"/>
        <v>2031</v>
      </c>
      <c r="M192" s="246">
        <f t="shared" si="27"/>
        <v>47969</v>
      </c>
      <c r="N192" s="247">
        <f>INDEX('[9]Forward Price Curve'!$A$1:$P$65536,MATCH($M192,'[9]Forward Price Curve'!$D$1:$D$65536,FALSE),N$226)</f>
        <v>40.979230000000001</v>
      </c>
      <c r="O192" s="247">
        <f>INDEX('[9]Forward Price Curve'!$A$1:$P$65536,MATCH($M192,'[9]Forward Price Curve'!$D$1:$D$65536,FALSE),O$226)</f>
        <v>48.119430000000001</v>
      </c>
      <c r="P192" s="247">
        <f>INDEX('[9]Forward Price Curve'!$A$1:$P$65536,MATCH($M192,'[9]Forward Price Curve'!$D$1:$D$65536,FALSE),P$226)</f>
        <v>32.930779999999999</v>
      </c>
      <c r="Q192" s="248">
        <f>INDEX('[9]Forward Price Curve'!$A$1:$P$65536,MATCH($M192,'[9]Forward Price Curve'!$D$1:$D$65536,FALSE),Q$226)</f>
        <v>44.581620000000001</v>
      </c>
      <c r="S192" s="271">
        <f>INDEX('[9]Forward Price Curve'!$V:$V,MATCH($M192,'[9]Forward Price Curve'!$D:$D,FALSE),1)</f>
        <v>46.559750322580648</v>
      </c>
      <c r="T192" s="273">
        <f t="shared" si="31"/>
        <v>1.0334984544937076</v>
      </c>
      <c r="U192" s="273">
        <f t="shared" si="32"/>
        <v>0.95751415527627326</v>
      </c>
    </row>
    <row r="193" spans="2:21" x14ac:dyDescent="0.2">
      <c r="B193" s="250">
        <f t="shared" si="28"/>
        <v>48000</v>
      </c>
      <c r="C193" s="242">
        <f>INDEX('[9]Forward Price Curve'!$A:$IV,MATCH(B193,'[9]Forward Price Curve'!$D$1:$D$65536,FALSE),$C$226)</f>
        <v>5.0314321344400037</v>
      </c>
      <c r="D193" s="242">
        <f>INDEX('[9]Forward Price Curve'!$A:$IV,MATCH(B193,'[9]Forward Price Curve'!$D$1:$D$65536,FALSE),$D$226)</f>
        <v>5.286068016999999</v>
      </c>
      <c r="E193" s="251">
        <f t="shared" si="26"/>
        <v>2031</v>
      </c>
      <c r="K193" s="35">
        <f t="shared" si="29"/>
        <v>6</v>
      </c>
      <c r="L193" s="274">
        <f t="shared" si="30"/>
        <v>2031</v>
      </c>
      <c r="M193" s="246">
        <f t="shared" si="27"/>
        <v>48000</v>
      </c>
      <c r="N193" s="247">
        <f>INDEX('[9]Forward Price Curve'!$A$1:$P$65536,MATCH($M193,'[9]Forward Price Curve'!$D$1:$D$65536,FALSE),N$226)</f>
        <v>47.089910000000003</v>
      </c>
      <c r="O193" s="247">
        <f>INDEX('[9]Forward Price Curve'!$A$1:$P$65536,MATCH($M193,'[9]Forward Price Curve'!$D$1:$D$65536,FALSE),O$226)</f>
        <v>52.790179999999999</v>
      </c>
      <c r="P193" s="247">
        <f>INDEX('[9]Forward Price Curve'!$A$1:$P$65536,MATCH($M193,'[9]Forward Price Curve'!$D$1:$D$65536,FALSE),P$226)</f>
        <v>36.654850000000003</v>
      </c>
      <c r="Q193" s="248">
        <f>INDEX('[9]Forward Price Curve'!$A$1:$P$65536,MATCH($M193,'[9]Forward Price Curve'!$D$1:$D$65536,FALSE),Q$226)</f>
        <v>46.493569999999998</v>
      </c>
      <c r="S193" s="271">
        <f>INDEX('[9]Forward Price Curve'!$V:$V,MATCH($M193,'[9]Forward Price Curve'!$D:$D,FALSE),1)</f>
        <v>49.991686666666666</v>
      </c>
      <c r="T193" s="273">
        <f t="shared" si="31"/>
        <v>1.0559791741373532</v>
      </c>
      <c r="U193" s="273">
        <f t="shared" si="32"/>
        <v>0.93002603232830838</v>
      </c>
    </row>
    <row r="194" spans="2:21" x14ac:dyDescent="0.2">
      <c r="B194" s="250">
        <f t="shared" si="28"/>
        <v>48030</v>
      </c>
      <c r="C194" s="242">
        <f>INDEX('[9]Forward Price Curve'!$A:$IV,MATCH(B194,'[9]Forward Price Curve'!$D$1:$D$65536,FALSE),$C$226)</f>
        <v>5.0971150937596068</v>
      </c>
      <c r="D194" s="242">
        <f>INDEX('[9]Forward Price Curve'!$A:$IV,MATCH(B194,'[9]Forward Price Curve'!$D$1:$D$65536,FALSE),$D$226)</f>
        <v>5.3315756108481001</v>
      </c>
      <c r="E194" s="251">
        <f t="shared" si="26"/>
        <v>2031</v>
      </c>
      <c r="K194" s="35">
        <f t="shared" si="29"/>
        <v>7</v>
      </c>
      <c r="L194" s="274">
        <f t="shared" si="30"/>
        <v>2031</v>
      </c>
      <c r="M194" s="246">
        <f t="shared" si="27"/>
        <v>48030</v>
      </c>
      <c r="N194" s="247">
        <f>INDEX('[9]Forward Price Curve'!$A$1:$P$65536,MATCH($M194,'[9]Forward Price Curve'!$D$1:$D$65536,FALSE),N$226)</f>
        <v>53.376579999999997</v>
      </c>
      <c r="O194" s="247">
        <f>INDEX('[9]Forward Price Curve'!$A$1:$P$65536,MATCH($M194,'[9]Forward Price Curve'!$D$1:$D$65536,FALSE),O$226)</f>
        <v>58.59854</v>
      </c>
      <c r="P194" s="247">
        <f>INDEX('[9]Forward Price Curve'!$A$1:$P$65536,MATCH($M194,'[9]Forward Price Curve'!$D$1:$D$65536,FALSE),P$226)</f>
        <v>42.140949999999997</v>
      </c>
      <c r="Q194" s="248">
        <f>INDEX('[9]Forward Price Curve'!$A$1:$P$65536,MATCH($M194,'[9]Forward Price Curve'!$D$1:$D$65536,FALSE),Q$226)</f>
        <v>49.615000000000002</v>
      </c>
      <c r="S194" s="271">
        <f>INDEX('[9]Forward Price Curve'!$V:$V,MATCH($M194,'[9]Forward Price Curve'!$D:$D,FALSE),1)</f>
        <v>54.638054623655911</v>
      </c>
      <c r="T194" s="273">
        <f t="shared" si="31"/>
        <v>1.0724858416651857</v>
      </c>
      <c r="U194" s="273">
        <f t="shared" si="32"/>
        <v>0.90806673740025246</v>
      </c>
    </row>
    <row r="195" spans="2:21" x14ac:dyDescent="0.2">
      <c r="B195" s="250">
        <f t="shared" si="28"/>
        <v>48061</v>
      </c>
      <c r="C195" s="242">
        <f>INDEX('[9]Forward Price Curve'!$A:$IV,MATCH(B195,'[9]Forward Price Curve'!$D$1:$D$65536,FALSE),$C$226)</f>
        <v>5.217516774259658</v>
      </c>
      <c r="D195" s="242">
        <f>INDEX('[9]Forward Price Curve'!$A:$IV,MATCH(B195,'[9]Forward Price Curve'!$D$1:$D$65536,FALSE),$D$226)</f>
        <v>5.4755797995443025</v>
      </c>
      <c r="E195" s="251">
        <f t="shared" si="26"/>
        <v>2031</v>
      </c>
      <c r="K195" s="35">
        <f t="shared" si="29"/>
        <v>8</v>
      </c>
      <c r="L195" s="274">
        <f t="shared" si="30"/>
        <v>2031</v>
      </c>
      <c r="M195" s="246">
        <f t="shared" si="27"/>
        <v>48061</v>
      </c>
      <c r="N195" s="247">
        <f>INDEX('[9]Forward Price Curve'!$A$1:$P$65536,MATCH($M195,'[9]Forward Price Curve'!$D$1:$D$65536,FALSE),N$226)</f>
        <v>60.298769999999998</v>
      </c>
      <c r="O195" s="247">
        <f>INDEX('[9]Forward Price Curve'!$A$1:$P$65536,MATCH($M195,'[9]Forward Price Curve'!$D$1:$D$65536,FALSE),O$226)</f>
        <v>61.624600000000001</v>
      </c>
      <c r="P195" s="247">
        <f>INDEX('[9]Forward Price Curve'!$A$1:$P$65536,MATCH($M195,'[9]Forward Price Curve'!$D$1:$D$65536,FALSE),P$226)</f>
        <v>46.56033</v>
      </c>
      <c r="Q195" s="248">
        <f>INDEX('[9]Forward Price Curve'!$A$1:$P$65536,MATCH($M195,'[9]Forward Price Curve'!$D$1:$D$65536,FALSE),Q$226)</f>
        <v>51.641300000000001</v>
      </c>
      <c r="S195" s="271">
        <f>INDEX('[9]Forward Price Curve'!$V:$V,MATCH($M195,'[9]Forward Price Curve'!$D:$D,FALSE),1)</f>
        <v>57.223360215053766</v>
      </c>
      <c r="T195" s="273">
        <f t="shared" si="31"/>
        <v>1.0769133404330982</v>
      </c>
      <c r="U195" s="273">
        <f t="shared" si="32"/>
        <v>0.90245137310924128</v>
      </c>
    </row>
    <row r="196" spans="2:21" x14ac:dyDescent="0.2">
      <c r="B196" s="250">
        <f t="shared" si="28"/>
        <v>48092</v>
      </c>
      <c r="C196" s="242">
        <f>INDEX('[9]Forward Price Curve'!$A:$IV,MATCH(B196,'[9]Forward Price Curve'!$D$1:$D$65536,FALSE),$C$226)</f>
        <v>5.2425193359975406</v>
      </c>
      <c r="D196" s="242">
        <f>INDEX('[9]Forward Price Curve'!$A:$IV,MATCH(B196,'[9]Forward Price Curve'!$D$1:$D$65536,FALSE),$D$226)</f>
        <v>5.4831643985189862</v>
      </c>
      <c r="E196" s="251">
        <f t="shared" si="26"/>
        <v>2031</v>
      </c>
      <c r="K196" s="35">
        <f t="shared" si="29"/>
        <v>9</v>
      </c>
      <c r="L196" s="274">
        <f t="shared" si="30"/>
        <v>2031</v>
      </c>
      <c r="M196" s="246">
        <f t="shared" si="27"/>
        <v>48092</v>
      </c>
      <c r="N196" s="247">
        <f>INDEX('[9]Forward Price Curve'!$A$1:$P$65536,MATCH($M196,'[9]Forward Price Curve'!$D$1:$D$65536,FALSE),N$226)</f>
        <v>62.714840000000002</v>
      </c>
      <c r="O196" s="247">
        <f>INDEX('[9]Forward Price Curve'!$A$1:$P$65536,MATCH($M196,'[9]Forward Price Curve'!$D$1:$D$65536,FALSE),O$226)</f>
        <v>58.299590000000002</v>
      </c>
      <c r="P196" s="247">
        <f>INDEX('[9]Forward Price Curve'!$A$1:$P$65536,MATCH($M196,'[9]Forward Price Curve'!$D$1:$D$65536,FALSE),P$226)</f>
        <v>50.360770000000002</v>
      </c>
      <c r="Q196" s="248">
        <f>INDEX('[9]Forward Price Curve'!$A$1:$P$65536,MATCH($M196,'[9]Forward Price Curve'!$D$1:$D$65536,FALSE),Q$226)</f>
        <v>49.772750000000002</v>
      </c>
      <c r="S196" s="271">
        <f>INDEX('[9]Forward Price Curve'!$V:$V,MATCH($M196,'[9]Forward Price Curve'!$D:$D,FALSE),1)</f>
        <v>54.509883333333335</v>
      </c>
      <c r="T196" s="273">
        <f t="shared" si="31"/>
        <v>1.0695232943995172</v>
      </c>
      <c r="U196" s="273">
        <f t="shared" si="32"/>
        <v>0.91309588200060354</v>
      </c>
    </row>
    <row r="197" spans="2:21" x14ac:dyDescent="0.2">
      <c r="B197" s="250">
        <f t="shared" si="28"/>
        <v>48122</v>
      </c>
      <c r="C197" s="242">
        <f>INDEX('[9]Forward Price Curve'!$A:$IV,MATCH(B197,'[9]Forward Price Curve'!$D$1:$D$65536,FALSE),$C$226)</f>
        <v>5.3203961676401272</v>
      </c>
      <c r="D197" s="242">
        <f>INDEX('[9]Forward Price Curve'!$A:$IV,MATCH(B197,'[9]Forward Price Curve'!$D$1:$D$65536,FALSE),$D$226)</f>
        <v>5.5438411903164546</v>
      </c>
      <c r="E197" s="251">
        <f t="shared" si="26"/>
        <v>2031</v>
      </c>
      <c r="K197" s="35">
        <f t="shared" si="29"/>
        <v>10</v>
      </c>
      <c r="L197" s="274">
        <f t="shared" si="30"/>
        <v>2031</v>
      </c>
      <c r="M197" s="246">
        <f t="shared" si="27"/>
        <v>48122</v>
      </c>
      <c r="N197" s="247">
        <f>INDEX('[9]Forward Price Curve'!$A$1:$P$65536,MATCH($M197,'[9]Forward Price Curve'!$D$1:$D$65536,FALSE),N$226)</f>
        <v>54.223410000000001</v>
      </c>
      <c r="O197" s="247">
        <f>INDEX('[9]Forward Price Curve'!$A$1:$P$65536,MATCH($M197,'[9]Forward Price Curve'!$D$1:$D$65536,FALSE),O$226)</f>
        <v>55.800930000000001</v>
      </c>
      <c r="P197" s="247">
        <f>INDEX('[9]Forward Price Curve'!$A$1:$P$65536,MATCH($M197,'[9]Forward Price Curve'!$D$1:$D$65536,FALSE),P$226)</f>
        <v>45.406820000000003</v>
      </c>
      <c r="Q197" s="248">
        <f>INDEX('[9]Forward Price Curve'!$A$1:$P$65536,MATCH($M197,'[9]Forward Price Curve'!$D$1:$D$65536,FALSE),Q$226)</f>
        <v>49.304169999999999</v>
      </c>
      <c r="S197" s="271">
        <f>INDEX('[9]Forward Price Curve'!$V:$V,MATCH($M197,'[9]Forward Price Curve'!$D:$D,FALSE),1)</f>
        <v>53.076482258064516</v>
      </c>
      <c r="T197" s="273">
        <f t="shared" si="31"/>
        <v>1.0513306011632211</v>
      </c>
      <c r="U197" s="273">
        <f t="shared" si="32"/>
        <v>0.92892685992784785</v>
      </c>
    </row>
    <row r="198" spans="2:21" x14ac:dyDescent="0.2">
      <c r="B198" s="250">
        <f t="shared" si="28"/>
        <v>48153</v>
      </c>
      <c r="C198" s="242">
        <f>INDEX('[9]Forward Price Curve'!$A:$IV,MATCH(B198,'[9]Forward Price Curve'!$D$1:$D$65536,FALSE),$C$226)</f>
        <v>5.5779020596372586</v>
      </c>
      <c r="D198" s="242">
        <f>INDEX('[9]Forward Price Curve'!$A:$IV,MATCH(B198,'[9]Forward Price Curve'!$D$1:$D$65536,FALSE),$D$226)</f>
        <v>5.7257683738860754</v>
      </c>
      <c r="E198" s="251">
        <f t="shared" si="26"/>
        <v>2031</v>
      </c>
      <c r="K198" s="35">
        <f t="shared" si="29"/>
        <v>11</v>
      </c>
      <c r="L198" s="274">
        <f t="shared" si="30"/>
        <v>2031</v>
      </c>
      <c r="M198" s="246">
        <f t="shared" si="27"/>
        <v>48153</v>
      </c>
      <c r="N198" s="247">
        <f>INDEX('[9]Forward Price Curve'!$A$1:$P$65536,MATCH($M198,'[9]Forward Price Curve'!$D$1:$D$65536,FALSE),N$226)</f>
        <v>55.351819999999996</v>
      </c>
      <c r="O198" s="247">
        <f>INDEX('[9]Forward Price Curve'!$A$1:$P$65536,MATCH($M198,'[9]Forward Price Curve'!$D$1:$D$65536,FALSE),O$226)</f>
        <v>57.6252</v>
      </c>
      <c r="P198" s="247">
        <f>INDEX('[9]Forward Price Curve'!$A$1:$P$65536,MATCH($M198,'[9]Forward Price Curve'!$D$1:$D$65536,FALSE),P$226)</f>
        <v>45.878250000000001</v>
      </c>
      <c r="Q198" s="248">
        <f>INDEX('[9]Forward Price Curve'!$A$1:$P$65536,MATCH($M198,'[9]Forward Price Curve'!$D$1:$D$65536,FALSE),Q$226)</f>
        <v>50.98189</v>
      </c>
      <c r="S198" s="271">
        <f>INDEX('[9]Forward Price Curve'!$V:$V,MATCH($M198,'[9]Forward Price Curve'!$D:$D,FALSE),1)</f>
        <v>54.66749887656033</v>
      </c>
      <c r="T198" s="273">
        <f t="shared" si="31"/>
        <v>1.0541034652073289</v>
      </c>
      <c r="U198" s="273">
        <f t="shared" si="32"/>
        <v>0.93258135176656853</v>
      </c>
    </row>
    <row r="199" spans="2:21" x14ac:dyDescent="0.2">
      <c r="B199" s="252">
        <f t="shared" si="28"/>
        <v>48183</v>
      </c>
      <c r="C199" s="253">
        <f>INDEX('[9]Forward Price Curve'!$A:$IV,MATCH(B199,'[9]Forward Price Curve'!$D$1:$D$65536,FALSE),$C$226)</f>
        <v>5.8008757249718217</v>
      </c>
      <c r="D199" s="253">
        <f>INDEX('[9]Forward Price Curve'!$A:$IV,MATCH(B199,'[9]Forward Price Curve'!$D$1:$D$65536,FALSE),$D$226)</f>
        <v>5.9608393461898732</v>
      </c>
      <c r="E199" s="254">
        <f t="shared" si="26"/>
        <v>2031</v>
      </c>
      <c r="K199" s="35">
        <f t="shared" si="29"/>
        <v>12</v>
      </c>
      <c r="L199" s="274">
        <f t="shared" si="30"/>
        <v>2031</v>
      </c>
      <c r="M199" s="255">
        <f t="shared" si="27"/>
        <v>48183</v>
      </c>
      <c r="N199" s="256">
        <f>INDEX('[9]Forward Price Curve'!$A$1:$P$65536,MATCH($M199,'[9]Forward Price Curve'!$D$1:$D$65536,FALSE),N$226)</f>
        <v>60.996470000000002</v>
      </c>
      <c r="O199" s="256">
        <f>INDEX('[9]Forward Price Curve'!$A$1:$P$65536,MATCH($M199,'[9]Forward Price Curve'!$D$1:$D$65536,FALSE),O$226)</f>
        <v>59.347009999999997</v>
      </c>
      <c r="P199" s="256">
        <f>INDEX('[9]Forward Price Curve'!$A$1:$P$65536,MATCH($M199,'[9]Forward Price Curve'!$D$1:$D$65536,FALSE),P$226)</f>
        <v>49.377000000000002</v>
      </c>
      <c r="Q199" s="257">
        <f>INDEX('[9]Forward Price Curve'!$A$1:$P$65536,MATCH($M199,'[9]Forward Price Curve'!$D$1:$D$65536,FALSE),Q$226)</f>
        <v>52.631340000000002</v>
      </c>
      <c r="S199" s="271">
        <f>INDEX('[9]Forward Price Curve'!$V:$V,MATCH($M199,'[9]Forward Price Curve'!$D:$D,FALSE),1)</f>
        <v>56.53076129032258</v>
      </c>
      <c r="T199" s="273">
        <f t="shared" si="31"/>
        <v>1.0498179866217285</v>
      </c>
      <c r="U199" s="273">
        <f t="shared" si="32"/>
        <v>0.93102124929299135</v>
      </c>
    </row>
    <row r="200" spans="2:21" x14ac:dyDescent="0.2">
      <c r="B200" s="241">
        <f t="shared" si="28"/>
        <v>48214</v>
      </c>
      <c r="C200" s="242">
        <f>INDEX('[9]Forward Price Curve'!$A:$IV,MATCH(B200,'[9]Forward Price Curve'!$D$1:$D$65536,FALSE),$C$226)</f>
        <v>6.0207753048468087</v>
      </c>
      <c r="D200" s="242">
        <f>INDEX('[9]Forward Price Curve'!$A:$IV,MATCH(B200,'[9]Forward Price Curve'!$D$1:$D$65536,FALSE),$D$226)</f>
        <v>6.0990131968987331</v>
      </c>
      <c r="E200" s="243">
        <f t="shared" ref="E200:E223" si="33">YEAR(B200)</f>
        <v>2032</v>
      </c>
      <c r="K200" s="35">
        <f t="shared" si="29"/>
        <v>1</v>
      </c>
      <c r="L200" s="274">
        <f t="shared" si="30"/>
        <v>2032</v>
      </c>
      <c r="M200" s="246">
        <f t="shared" ref="M200:M223" si="34">B200</f>
        <v>48214</v>
      </c>
      <c r="N200" s="258">
        <f>INDEX('[9]Forward Price Curve'!$A$1:$P$65536,MATCH($M200,'[9]Forward Price Curve'!$D$1:$D$65536,FALSE),N$226)</f>
        <v>58.599870000000003</v>
      </c>
      <c r="O200" s="258">
        <f>INDEX('[9]Forward Price Curve'!$A$1:$P$65536,MATCH($M200,'[9]Forward Price Curve'!$D$1:$D$65536,FALSE),O$226)</f>
        <v>60.318010000000001</v>
      </c>
      <c r="P200" s="258">
        <f>INDEX('[9]Forward Price Curve'!$A$1:$P$65536,MATCH($M200,'[9]Forward Price Curve'!$D$1:$D$65536,FALSE),P$226)</f>
        <v>47.734439999999999</v>
      </c>
      <c r="Q200" s="259">
        <f>INDEX('[9]Forward Price Curve'!$A$1:$P$65536,MATCH($M200,'[9]Forward Price Curve'!$D$1:$D$65536,FALSE),Q$226)</f>
        <v>53.93674</v>
      </c>
      <c r="S200" s="271">
        <f>INDEX('[9]Forward Price Curve'!$V:$V,MATCH($M200,'[9]Forward Price Curve'!$D:$D,FALSE),1)</f>
        <v>57.50476193548387</v>
      </c>
      <c r="T200" s="273">
        <f t="shared" si="31"/>
        <v>1.0489220017582612</v>
      </c>
      <c r="U200" s="273">
        <f t="shared" si="32"/>
        <v>0.93795258313586394</v>
      </c>
    </row>
    <row r="201" spans="2:21" x14ac:dyDescent="0.2">
      <c r="B201" s="250">
        <f t="shared" ref="B201:B223" si="35">EDATE(B200,1)</f>
        <v>48245</v>
      </c>
      <c r="C201" s="242">
        <f>INDEX('[9]Forward Price Curve'!$A:$IV,MATCH(B201,'[9]Forward Price Curve'!$D$1:$D$65536,FALSE),$C$226)</f>
        <v>6.0823594835536436</v>
      </c>
      <c r="D201" s="242">
        <f>INDEX('[9]Forward Price Curve'!$A:$IV,MATCH(B201,'[9]Forward Price Curve'!$D$1:$D$65536,FALSE),$D$226)</f>
        <v>6.153240499772151</v>
      </c>
      <c r="E201" s="251">
        <f t="shared" si="33"/>
        <v>2032</v>
      </c>
      <c r="K201" s="35">
        <f t="shared" ref="K201:K223" si="36">MONTH(M201)</f>
        <v>2</v>
      </c>
      <c r="L201" s="274">
        <f t="shared" ref="L201:L223" si="37">YEAR(M201)</f>
        <v>2032</v>
      </c>
      <c r="M201" s="246">
        <f t="shared" si="34"/>
        <v>48245</v>
      </c>
      <c r="N201" s="247">
        <f>INDEX('[9]Forward Price Curve'!$A$1:$P$65536,MATCH($M201,'[9]Forward Price Curve'!$D$1:$D$65536,FALSE),N$226)</f>
        <v>61.821390000000001</v>
      </c>
      <c r="O201" s="247">
        <f>INDEX('[9]Forward Price Curve'!$A$1:$P$65536,MATCH($M201,'[9]Forward Price Curve'!$D$1:$D$65536,FALSE),O$226)</f>
        <v>60.043550000000003</v>
      </c>
      <c r="P201" s="247">
        <f>INDEX('[9]Forward Price Curve'!$A$1:$P$65536,MATCH($M201,'[9]Forward Price Curve'!$D$1:$D$65536,FALSE),P$226)</f>
        <v>51.022269999999999</v>
      </c>
      <c r="Q201" s="248">
        <f>INDEX('[9]Forward Price Curve'!$A$1:$P$65536,MATCH($M201,'[9]Forward Price Curve'!$D$1:$D$65536,FALSE),Q$226)</f>
        <v>54.611690000000003</v>
      </c>
      <c r="S201" s="271">
        <f>INDEX('[9]Forward Price Curve'!$V:$V,MATCH($M201,'[9]Forward Price Curve'!$D:$D,FALSE),1)</f>
        <v>57.608578275862072</v>
      </c>
      <c r="T201" s="273">
        <f t="shared" ref="T201:T223" si="38">O201/S201</f>
        <v>1.0422675198210574</v>
      </c>
      <c r="U201" s="273">
        <f t="shared" ref="U201:U223" si="39">Q201/S201</f>
        <v>0.94797843714331409</v>
      </c>
    </row>
    <row r="202" spans="2:21" x14ac:dyDescent="0.2">
      <c r="B202" s="250">
        <f t="shared" si="35"/>
        <v>48274</v>
      </c>
      <c r="C202" s="242">
        <f>INDEX('[9]Forward Price Curve'!$A:$IV,MATCH(B202,'[9]Forward Price Curve'!$D$1:$D$65536,FALSE),$C$226)</f>
        <v>5.61837751818834</v>
      </c>
      <c r="D202" s="242">
        <f>INDEX('[9]Forward Price Curve'!$A:$IV,MATCH(B202,'[9]Forward Price Curve'!$D$1:$D$65536,FALSE),$D$226)</f>
        <v>5.9053221455316436</v>
      </c>
      <c r="E202" s="251">
        <f t="shared" si="33"/>
        <v>2032</v>
      </c>
      <c r="K202" s="35">
        <f t="shared" si="36"/>
        <v>3</v>
      </c>
      <c r="L202" s="274">
        <f t="shared" si="37"/>
        <v>2032</v>
      </c>
      <c r="M202" s="246">
        <f t="shared" si="34"/>
        <v>48274</v>
      </c>
      <c r="N202" s="247">
        <f>INDEX('[9]Forward Price Curve'!$A$1:$P$65536,MATCH($M202,'[9]Forward Price Curve'!$D$1:$D$65536,FALSE),N$226)</f>
        <v>53.278869999999998</v>
      </c>
      <c r="O202" s="247">
        <f>INDEX('[9]Forward Price Curve'!$A$1:$P$65536,MATCH($M202,'[9]Forward Price Curve'!$D$1:$D$65536,FALSE),O$226)</f>
        <v>56.552520000000001</v>
      </c>
      <c r="P202" s="247">
        <f>INDEX('[9]Forward Price Curve'!$A$1:$P$65536,MATCH($M202,'[9]Forward Price Curve'!$D$1:$D$65536,FALSE),P$226)</f>
        <v>45.99577</v>
      </c>
      <c r="Q202" s="248">
        <f>INDEX('[9]Forward Price Curve'!$A$1:$P$65536,MATCH($M202,'[9]Forward Price Curve'!$D$1:$D$65536,FALSE),Q$226)</f>
        <v>52.41386</v>
      </c>
      <c r="S202" s="271">
        <f>INDEX('[9]Forward Price Curve'!$V:$V,MATCH($M202,'[9]Forward Price Curve'!$D:$D,FALSE),1)</f>
        <v>54.820187213997308</v>
      </c>
      <c r="T202" s="273">
        <f t="shared" si="38"/>
        <v>1.0316002712511783</v>
      </c>
      <c r="U202" s="273">
        <f t="shared" si="39"/>
        <v>0.95610508945173944</v>
      </c>
    </row>
    <row r="203" spans="2:21" x14ac:dyDescent="0.2">
      <c r="B203" s="250">
        <f t="shared" si="35"/>
        <v>48305</v>
      </c>
      <c r="C203" s="242">
        <f>INDEX('[9]Forward Price Curve'!$A:$IV,MATCH(B203,'[9]Forward Price Curve'!$D$1:$D$65536,FALSE),$C$226)</f>
        <v>5.2388304334460507</v>
      </c>
      <c r="D203" s="242">
        <f>INDEX('[9]Forward Price Curve'!$A:$IV,MATCH(B203,'[9]Forward Price Curve'!$D$1:$D$65536,FALSE),$D$226)</f>
        <v>5.6186552618354417</v>
      </c>
      <c r="E203" s="251">
        <f t="shared" si="33"/>
        <v>2032</v>
      </c>
      <c r="K203" s="35">
        <f t="shared" si="36"/>
        <v>4</v>
      </c>
      <c r="L203" s="274">
        <f t="shared" si="37"/>
        <v>2032</v>
      </c>
      <c r="M203" s="246">
        <f t="shared" si="34"/>
        <v>48305</v>
      </c>
      <c r="N203" s="247">
        <f>INDEX('[9]Forward Price Curve'!$A$1:$P$65536,MATCH($M203,'[9]Forward Price Curve'!$D$1:$D$65536,FALSE),N$226)</f>
        <v>50.381500000000003</v>
      </c>
      <c r="O203" s="247">
        <f>INDEX('[9]Forward Price Curve'!$A$1:$P$65536,MATCH($M203,'[9]Forward Price Curve'!$D$1:$D$65536,FALSE),O$226)</f>
        <v>53.511710000000001</v>
      </c>
      <c r="P203" s="247">
        <f>INDEX('[9]Forward Price Curve'!$A$1:$P$65536,MATCH($M203,'[9]Forward Price Curve'!$D$1:$D$65536,FALSE),P$226)</f>
        <v>44.385129999999997</v>
      </c>
      <c r="Q203" s="248">
        <f>INDEX('[9]Forward Price Curve'!$A$1:$P$65536,MATCH($M203,'[9]Forward Price Curve'!$D$1:$D$65536,FALSE),Q$226)</f>
        <v>50.316240000000001</v>
      </c>
      <c r="S203" s="271">
        <f>INDEX('[9]Forward Price Curve'!$V:$V,MATCH($M203,'[9]Forward Price Curve'!$D:$D,FALSE),1)</f>
        <v>52.162511555555554</v>
      </c>
      <c r="T203" s="273">
        <f t="shared" si="38"/>
        <v>1.0258652891551721</v>
      </c>
      <c r="U203" s="273">
        <f t="shared" si="39"/>
        <v>0.96460539378765942</v>
      </c>
    </row>
    <row r="204" spans="2:21" x14ac:dyDescent="0.2">
      <c r="B204" s="250">
        <f t="shared" si="35"/>
        <v>48335</v>
      </c>
      <c r="C204" s="242">
        <f>INDEX('[9]Forward Price Curve'!$A:$IV,MATCH(B204,'[9]Forward Price Curve'!$D$1:$D$65536,FALSE),$C$226)</f>
        <v>5.0976274413362024</v>
      </c>
      <c r="D204" s="242">
        <f>INDEX('[9]Forward Price Curve'!$A:$IV,MATCH(B204,'[9]Forward Price Curve'!$D$1:$D$65536,FALSE),$D$226)</f>
        <v>5.339676168936708</v>
      </c>
      <c r="E204" s="251">
        <f t="shared" si="33"/>
        <v>2032</v>
      </c>
      <c r="K204" s="35">
        <f t="shared" si="36"/>
        <v>5</v>
      </c>
      <c r="L204" s="274">
        <f t="shared" si="37"/>
        <v>2032</v>
      </c>
      <c r="M204" s="246">
        <f t="shared" si="34"/>
        <v>48335</v>
      </c>
      <c r="N204" s="247">
        <f>INDEX('[9]Forward Price Curve'!$A$1:$P$65536,MATCH($M204,'[9]Forward Price Curve'!$D$1:$D$65536,FALSE),N$226)</f>
        <v>42.247280000000003</v>
      </c>
      <c r="O204" s="247">
        <f>INDEX('[9]Forward Price Curve'!$A$1:$P$65536,MATCH($M204,'[9]Forward Price Curve'!$D$1:$D$65536,FALSE),O$226)</f>
        <v>49.202689999999997</v>
      </c>
      <c r="P204" s="247">
        <f>INDEX('[9]Forward Price Curve'!$A$1:$P$65536,MATCH($M204,'[9]Forward Price Curve'!$D$1:$D$65536,FALSE),P$226)</f>
        <v>34.690379999999998</v>
      </c>
      <c r="Q204" s="248">
        <f>INDEX('[9]Forward Price Curve'!$A$1:$P$65536,MATCH($M204,'[9]Forward Price Curve'!$D$1:$D$65536,FALSE),Q$226)</f>
        <v>45.737259999999999</v>
      </c>
      <c r="S204" s="271">
        <f>INDEX('[9]Forward Price Curve'!$V:$V,MATCH($M204,'[9]Forward Price Curve'!$D:$D,FALSE),1)</f>
        <v>47.600394408602142</v>
      </c>
      <c r="T204" s="273">
        <f t="shared" si="38"/>
        <v>1.0336613931734207</v>
      </c>
      <c r="U204" s="273">
        <f t="shared" si="39"/>
        <v>0.96085884514718545</v>
      </c>
    </row>
    <row r="205" spans="2:21" x14ac:dyDescent="0.2">
      <c r="B205" s="250">
        <f t="shared" si="35"/>
        <v>48366</v>
      </c>
      <c r="C205" s="242">
        <f>INDEX('[9]Forward Price Curve'!$A:$IV,MATCH(B205,'[9]Forward Price Curve'!$D$1:$D$65536,FALSE),$C$226)</f>
        <v>5.0848187519213033</v>
      </c>
      <c r="D205" s="242">
        <f>INDEX('[9]Forward Price Curve'!$A:$IV,MATCH(B205,'[9]Forward Price Curve'!$D$1:$D$65536,FALSE),$D$226)</f>
        <v>5.3474671515569616</v>
      </c>
      <c r="E205" s="251">
        <f t="shared" si="33"/>
        <v>2032</v>
      </c>
      <c r="K205" s="35">
        <f t="shared" si="36"/>
        <v>6</v>
      </c>
      <c r="L205" s="274">
        <f t="shared" si="37"/>
        <v>2032</v>
      </c>
      <c r="M205" s="246">
        <f t="shared" si="34"/>
        <v>48366</v>
      </c>
      <c r="N205" s="247">
        <f>INDEX('[9]Forward Price Curve'!$A$1:$P$65536,MATCH($M205,'[9]Forward Price Curve'!$D$1:$D$65536,FALSE),N$226)</f>
        <v>47.749949999999998</v>
      </c>
      <c r="O205" s="247">
        <f>INDEX('[9]Forward Price Curve'!$A$1:$P$65536,MATCH($M205,'[9]Forward Price Curve'!$D$1:$D$65536,FALSE),O$226)</f>
        <v>53.807960000000001</v>
      </c>
      <c r="P205" s="247">
        <f>INDEX('[9]Forward Price Curve'!$A$1:$P$65536,MATCH($M205,'[9]Forward Price Curve'!$D$1:$D$65536,FALSE),P$226)</f>
        <v>37.166840000000001</v>
      </c>
      <c r="Q205" s="248">
        <f>INDEX('[9]Forward Price Curve'!$A$1:$P$65536,MATCH($M205,'[9]Forward Price Curve'!$D$1:$D$65536,FALSE),Q$226)</f>
        <v>47.25806</v>
      </c>
      <c r="S205" s="271">
        <f>INDEX('[9]Forward Price Curve'!$V:$V,MATCH($M205,'[9]Forward Price Curve'!$D:$D,FALSE),1)</f>
        <v>51.04244666666667</v>
      </c>
      <c r="T205" s="273">
        <f t="shared" si="38"/>
        <v>1.0541806577453772</v>
      </c>
      <c r="U205" s="273">
        <f t="shared" si="39"/>
        <v>0.92585804729579968</v>
      </c>
    </row>
    <row r="206" spans="2:21" x14ac:dyDescent="0.2">
      <c r="B206" s="250">
        <f t="shared" si="35"/>
        <v>48396</v>
      </c>
      <c r="C206" s="242">
        <f>INDEX('[9]Forward Price Curve'!$A:$IV,MATCH(B206,'[9]Forward Price Curve'!$D$1:$D$65536,FALSE),$C$226)</f>
        <v>5.1515264063940984</v>
      </c>
      <c r="D206" s="242">
        <f>INDEX('[9]Forward Price Curve'!$A:$IV,MATCH(B206,'[9]Forward Price Curve'!$D$1:$D$65536,FALSE),$D$226)</f>
        <v>5.3706337157721507</v>
      </c>
      <c r="E206" s="251">
        <f t="shared" si="33"/>
        <v>2032</v>
      </c>
      <c r="K206" s="35">
        <f t="shared" si="36"/>
        <v>7</v>
      </c>
      <c r="L206" s="274">
        <f t="shared" si="37"/>
        <v>2032</v>
      </c>
      <c r="M206" s="246">
        <f t="shared" si="34"/>
        <v>48396</v>
      </c>
      <c r="N206" s="247">
        <f>INDEX('[9]Forward Price Curve'!$A$1:$P$65536,MATCH($M206,'[9]Forward Price Curve'!$D$1:$D$65536,FALSE),N$226)</f>
        <v>53.250920000000001</v>
      </c>
      <c r="O206" s="247">
        <f>INDEX('[9]Forward Price Curve'!$A$1:$P$65536,MATCH($M206,'[9]Forward Price Curve'!$D$1:$D$65536,FALSE),O$226)</f>
        <v>58.726709999999997</v>
      </c>
      <c r="P206" s="247">
        <f>INDEX('[9]Forward Price Curve'!$A$1:$P$65536,MATCH($M206,'[9]Forward Price Curve'!$D$1:$D$65536,FALSE),P$226)</f>
        <v>42.301749999999998</v>
      </c>
      <c r="Q206" s="248">
        <f>INDEX('[9]Forward Price Curve'!$A$1:$P$65536,MATCH($M206,'[9]Forward Price Curve'!$D$1:$D$65536,FALSE),Q$226)</f>
        <v>49.996639999999999</v>
      </c>
      <c r="S206" s="271">
        <f>INDEX('[9]Forward Price Curve'!$V:$V,MATCH($M206,'[9]Forward Price Curve'!$D:$D,FALSE),1)</f>
        <v>54.877969462365591</v>
      </c>
      <c r="T206" s="273">
        <f t="shared" si="38"/>
        <v>1.0701327067189286</v>
      </c>
      <c r="U206" s="273">
        <f t="shared" si="39"/>
        <v>0.91105120123452954</v>
      </c>
    </row>
    <row r="207" spans="2:21" x14ac:dyDescent="0.2">
      <c r="B207" s="250">
        <f t="shared" si="35"/>
        <v>48427</v>
      </c>
      <c r="C207" s="242">
        <f>INDEX('[9]Forward Price Curve'!$A:$IV,MATCH(B207,'[9]Forward Price Curve'!$D$1:$D$65536,FALSE),$C$226)</f>
        <v>5.3515469002971621</v>
      </c>
      <c r="D207" s="242">
        <f>INDEX('[9]Forward Price Curve'!$A:$IV,MATCH(B207,'[9]Forward Price Curve'!$D$1:$D$65536,FALSE),$D$226)</f>
        <v>5.5798551364683533</v>
      </c>
      <c r="E207" s="251">
        <f t="shared" si="33"/>
        <v>2032</v>
      </c>
      <c r="K207" s="35">
        <f t="shared" si="36"/>
        <v>8</v>
      </c>
      <c r="L207" s="274">
        <f t="shared" si="37"/>
        <v>2032</v>
      </c>
      <c r="M207" s="246">
        <f t="shared" si="34"/>
        <v>48427</v>
      </c>
      <c r="N207" s="247">
        <f>INDEX('[9]Forward Price Curve'!$A$1:$P$65536,MATCH($M207,'[9]Forward Price Curve'!$D$1:$D$65536,FALSE),N$226)</f>
        <v>61.550600000000003</v>
      </c>
      <c r="O207" s="247">
        <f>INDEX('[9]Forward Price Curve'!$A$1:$P$65536,MATCH($M207,'[9]Forward Price Curve'!$D$1:$D$65536,FALSE),O$226)</f>
        <v>62.537660000000002</v>
      </c>
      <c r="P207" s="247">
        <f>INDEX('[9]Forward Price Curve'!$A$1:$P$65536,MATCH($M207,'[9]Forward Price Curve'!$D$1:$D$65536,FALSE),P$226)</f>
        <v>46.860250000000001</v>
      </c>
      <c r="Q207" s="248">
        <f>INDEX('[9]Forward Price Curve'!$A$1:$P$65536,MATCH($M207,'[9]Forward Price Curve'!$D$1:$D$65536,FALSE),Q$226)</f>
        <v>52.084629999999997</v>
      </c>
      <c r="S207" s="271">
        <f>INDEX('[9]Forward Price Curve'!$V:$V,MATCH($M207,'[9]Forward Price Curve'!$D:$D,FALSE),1)</f>
        <v>57.929334946236558</v>
      </c>
      <c r="T207" s="273">
        <f t="shared" si="38"/>
        <v>1.079550801990742</v>
      </c>
      <c r="U207" s="273">
        <f t="shared" si="39"/>
        <v>0.89910629991418067</v>
      </c>
    </row>
    <row r="208" spans="2:21" x14ac:dyDescent="0.2">
      <c r="B208" s="250">
        <f t="shared" si="35"/>
        <v>48458</v>
      </c>
      <c r="C208" s="242">
        <f>INDEX('[9]Forward Price Curve'!$A:$IV,MATCH(B208,'[9]Forward Price Curve'!$D$1:$D$65536,FALSE),$C$226)</f>
        <v>5.3464234245312019</v>
      </c>
      <c r="D208" s="242">
        <f>INDEX('[9]Forward Price Curve'!$A:$IV,MATCH(B208,'[9]Forward Price Curve'!$D$1:$D$65536,FALSE),$D$226)</f>
        <v>5.5721673456708842</v>
      </c>
      <c r="E208" s="251">
        <f t="shared" si="33"/>
        <v>2032</v>
      </c>
      <c r="K208" s="35">
        <f t="shared" si="36"/>
        <v>9</v>
      </c>
      <c r="L208" s="274">
        <f t="shared" si="37"/>
        <v>2032</v>
      </c>
      <c r="M208" s="246">
        <f t="shared" si="34"/>
        <v>48458</v>
      </c>
      <c r="N208" s="247">
        <f>INDEX('[9]Forward Price Curve'!$A$1:$P$65536,MATCH($M208,'[9]Forward Price Curve'!$D$1:$D$65536,FALSE),N$226)</f>
        <v>62.669260000000001</v>
      </c>
      <c r="O208" s="247">
        <f>INDEX('[9]Forward Price Curve'!$A$1:$P$65536,MATCH($M208,'[9]Forward Price Curve'!$D$1:$D$65536,FALSE),O$226)</f>
        <v>58.38794</v>
      </c>
      <c r="P208" s="247">
        <f>INDEX('[9]Forward Price Curve'!$A$1:$P$65536,MATCH($M208,'[9]Forward Price Curve'!$D$1:$D$65536,FALSE),P$226)</f>
        <v>50.539270000000002</v>
      </c>
      <c r="Q208" s="248">
        <f>INDEX('[9]Forward Price Curve'!$A$1:$P$65536,MATCH($M208,'[9]Forward Price Curve'!$D$1:$D$65536,FALSE),Q$226)</f>
        <v>50.278129999999997</v>
      </c>
      <c r="S208" s="271">
        <f>INDEX('[9]Forward Price Curve'!$V:$V,MATCH($M208,'[9]Forward Price Curve'!$D:$D,FALSE),1)</f>
        <v>54.783580000000001</v>
      </c>
      <c r="T208" s="273">
        <f t="shared" si="38"/>
        <v>1.0657927065007435</v>
      </c>
      <c r="U208" s="273">
        <f t="shared" si="39"/>
        <v>0.91775911687407064</v>
      </c>
    </row>
    <row r="209" spans="2:21" x14ac:dyDescent="0.2">
      <c r="B209" s="250">
        <f t="shared" si="35"/>
        <v>48488</v>
      </c>
      <c r="C209" s="242">
        <f>INDEX('[9]Forward Price Curve'!$A:$IV,MATCH(B209,'[9]Forward Price Curve'!$D$1:$D$65536,FALSE),$C$226)</f>
        <v>5.4413101957167749</v>
      </c>
      <c r="D209" s="242">
        <f>INDEX('[9]Forward Price Curve'!$A:$IV,MATCH(B209,'[9]Forward Price Curve'!$D$1:$D$65536,FALSE),$D$226)</f>
        <v>5.6574037912911379</v>
      </c>
      <c r="E209" s="251">
        <f t="shared" si="33"/>
        <v>2032</v>
      </c>
      <c r="K209" s="35">
        <f t="shared" si="36"/>
        <v>10</v>
      </c>
      <c r="L209" s="274">
        <f t="shared" si="37"/>
        <v>2032</v>
      </c>
      <c r="M209" s="246">
        <f t="shared" si="34"/>
        <v>48488</v>
      </c>
      <c r="N209" s="247">
        <f>INDEX('[9]Forward Price Curve'!$A$1:$P$65536,MATCH($M209,'[9]Forward Price Curve'!$D$1:$D$65536,FALSE),N$226)</f>
        <v>54.609789999999997</v>
      </c>
      <c r="O209" s="247">
        <f>INDEX('[9]Forward Price Curve'!$A$1:$P$65536,MATCH($M209,'[9]Forward Price Curve'!$D$1:$D$65536,FALSE),O$226)</f>
        <v>56.67407</v>
      </c>
      <c r="P209" s="247">
        <f>INDEX('[9]Forward Price Curve'!$A$1:$P$65536,MATCH($M209,'[9]Forward Price Curve'!$D$1:$D$65536,FALSE),P$226)</f>
        <v>46.100380000000001</v>
      </c>
      <c r="Q209" s="248">
        <f>INDEX('[9]Forward Price Curve'!$A$1:$P$65536,MATCH($M209,'[9]Forward Price Curve'!$D$1:$D$65536,FALSE),Q$226)</f>
        <v>50.597760000000001</v>
      </c>
      <c r="S209" s="271">
        <f>INDEX('[9]Forward Price Curve'!$V:$V,MATCH($M209,'[9]Forward Price Curve'!$D:$D,FALSE),1)</f>
        <v>53.995266666666666</v>
      </c>
      <c r="T209" s="273">
        <f t="shared" si="38"/>
        <v>1.049611817826007</v>
      </c>
      <c r="U209" s="273">
        <f t="shared" si="39"/>
        <v>0.93707769446457656</v>
      </c>
    </row>
    <row r="210" spans="2:21" x14ac:dyDescent="0.2">
      <c r="B210" s="250">
        <f t="shared" si="35"/>
        <v>48519</v>
      </c>
      <c r="C210" s="242">
        <f>INDEX('[9]Forward Price Curve'!$A:$IV,MATCH(B210,'[9]Forward Price Curve'!$D$1:$D$65536,FALSE),$C$226)</f>
        <v>5.7181828261092331</v>
      </c>
      <c r="D210" s="242">
        <f>INDEX('[9]Forward Price Curve'!$A:$IV,MATCH(B210,'[9]Forward Price Curve'!$D$1:$D$65536,FALSE),$D$226)</f>
        <v>5.8820523894936692</v>
      </c>
      <c r="E210" s="251">
        <f t="shared" si="33"/>
        <v>2032</v>
      </c>
      <c r="K210" s="35">
        <f t="shared" si="36"/>
        <v>11</v>
      </c>
      <c r="L210" s="274">
        <f t="shared" si="37"/>
        <v>2032</v>
      </c>
      <c r="M210" s="246">
        <f t="shared" si="34"/>
        <v>48519</v>
      </c>
      <c r="N210" s="247">
        <f>INDEX('[9]Forward Price Curve'!$A$1:$P$65536,MATCH($M210,'[9]Forward Price Curve'!$D$1:$D$65536,FALSE),N$226)</f>
        <v>57.172240000000002</v>
      </c>
      <c r="O210" s="247">
        <f>INDEX('[9]Forward Price Curve'!$A$1:$P$65536,MATCH($M210,'[9]Forward Price Curve'!$D$1:$D$65536,FALSE),O$226)</f>
        <v>59.430500000000002</v>
      </c>
      <c r="P210" s="247">
        <f>INDEX('[9]Forward Price Curve'!$A$1:$P$65536,MATCH($M210,'[9]Forward Price Curve'!$D$1:$D$65536,FALSE),P$226)</f>
        <v>46.641240000000003</v>
      </c>
      <c r="Q210" s="248">
        <f>INDEX('[9]Forward Price Curve'!$A$1:$P$65536,MATCH($M210,'[9]Forward Price Curve'!$D$1:$D$65536,FALSE),Q$226)</f>
        <v>52.06626</v>
      </c>
      <c r="S210" s="271">
        <f>INDEX('[9]Forward Price Curve'!$V:$V,MATCH($M210,'[9]Forward Price Curve'!$D:$D,FALSE),1)</f>
        <v>56.151830041608882</v>
      </c>
      <c r="T210" s="273">
        <f t="shared" si="38"/>
        <v>1.0583893696066826</v>
      </c>
      <c r="U210" s="273">
        <f t="shared" si="39"/>
        <v>0.92724066092625212</v>
      </c>
    </row>
    <row r="211" spans="2:21" x14ac:dyDescent="0.2">
      <c r="B211" s="252">
        <f t="shared" si="35"/>
        <v>48549</v>
      </c>
      <c r="C211" s="253">
        <f>INDEX('[9]Forward Price Curve'!$A:$IV,MATCH(B211,'[9]Forward Price Curve'!$D$1:$D$65536,FALSE),$C$226)</f>
        <v>5.9464849062403937</v>
      </c>
      <c r="D211" s="253">
        <f>INDEX('[9]Forward Price Curve'!$A:$IV,MATCH(B211,'[9]Forward Price Curve'!$D$1:$D$65536,FALSE),$D$226)</f>
        <v>6.0990131968987331</v>
      </c>
      <c r="E211" s="254">
        <f t="shared" si="33"/>
        <v>2032</v>
      </c>
      <c r="K211" s="35">
        <f t="shared" si="36"/>
        <v>12</v>
      </c>
      <c r="L211" s="274">
        <f t="shared" si="37"/>
        <v>2032</v>
      </c>
      <c r="M211" s="255">
        <f t="shared" si="34"/>
        <v>48549</v>
      </c>
      <c r="N211" s="256">
        <f>INDEX('[9]Forward Price Curve'!$A$1:$P$65536,MATCH($M211,'[9]Forward Price Curve'!$D$1:$D$65536,FALSE),N$226)</f>
        <v>61.70787</v>
      </c>
      <c r="O211" s="256">
        <f>INDEX('[9]Forward Price Curve'!$A$1:$P$65536,MATCH($M211,'[9]Forward Price Curve'!$D$1:$D$65536,FALSE),O$226)</f>
        <v>60.47392</v>
      </c>
      <c r="P211" s="256">
        <f>INDEX('[9]Forward Price Curve'!$A$1:$P$65536,MATCH($M211,'[9]Forward Price Curve'!$D$1:$D$65536,FALSE),P$226)</f>
        <v>50.480980000000002</v>
      </c>
      <c r="Q211" s="257">
        <f>INDEX('[9]Forward Price Curve'!$A$1:$P$65536,MATCH($M211,'[9]Forward Price Curve'!$D$1:$D$65536,FALSE),Q$226)</f>
        <v>54.005899999999997</v>
      </c>
      <c r="S211" s="271">
        <f>INDEX('[9]Forward Price Curve'!$V:$V,MATCH($M211,'[9]Forward Price Curve'!$D:$D,FALSE),1)</f>
        <v>57.622427311827956</v>
      </c>
      <c r="T211" s="273">
        <f t="shared" si="38"/>
        <v>1.0494858134444942</v>
      </c>
      <c r="U211" s="273">
        <f t="shared" si="39"/>
        <v>0.93723750489966595</v>
      </c>
    </row>
    <row r="212" spans="2:21" x14ac:dyDescent="0.2">
      <c r="B212" s="241">
        <f t="shared" si="35"/>
        <v>48580</v>
      </c>
      <c r="C212" s="242">
        <f>INDEX('[9]Forward Price Curve'!$A:$IV,MATCH(B212,'[9]Forward Price Curve'!$D$1:$D$65536,FALSE),$C$226)</f>
        <v>6.1541906137923972</v>
      </c>
      <c r="D212" s="242">
        <f>INDEX('[9]Forward Price Curve'!$A:$IV,MATCH(B212,'[9]Forward Price Curve'!$D$1:$D$65536,FALSE),$D$226)</f>
        <v>6.216651874873417</v>
      </c>
      <c r="E212" s="243">
        <f t="shared" si="33"/>
        <v>2033</v>
      </c>
      <c r="K212" s="35">
        <f t="shared" si="36"/>
        <v>1</v>
      </c>
      <c r="L212" s="274">
        <f t="shared" si="37"/>
        <v>2033</v>
      </c>
      <c r="M212" s="246">
        <f t="shared" si="34"/>
        <v>48580</v>
      </c>
      <c r="N212" s="258">
        <f>INDEX('[9]Forward Price Curve'!$A$1:$P$65536,MATCH($M212,'[9]Forward Price Curve'!$D$1:$D$65536,FALSE),N$226)</f>
        <v>59.67841</v>
      </c>
      <c r="O212" s="258">
        <f>INDEX('[9]Forward Price Curve'!$A$1:$P$65536,MATCH($M212,'[9]Forward Price Curve'!$D$1:$D$65536,FALSE),O$226)</f>
        <v>61.177520000000001</v>
      </c>
      <c r="P212" s="258">
        <f>INDEX('[9]Forward Price Curve'!$A$1:$P$65536,MATCH($M212,'[9]Forward Price Curve'!$D$1:$D$65536,FALSE),P$226)</f>
        <v>49.494680000000002</v>
      </c>
      <c r="Q212" s="259">
        <f>INDEX('[9]Forward Price Curve'!$A$1:$P$65536,MATCH($M212,'[9]Forward Price Curve'!$D$1:$D$65536,FALSE),Q$226)</f>
        <v>55.076970000000003</v>
      </c>
      <c r="S212" s="271">
        <f>INDEX('[9]Forward Price Curve'!$V:$V,MATCH($M212,'[9]Forward Price Curve'!$D:$D,FALSE),1)</f>
        <v>58.356835591397846</v>
      </c>
      <c r="T212" s="273">
        <f t="shared" si="38"/>
        <v>1.0483351158440459</v>
      </c>
      <c r="U212" s="273">
        <f t="shared" si="39"/>
        <v>0.9437963769255282</v>
      </c>
    </row>
    <row r="213" spans="2:21" x14ac:dyDescent="0.2">
      <c r="B213" s="250">
        <f t="shared" si="35"/>
        <v>48611</v>
      </c>
      <c r="C213" s="242">
        <f>INDEX('[9]Forward Price Curve'!$A:$IV,MATCH(B213,'[9]Forward Price Curve'!$D$1:$D$65536,FALSE),$C$226)</f>
        <v>6.201019182293269</v>
      </c>
      <c r="D213" s="242">
        <f>INDEX('[9]Forward Price Curve'!$A:$IV,MATCH(B213,'[9]Forward Price Curve'!$D$1:$D$65536,FALSE),$D$226)</f>
        <v>6.2641717092658222</v>
      </c>
      <c r="E213" s="251">
        <f t="shared" si="33"/>
        <v>2033</v>
      </c>
      <c r="K213" s="35">
        <f t="shared" si="36"/>
        <v>2</v>
      </c>
      <c r="L213" s="274">
        <f t="shared" si="37"/>
        <v>2033</v>
      </c>
      <c r="M213" s="246">
        <f t="shared" si="34"/>
        <v>48611</v>
      </c>
      <c r="N213" s="247">
        <f>INDEX('[9]Forward Price Curve'!$A$1:$P$65536,MATCH($M213,'[9]Forward Price Curve'!$D$1:$D$65536,FALSE),N$226)</f>
        <v>63.706110000000002</v>
      </c>
      <c r="O213" s="247">
        <f>INDEX('[9]Forward Price Curve'!$A$1:$P$65536,MATCH($M213,'[9]Forward Price Curve'!$D$1:$D$65536,FALSE),O$226)</f>
        <v>60.995350000000002</v>
      </c>
      <c r="P213" s="247">
        <f>INDEX('[9]Forward Price Curve'!$A$1:$P$65536,MATCH($M213,'[9]Forward Price Curve'!$D$1:$D$65536,FALSE),P$226)</f>
        <v>52.314239999999998</v>
      </c>
      <c r="Q213" s="248">
        <f>INDEX('[9]Forward Price Curve'!$A$1:$P$65536,MATCH($M213,'[9]Forward Price Curve'!$D$1:$D$65536,FALSE),Q$226)</f>
        <v>55.694710000000001</v>
      </c>
      <c r="S213" s="271">
        <f>INDEX('[9]Forward Price Curve'!$V:$V,MATCH($M213,'[9]Forward Price Curve'!$D:$D,FALSE),1)</f>
        <v>58.723647142857139</v>
      </c>
      <c r="T213" s="273">
        <f t="shared" si="38"/>
        <v>1.0386846350264398</v>
      </c>
      <c r="U213" s="273">
        <f t="shared" si="39"/>
        <v>0.94842048663141376</v>
      </c>
    </row>
    <row r="214" spans="2:21" x14ac:dyDescent="0.2">
      <c r="B214" s="250">
        <f t="shared" si="35"/>
        <v>48639</v>
      </c>
      <c r="C214" s="242">
        <f>INDEX('[9]Forward Price Curve'!$A:$IV,MATCH(B214,'[9]Forward Price Curve'!$D$1:$D$65536,FALSE),$C$226)</f>
        <v>5.7626545957577626</v>
      </c>
      <c r="D214" s="242">
        <f>INDEX('[9]Forward Price Curve'!$A:$IV,MATCH(B214,'[9]Forward Price Curve'!$D$1:$D$65536,FALSE),$D$226)</f>
        <v>6.0582524268987346</v>
      </c>
      <c r="E214" s="251">
        <f t="shared" si="33"/>
        <v>2033</v>
      </c>
      <c r="K214" s="35">
        <f t="shared" si="36"/>
        <v>3</v>
      </c>
      <c r="L214" s="274">
        <f t="shared" si="37"/>
        <v>2033</v>
      </c>
      <c r="M214" s="246">
        <f t="shared" si="34"/>
        <v>48639</v>
      </c>
      <c r="N214" s="247">
        <f>INDEX('[9]Forward Price Curve'!$A$1:$P$65536,MATCH($M214,'[9]Forward Price Curve'!$D$1:$D$65536,FALSE),N$226)</f>
        <v>53.944830000000003</v>
      </c>
      <c r="O214" s="247">
        <f>INDEX('[9]Forward Price Curve'!$A$1:$P$65536,MATCH($M214,'[9]Forward Price Curve'!$D$1:$D$65536,FALSE),O$226)</f>
        <v>57.486049999999999</v>
      </c>
      <c r="P214" s="247">
        <f>INDEX('[9]Forward Price Curve'!$A$1:$P$65536,MATCH($M214,'[9]Forward Price Curve'!$D$1:$D$65536,FALSE),P$226)</f>
        <v>47.065640000000002</v>
      </c>
      <c r="Q214" s="248">
        <f>INDEX('[9]Forward Price Curve'!$A$1:$P$65536,MATCH($M214,'[9]Forward Price Curve'!$D$1:$D$65536,FALSE),Q$226)</f>
        <v>53.303939999999997</v>
      </c>
      <c r="S214" s="271">
        <f>INDEX('[9]Forward Price Curve'!$V:$V,MATCH($M214,'[9]Forward Price Curve'!$D:$D,FALSE),1)</f>
        <v>55.735530201884252</v>
      </c>
      <c r="T214" s="273">
        <f t="shared" si="38"/>
        <v>1.0314076100429124</v>
      </c>
      <c r="U214" s="273">
        <f t="shared" si="39"/>
        <v>0.95637270887929848</v>
      </c>
    </row>
    <row r="215" spans="2:21" x14ac:dyDescent="0.2">
      <c r="B215" s="250">
        <f t="shared" si="35"/>
        <v>48670</v>
      </c>
      <c r="C215" s="242">
        <f>INDEX('[9]Forward Price Curve'!$A:$IV,MATCH(B215,'[9]Forward Price Curve'!$D$1:$D$65536,FALSE),$C$226)</f>
        <v>5.3928421149707964</v>
      </c>
      <c r="D215" s="242">
        <f>INDEX('[9]Forward Price Curve'!$A:$IV,MATCH(B215,'[9]Forward Price Curve'!$D$1:$D$65536,FALSE),$D$226)</f>
        <v>5.7415051268607584</v>
      </c>
      <c r="E215" s="251">
        <f t="shared" si="33"/>
        <v>2033</v>
      </c>
      <c r="K215" s="35">
        <f t="shared" si="36"/>
        <v>4</v>
      </c>
      <c r="L215" s="274">
        <f t="shared" si="37"/>
        <v>2033</v>
      </c>
      <c r="M215" s="246">
        <f t="shared" si="34"/>
        <v>48670</v>
      </c>
      <c r="N215" s="247">
        <f>INDEX('[9]Forward Price Curve'!$A$1:$P$65536,MATCH($M215,'[9]Forward Price Curve'!$D$1:$D$65536,FALSE),N$226)</f>
        <v>50.901649999999997</v>
      </c>
      <c r="O215" s="247">
        <f>INDEX('[9]Forward Price Curve'!$A$1:$P$65536,MATCH($M215,'[9]Forward Price Curve'!$D$1:$D$65536,FALSE),O$226)</f>
        <v>54.520389999999999</v>
      </c>
      <c r="P215" s="247">
        <f>INDEX('[9]Forward Price Curve'!$A$1:$P$65536,MATCH($M215,'[9]Forward Price Curve'!$D$1:$D$65536,FALSE),P$226)</f>
        <v>44.971319999999999</v>
      </c>
      <c r="Q215" s="248">
        <f>INDEX('[9]Forward Price Curve'!$A$1:$P$65536,MATCH($M215,'[9]Forward Price Curve'!$D$1:$D$65536,FALSE),Q$226)</f>
        <v>51.37274</v>
      </c>
      <c r="S215" s="271">
        <f>INDEX('[9]Forward Price Curve'!$V:$V,MATCH($M215,'[9]Forward Price Curve'!$D:$D,FALSE),1)</f>
        <v>53.191382222222224</v>
      </c>
      <c r="T215" s="273">
        <f t="shared" si="38"/>
        <v>1.0249853965483631</v>
      </c>
      <c r="U215" s="273">
        <f t="shared" si="39"/>
        <v>0.96580945735487145</v>
      </c>
    </row>
    <row r="216" spans="2:21" x14ac:dyDescent="0.2">
      <c r="B216" s="250">
        <f t="shared" si="35"/>
        <v>48700</v>
      </c>
      <c r="C216" s="242">
        <f>INDEX('[9]Forward Price Curve'!$A:$IV,MATCH(B216,'[9]Forward Price Curve'!$D$1:$D$65536,FALSE),$C$226)</f>
        <v>5.2924219899579876</v>
      </c>
      <c r="D216" s="242">
        <f>INDEX('[9]Forward Price Curve'!$A:$IV,MATCH(B216,'[9]Forward Price Curve'!$D$1:$D$65536,FALSE),$D$226)</f>
        <v>5.5197974956075946</v>
      </c>
      <c r="E216" s="251">
        <f t="shared" si="33"/>
        <v>2033</v>
      </c>
      <c r="K216" s="35">
        <f t="shared" si="36"/>
        <v>5</v>
      </c>
      <c r="L216" s="274">
        <f t="shared" si="37"/>
        <v>2033</v>
      </c>
      <c r="M216" s="246">
        <f t="shared" si="34"/>
        <v>48700</v>
      </c>
      <c r="N216" s="247">
        <f>INDEX('[9]Forward Price Curve'!$A$1:$P$65536,MATCH($M216,'[9]Forward Price Curve'!$D$1:$D$65536,FALSE),N$226)</f>
        <v>43.084220000000002</v>
      </c>
      <c r="O216" s="247">
        <f>INDEX('[9]Forward Price Curve'!$A$1:$P$65536,MATCH($M216,'[9]Forward Price Curve'!$D$1:$D$65536,FALSE),O$226)</f>
        <v>50.536679999999997</v>
      </c>
      <c r="P216" s="247">
        <f>INDEX('[9]Forward Price Curve'!$A$1:$P$65536,MATCH($M216,'[9]Forward Price Curve'!$D$1:$D$65536,FALSE),P$226)</f>
        <v>35.185139999999997</v>
      </c>
      <c r="Q216" s="248">
        <f>INDEX('[9]Forward Price Curve'!$A$1:$P$65536,MATCH($M216,'[9]Forward Price Curve'!$D$1:$D$65536,FALSE),Q$226)</f>
        <v>47.041800000000002</v>
      </c>
      <c r="S216" s="271">
        <f>INDEX('[9]Forward Price Curve'!$V:$V,MATCH($M216,'[9]Forward Price Curve'!$D:$D,FALSE),1)</f>
        <v>48.920767741935485</v>
      </c>
      <c r="T216" s="273">
        <f t="shared" si="38"/>
        <v>1.033031212154901</v>
      </c>
      <c r="U216" s="273">
        <f t="shared" si="39"/>
        <v>0.96159161377337077</v>
      </c>
    </row>
    <row r="217" spans="2:21" x14ac:dyDescent="0.2">
      <c r="B217" s="250">
        <f t="shared" si="35"/>
        <v>48731</v>
      </c>
      <c r="C217" s="242">
        <f>INDEX('[9]Forward Price Curve'!$A:$IV,MATCH(B217,'[9]Forward Price Curve'!$D$1:$D$65536,FALSE),$C$226)</f>
        <v>5.2638329951839333</v>
      </c>
      <c r="D217" s="242">
        <f>INDEX('[9]Forward Price Curve'!$A:$IV,MATCH(B217,'[9]Forward Price Curve'!$D$1:$D$65536,FALSE),$D$226)</f>
        <v>5.5197974956075946</v>
      </c>
      <c r="E217" s="251">
        <f t="shared" si="33"/>
        <v>2033</v>
      </c>
      <c r="K217" s="35">
        <f t="shared" si="36"/>
        <v>6</v>
      </c>
      <c r="L217" s="274">
        <f t="shared" si="37"/>
        <v>2033</v>
      </c>
      <c r="M217" s="246">
        <f t="shared" si="34"/>
        <v>48731</v>
      </c>
      <c r="N217" s="247">
        <f>INDEX('[9]Forward Price Curve'!$A$1:$P$65536,MATCH($M217,'[9]Forward Price Curve'!$D$1:$D$65536,FALSE),N$226)</f>
        <v>49.10812</v>
      </c>
      <c r="O217" s="247">
        <f>INDEX('[9]Forward Price Curve'!$A$1:$P$65536,MATCH($M217,'[9]Forward Price Curve'!$D$1:$D$65536,FALSE),O$226)</f>
        <v>55.147100000000002</v>
      </c>
      <c r="P217" s="247">
        <f>INDEX('[9]Forward Price Curve'!$A$1:$P$65536,MATCH($M217,'[9]Forward Price Curve'!$D$1:$D$65536,FALSE),P$226)</f>
        <v>38.451039999999999</v>
      </c>
      <c r="Q217" s="248">
        <f>INDEX('[9]Forward Price Curve'!$A$1:$P$65536,MATCH($M217,'[9]Forward Price Curve'!$D$1:$D$65536,FALSE),Q$226)</f>
        <v>48.50159</v>
      </c>
      <c r="S217" s="271">
        <f>INDEX('[9]Forward Price Curve'!$V:$V,MATCH($M217,'[9]Forward Price Curve'!$D:$D,FALSE),1)</f>
        <v>52.341217999999998</v>
      </c>
      <c r="T217" s="273">
        <f t="shared" si="38"/>
        <v>1.0536075029816847</v>
      </c>
      <c r="U217" s="273">
        <f t="shared" si="39"/>
        <v>0.92664236434085279</v>
      </c>
    </row>
    <row r="218" spans="2:21" x14ac:dyDescent="0.2">
      <c r="B218" s="250">
        <f t="shared" si="35"/>
        <v>48761</v>
      </c>
      <c r="C218" s="242">
        <f>INDEX('[9]Forward Price Curve'!$A:$IV,MATCH(B218,'[9]Forward Price Curve'!$D$1:$D$65536,FALSE),$C$226)</f>
        <v>5.3944816272159031</v>
      </c>
      <c r="D218" s="242">
        <f>INDEX('[9]Forward Price Curve'!$A:$IV,MATCH(B218,'[9]Forward Price Curve'!$D$1:$D$65536,FALSE),$D$226)</f>
        <v>5.6306771091898717</v>
      </c>
      <c r="E218" s="251">
        <f t="shared" si="33"/>
        <v>2033</v>
      </c>
      <c r="K218" s="35">
        <f t="shared" si="36"/>
        <v>7</v>
      </c>
      <c r="L218" s="274">
        <f t="shared" si="37"/>
        <v>2033</v>
      </c>
      <c r="M218" s="246">
        <f t="shared" si="34"/>
        <v>48761</v>
      </c>
      <c r="N218" s="247">
        <f>INDEX('[9]Forward Price Curve'!$A$1:$P$65536,MATCH($M218,'[9]Forward Price Curve'!$D$1:$D$65536,FALSE),N$226)</f>
        <v>55.091799999999999</v>
      </c>
      <c r="O218" s="247">
        <f>INDEX('[9]Forward Price Curve'!$A$1:$P$65536,MATCH($M218,'[9]Forward Price Curve'!$D$1:$D$65536,FALSE),O$226)</f>
        <v>60.498730000000002</v>
      </c>
      <c r="P218" s="247">
        <f>INDEX('[9]Forward Price Curve'!$A$1:$P$65536,MATCH($M218,'[9]Forward Price Curve'!$D$1:$D$65536,FALSE),P$226)</f>
        <v>44.087479999999999</v>
      </c>
      <c r="Q218" s="248">
        <f>INDEX('[9]Forward Price Curve'!$A$1:$P$65536,MATCH($M218,'[9]Forward Price Curve'!$D$1:$D$65536,FALSE),Q$226)</f>
        <v>51.629570000000001</v>
      </c>
      <c r="S218" s="271">
        <f>INDEX('[9]Forward Price Curve'!$V:$V,MATCH($M218,'[9]Forward Price Curve'!$D:$D,FALSE),1)</f>
        <v>56.397935591397854</v>
      </c>
      <c r="T218" s="273">
        <f t="shared" si="38"/>
        <v>1.0727117821884888</v>
      </c>
      <c r="U218" s="273">
        <f t="shared" si="39"/>
        <v>0.91545141605989644</v>
      </c>
    </row>
    <row r="219" spans="2:21" x14ac:dyDescent="0.2">
      <c r="B219" s="250">
        <f t="shared" si="35"/>
        <v>48792</v>
      </c>
      <c r="C219" s="242">
        <f>INDEX('[9]Forward Price Curve'!$A:$IV,MATCH(B219,'[9]Forward Price Curve'!$D$1:$D$65536,FALSE),$C$226)</f>
        <v>5.5989083102776931</v>
      </c>
      <c r="D219" s="242">
        <f>INDEX('[9]Forward Price Curve'!$A:$IV,MATCH(B219,'[9]Forward Price Curve'!$D$1:$D$65536,FALSE),$D$226)</f>
        <v>5.8127590804936702</v>
      </c>
      <c r="E219" s="251">
        <f t="shared" si="33"/>
        <v>2033</v>
      </c>
      <c r="K219" s="35">
        <f t="shared" si="36"/>
        <v>8</v>
      </c>
      <c r="L219" s="274">
        <f t="shared" si="37"/>
        <v>2033</v>
      </c>
      <c r="M219" s="246">
        <f t="shared" si="34"/>
        <v>48792</v>
      </c>
      <c r="N219" s="247">
        <f>INDEX('[9]Forward Price Curve'!$A$1:$P$65536,MATCH($M219,'[9]Forward Price Curve'!$D$1:$D$65536,FALSE),N$226)</f>
        <v>63.001420000000003</v>
      </c>
      <c r="O219" s="247">
        <f>INDEX('[9]Forward Price Curve'!$A$1:$P$65536,MATCH($M219,'[9]Forward Price Curve'!$D$1:$D$65536,FALSE),O$226)</f>
        <v>64.219819999999999</v>
      </c>
      <c r="P219" s="247">
        <f>INDEX('[9]Forward Price Curve'!$A$1:$P$65536,MATCH($M219,'[9]Forward Price Curve'!$D$1:$D$65536,FALSE),P$226)</f>
        <v>48.134250000000002</v>
      </c>
      <c r="Q219" s="248">
        <f>INDEX('[9]Forward Price Curve'!$A$1:$P$65536,MATCH($M219,'[9]Forward Price Curve'!$D$1:$D$65536,FALSE),Q$226)</f>
        <v>53.047510000000003</v>
      </c>
      <c r="S219" s="271">
        <f>INDEX('[9]Forward Price Curve'!$V:$V,MATCH($M219,'[9]Forward Price Curve'!$D:$D,FALSE),1)</f>
        <v>59.534657741935483</v>
      </c>
      <c r="T219" s="273">
        <f t="shared" si="38"/>
        <v>1.0786963835145111</v>
      </c>
      <c r="U219" s="273">
        <f t="shared" si="39"/>
        <v>0.89103577667221534</v>
      </c>
    </row>
    <row r="220" spans="2:21" x14ac:dyDescent="0.2">
      <c r="B220" s="250">
        <f t="shared" si="35"/>
        <v>48823</v>
      </c>
      <c r="C220" s="242">
        <f>INDEX('[9]Forward Price Curve'!$A:$IV,MATCH(B220,'[9]Forward Price Curve'!$D$1:$D$65536,FALSE),$C$226)</f>
        <v>5.5780045291525777</v>
      </c>
      <c r="D220" s="242">
        <f>INDEX('[9]Forward Price Curve'!$A:$IV,MATCH(B220,'[9]Forward Price Curve'!$D$1:$D$65536,FALSE),$D$226)</f>
        <v>5.7652392461012649</v>
      </c>
      <c r="E220" s="251">
        <f t="shared" si="33"/>
        <v>2033</v>
      </c>
      <c r="K220" s="35">
        <f t="shared" si="36"/>
        <v>9</v>
      </c>
      <c r="L220" s="274">
        <f t="shared" si="37"/>
        <v>2033</v>
      </c>
      <c r="M220" s="246">
        <f t="shared" si="34"/>
        <v>48823</v>
      </c>
      <c r="N220" s="247">
        <f>INDEX('[9]Forward Price Curve'!$A$1:$P$65536,MATCH($M220,'[9]Forward Price Curve'!$D$1:$D$65536,FALSE),N$226)</f>
        <v>63.523139999999998</v>
      </c>
      <c r="O220" s="247">
        <f>INDEX('[9]Forward Price Curve'!$A$1:$P$65536,MATCH($M220,'[9]Forward Price Curve'!$D$1:$D$65536,FALSE),O$226)</f>
        <v>59.482950000000002</v>
      </c>
      <c r="P220" s="247">
        <f>INDEX('[9]Forward Price Curve'!$A$1:$P$65536,MATCH($M220,'[9]Forward Price Curve'!$D$1:$D$65536,FALSE),P$226)</f>
        <v>51.912260000000003</v>
      </c>
      <c r="Q220" s="248">
        <f>INDEX('[9]Forward Price Curve'!$A$1:$P$65536,MATCH($M220,'[9]Forward Price Curve'!$D$1:$D$65536,FALSE),Q$226)</f>
        <v>51.617400000000004</v>
      </c>
      <c r="S220" s="271">
        <f>INDEX('[9]Forward Price Curve'!$V:$V,MATCH($M220,'[9]Forward Price Curve'!$D:$D,FALSE),1)</f>
        <v>55.987150000000007</v>
      </c>
      <c r="T220" s="273">
        <f t="shared" si="38"/>
        <v>1.0624393275957071</v>
      </c>
      <c r="U220" s="273">
        <f t="shared" si="39"/>
        <v>0.92195084050536591</v>
      </c>
    </row>
    <row r="221" spans="2:21" x14ac:dyDescent="0.2">
      <c r="B221" s="250">
        <f t="shared" si="35"/>
        <v>48853</v>
      </c>
      <c r="C221" s="242">
        <f>INDEX('[9]Forward Price Curve'!$A:$IV,MATCH(B221,'[9]Forward Price Curve'!$D$1:$D$65536,FALSE),$C$226)</f>
        <v>5.6434825494415417</v>
      </c>
      <c r="D221" s="242">
        <f>INDEX('[9]Forward Price Curve'!$A:$IV,MATCH(B221,'[9]Forward Price Curve'!$D$1:$D$65536,FALSE),$D$226)</f>
        <v>5.8761188596835439</v>
      </c>
      <c r="E221" s="251">
        <f t="shared" si="33"/>
        <v>2033</v>
      </c>
      <c r="K221" s="35">
        <f t="shared" si="36"/>
        <v>10</v>
      </c>
      <c r="L221" s="274">
        <f t="shared" si="37"/>
        <v>2033</v>
      </c>
      <c r="M221" s="246">
        <f t="shared" si="34"/>
        <v>48853</v>
      </c>
      <c r="N221" s="247">
        <f>INDEX('[9]Forward Price Curve'!$A$1:$P$65536,MATCH($M221,'[9]Forward Price Curve'!$D$1:$D$65536,FALSE),N$226)</f>
        <v>56.722079999999998</v>
      </c>
      <c r="O221" s="247">
        <f>INDEX('[9]Forward Price Curve'!$A$1:$P$65536,MATCH($M221,'[9]Forward Price Curve'!$D$1:$D$65536,FALSE),O$226)</f>
        <v>58.022019999999998</v>
      </c>
      <c r="P221" s="247">
        <f>INDEX('[9]Forward Price Curve'!$A$1:$P$65536,MATCH($M221,'[9]Forward Price Curve'!$D$1:$D$65536,FALSE),P$226)</f>
        <v>48.021819999999998</v>
      </c>
      <c r="Q221" s="248">
        <f>INDEX('[9]Forward Price Curve'!$A$1:$P$65536,MATCH($M221,'[9]Forward Price Curve'!$D$1:$D$65536,FALSE),Q$226)</f>
        <v>52.078299999999999</v>
      </c>
      <c r="S221" s="271">
        <f>INDEX('[9]Forward Price Curve'!$V:$V,MATCH($M221,'[9]Forward Price Curve'!$D:$D,FALSE),1)</f>
        <v>55.401670322580642</v>
      </c>
      <c r="T221" s="273">
        <f t="shared" si="38"/>
        <v>1.0472973046148637</v>
      </c>
      <c r="U221" s="273">
        <f t="shared" si="39"/>
        <v>0.94001317463480694</v>
      </c>
    </row>
    <row r="222" spans="2:21" x14ac:dyDescent="0.2">
      <c r="B222" s="250">
        <f t="shared" si="35"/>
        <v>48884</v>
      </c>
      <c r="C222" s="242">
        <f>INDEX('[9]Forward Price Curve'!$A:$IV,MATCH(B222,'[9]Forward Price Curve'!$D$1:$D$65536,FALSE),$C$226)</f>
        <v>5.8933032277897333</v>
      </c>
      <c r="D222" s="242">
        <f>INDEX('[9]Forward Price Curve'!$A:$IV,MATCH(B222,'[9]Forward Price Curve'!$D$1:$D$65536,FALSE),$D$226)</f>
        <v>6.0978780868481008</v>
      </c>
      <c r="E222" s="251">
        <f t="shared" si="33"/>
        <v>2033</v>
      </c>
      <c r="K222" s="35">
        <f t="shared" si="36"/>
        <v>11</v>
      </c>
      <c r="L222" s="274">
        <f t="shared" si="37"/>
        <v>2033</v>
      </c>
      <c r="M222" s="246">
        <f t="shared" si="34"/>
        <v>48884</v>
      </c>
      <c r="N222" s="247">
        <f>INDEX('[9]Forward Price Curve'!$A$1:$P$65536,MATCH($M222,'[9]Forward Price Curve'!$D$1:$D$65536,FALSE),N$226)</f>
        <v>61.091659999999997</v>
      </c>
      <c r="O222" s="247">
        <f>INDEX('[9]Forward Price Curve'!$A$1:$P$65536,MATCH($M222,'[9]Forward Price Curve'!$D$1:$D$65536,FALSE),O$226)</f>
        <v>60.85042</v>
      </c>
      <c r="P222" s="247">
        <f>INDEX('[9]Forward Price Curve'!$A$1:$P$65536,MATCH($M222,'[9]Forward Price Curve'!$D$1:$D$65536,FALSE),P$226)</f>
        <v>48.948399999999999</v>
      </c>
      <c r="Q222" s="248">
        <f>INDEX('[9]Forward Price Curve'!$A$1:$P$65536,MATCH($M222,'[9]Forward Price Curve'!$D$1:$D$65536,FALSE),Q$226)</f>
        <v>53.155909999999999</v>
      </c>
      <c r="S222" s="271">
        <f>INDEX('[9]Forward Price Curve'!$V:$V,MATCH($M222,'[9]Forward Price Curve'!$D:$D,FALSE),1)</f>
        <v>57.424708890429962</v>
      </c>
      <c r="T222" s="273">
        <f t="shared" si="38"/>
        <v>1.0596556983180623</v>
      </c>
      <c r="U222" s="273">
        <f t="shared" si="39"/>
        <v>0.92566268122359829</v>
      </c>
    </row>
    <row r="223" spans="2:21" x14ac:dyDescent="0.2">
      <c r="B223" s="252">
        <f t="shared" si="35"/>
        <v>48914</v>
      </c>
      <c r="C223" s="253">
        <f>INDEX('[9]Forward Price Curve'!$A:$IV,MATCH(B223,'[9]Forward Price Curve'!$D$1:$D$65536,FALSE),$C$226)</f>
        <v>6.1584943334358035</v>
      </c>
      <c r="D223" s="253">
        <f>INDEX('[9]Forward Price Curve'!$A:$IV,MATCH(B223,'[9]Forward Price Curve'!$D$1:$D$65536,FALSE),$D$226)</f>
        <v>6.4542510468354424</v>
      </c>
      <c r="E223" s="254">
        <f t="shared" si="33"/>
        <v>2033</v>
      </c>
      <c r="K223" s="35">
        <f t="shared" si="36"/>
        <v>12</v>
      </c>
      <c r="L223" s="274">
        <f t="shared" si="37"/>
        <v>2033</v>
      </c>
      <c r="M223" s="255">
        <f t="shared" si="34"/>
        <v>48914</v>
      </c>
      <c r="N223" s="256">
        <f>INDEX('[9]Forward Price Curve'!$A$1:$P$65536,MATCH($M223,'[9]Forward Price Curve'!$D$1:$D$65536,FALSE),N$226)</f>
        <v>63.852159999999998</v>
      </c>
      <c r="O223" s="256">
        <f>INDEX('[9]Forward Price Curve'!$A$1:$P$65536,MATCH($M223,'[9]Forward Price Curve'!$D$1:$D$65536,FALSE),O$226)</f>
        <v>61.613140000000001</v>
      </c>
      <c r="P223" s="256">
        <f>INDEX('[9]Forward Price Curve'!$A$1:$P$65536,MATCH($M223,'[9]Forward Price Curve'!$D$1:$D$65536,FALSE),P$226)</f>
        <v>52.542569999999998</v>
      </c>
      <c r="Q223" s="257">
        <f>INDEX('[9]Forward Price Curve'!$A$1:$P$65536,MATCH($M223,'[9]Forward Price Curve'!$D$1:$D$65536,FALSE),Q$226)</f>
        <v>55.859119999999997</v>
      </c>
      <c r="S223" s="271">
        <f>INDEX('[9]Forward Price Curve'!$V:$V,MATCH($M223,'[9]Forward Price Curve'!$D:$D,FALSE),1)</f>
        <v>59.076421505376345</v>
      </c>
      <c r="T223" s="273">
        <f t="shared" si="38"/>
        <v>1.0429396099151469</v>
      </c>
      <c r="U223" s="273">
        <f t="shared" si="39"/>
        <v>0.94554000693688678</v>
      </c>
    </row>
    <row r="225" spans="2:17" x14ac:dyDescent="0.2">
      <c r="C225" s="264" t="s">
        <v>313</v>
      </c>
      <c r="D225" s="264" t="s">
        <v>314</v>
      </c>
      <c r="N225" s="264" t="s">
        <v>217</v>
      </c>
      <c r="O225" s="264" t="s">
        <v>218</v>
      </c>
      <c r="P225" s="264" t="s">
        <v>217</v>
      </c>
      <c r="Q225" s="264" t="s">
        <v>218</v>
      </c>
    </row>
    <row r="226" spans="2:17" x14ac:dyDescent="0.2">
      <c r="C226" s="266">
        <f>MATCH(C225,'[9]Forward Price Curve'!$A$7:$IV$7,FALSE)</f>
        <v>46</v>
      </c>
      <c r="D226" s="266">
        <f>MATCH(D225,'[9]Forward Price Curve'!$A$7:$IV$7,FALSE)</f>
        <v>43</v>
      </c>
      <c r="N226" s="266">
        <f>MATCH(N225,'[9]Forward Price Curve'!$A$8:$IV$8,FALSE)</f>
        <v>7</v>
      </c>
      <c r="O226" s="266">
        <f>MATCH(O225,'[9]Forward Price Curve'!$A$8:$IV$8,FALSE)</f>
        <v>6</v>
      </c>
      <c r="P226" s="266">
        <f>N226+8</f>
        <v>15</v>
      </c>
      <c r="Q226" s="266">
        <f>O226+8</f>
        <v>14</v>
      </c>
    </row>
    <row r="227" spans="2:17" x14ac:dyDescent="0.2">
      <c r="M227" s="267"/>
    </row>
    <row r="228" spans="2:17" x14ac:dyDescent="0.2">
      <c r="B228" s="269" t="s">
        <v>220</v>
      </c>
      <c r="C228" s="213">
        <f>SUM(C8:C223)-SUM('[9]Forward Price Curve'!$AT$105:$AT$320)</f>
        <v>0</v>
      </c>
      <c r="D228" s="213">
        <f>SUM(D8:D223)-SUM('[9]Forward Price Curve'!$AQ$105:$AQ$320)</f>
        <v>0</v>
      </c>
      <c r="M228" s="265" t="s">
        <v>220</v>
      </c>
      <c r="N228" s="270">
        <f>SUM(N8:N223)-SUM('[9]Forward Price Curve'!$G$105:$G$320)</f>
        <v>0</v>
      </c>
      <c r="O228" s="270">
        <f>SUM(O8:O223)-SUM('[9]Forward Price Curve'!$F$105:$F$320)</f>
        <v>0</v>
      </c>
      <c r="P228" s="270">
        <f>SUM(P8:P223)-SUM('[9]Forward Price Curve'!$O$105:$O$320)</f>
        <v>0</v>
      </c>
      <c r="Q228" s="270">
        <f>SUM(Q8:Q223)-SUM('[9]Forward Price Curve'!$N$105:$N$320)</f>
        <v>0</v>
      </c>
    </row>
  </sheetData>
  <printOptions horizontalCentered="1"/>
  <pageMargins left="0.3" right="0.3" top="0.8" bottom="0.4" header="0.5" footer="0.2"/>
  <pageSetup fitToHeight="20" orientation="landscape" r:id="rId1"/>
  <headerFooter alignWithMargins="0">
    <oddFooter>&amp;L&amp;8ljh    &amp;F   ( &amp;A ) &amp;C &amp;R &amp;8&amp;D 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1"/>
  <dimension ref="A1:Y128"/>
  <sheetViews>
    <sheetView zoomScaleNormal="100" workbookViewId="0">
      <selection activeCell="N8" sqref="N8"/>
    </sheetView>
  </sheetViews>
  <sheetFormatPr defaultRowHeight="12.75" x14ac:dyDescent="0.2"/>
  <cols>
    <col min="1" max="1" width="9.33203125" style="35"/>
    <col min="2" max="10" width="8.5" style="35" customWidth="1"/>
    <col min="11" max="11" width="8.5" style="37" customWidth="1"/>
    <col min="12" max="13" width="8.5" style="35" customWidth="1"/>
    <col min="14" max="16" width="15.33203125" style="35" customWidth="1"/>
    <col min="17" max="16384" width="9.33203125" style="35"/>
  </cols>
  <sheetData>
    <row r="1" spans="1:25" s="5" customFormat="1" ht="15.75" x14ac:dyDescent="0.25">
      <c r="A1" s="1" t="s">
        <v>152</v>
      </c>
      <c r="B1" s="1"/>
      <c r="C1" s="1"/>
      <c r="D1" s="1"/>
      <c r="E1" s="6"/>
      <c r="F1" s="1"/>
      <c r="G1" s="1"/>
      <c r="H1" s="1"/>
      <c r="I1" s="1"/>
      <c r="J1" s="13"/>
      <c r="K1" s="14"/>
      <c r="L1" s="6"/>
      <c r="M1" s="6"/>
    </row>
    <row r="2" spans="1:25" s="7" customFormat="1" ht="15" x14ac:dyDescent="0.25">
      <c r="A2" s="3" t="s">
        <v>131</v>
      </c>
      <c r="B2" s="3"/>
      <c r="C2" s="3"/>
      <c r="D2" s="3"/>
      <c r="E2" s="3"/>
      <c r="F2" s="3"/>
      <c r="G2" s="3"/>
      <c r="H2" s="3"/>
      <c r="I2" s="3"/>
      <c r="J2" s="3"/>
      <c r="K2" s="15"/>
      <c r="L2" s="13"/>
      <c r="M2" s="13"/>
    </row>
    <row r="3" spans="1:25" s="7" customFormat="1" ht="15" x14ac:dyDescent="0.25">
      <c r="A3" s="3" t="str">
        <f>"Avoided Resource ("&amp;A28&amp;" through "&amp;MAX(A28:A45)&amp;")"</f>
        <v>Avoided Resource (2016 through 2027)</v>
      </c>
      <c r="B3" s="3"/>
      <c r="C3" s="3"/>
      <c r="D3" s="3"/>
      <c r="E3" s="3"/>
      <c r="F3" s="3"/>
      <c r="G3" s="3"/>
      <c r="H3" s="3"/>
      <c r="I3" s="3"/>
      <c r="J3" s="3"/>
      <c r="K3" s="15"/>
      <c r="L3" s="13"/>
      <c r="M3" s="13"/>
    </row>
    <row r="4" spans="1:25" ht="15" x14ac:dyDescent="0.25">
      <c r="A4" s="3" t="s">
        <v>36</v>
      </c>
      <c r="B4" s="3"/>
      <c r="C4" s="3"/>
      <c r="D4" s="3"/>
      <c r="E4" s="3"/>
      <c r="F4" s="3"/>
      <c r="G4" s="3"/>
      <c r="H4" s="3"/>
      <c r="I4" s="3"/>
      <c r="J4" s="3"/>
      <c r="K4" s="15"/>
      <c r="L4" s="13"/>
      <c r="M4" s="13"/>
    </row>
    <row r="5" spans="1:25" x14ac:dyDescent="0.2">
      <c r="B5" s="40"/>
      <c r="C5" s="40"/>
      <c r="D5" s="40"/>
      <c r="E5" s="4"/>
      <c r="F5" s="4"/>
      <c r="G5" s="4"/>
      <c r="H5" s="4"/>
      <c r="I5" s="4"/>
      <c r="J5" s="4"/>
      <c r="K5" s="16"/>
    </row>
    <row r="6" spans="1:25" x14ac:dyDescent="0.2">
      <c r="A6" s="41" t="s">
        <v>2</v>
      </c>
      <c r="B6" s="42" t="s">
        <v>56</v>
      </c>
      <c r="C6" s="43"/>
      <c r="D6" s="43"/>
      <c r="E6" s="42"/>
      <c r="F6" s="42"/>
      <c r="G6" s="42" t="s">
        <v>57</v>
      </c>
      <c r="H6" s="42"/>
      <c r="I6" s="42"/>
      <c r="J6" s="42"/>
      <c r="K6" s="42" t="s">
        <v>56</v>
      </c>
      <c r="L6" s="42"/>
      <c r="M6" s="42"/>
    </row>
    <row r="7" spans="1:25" x14ac:dyDescent="0.2">
      <c r="A7" s="44"/>
      <c r="B7" s="45" t="s">
        <v>44</v>
      </c>
      <c r="C7" s="45" t="s">
        <v>45</v>
      </c>
      <c r="D7" s="45" t="s">
        <v>46</v>
      </c>
      <c r="E7" s="45" t="s">
        <v>47</v>
      </c>
      <c r="F7" s="46" t="s">
        <v>48</v>
      </c>
      <c r="G7" s="45" t="s">
        <v>49</v>
      </c>
      <c r="H7" s="45" t="s">
        <v>50</v>
      </c>
      <c r="I7" s="45" t="s">
        <v>51</v>
      </c>
      <c r="J7" s="46" t="s">
        <v>52</v>
      </c>
      <c r="K7" s="45" t="s">
        <v>53</v>
      </c>
      <c r="L7" s="45" t="s">
        <v>54</v>
      </c>
      <c r="M7" s="46" t="s">
        <v>55</v>
      </c>
    </row>
    <row r="8" spans="1:25" x14ac:dyDescent="0.2"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</row>
    <row r="9" spans="1:25" ht="12.75" customHeight="1" x14ac:dyDescent="0.2">
      <c r="A9" s="12" t="s">
        <v>233</v>
      </c>
      <c r="C9" s="40"/>
      <c r="D9" s="40"/>
      <c r="E9" s="40"/>
      <c r="G9" s="40"/>
      <c r="H9" s="40"/>
      <c r="I9" s="40"/>
      <c r="J9" s="48"/>
      <c r="L9" s="40"/>
      <c r="M9" s="37"/>
    </row>
    <row r="10" spans="1:25" ht="12.75" customHeight="1" x14ac:dyDescent="0.2">
      <c r="A10" s="49">
        <f>'Tables 3 to 5'!AD13</f>
        <v>2016</v>
      </c>
      <c r="B10" s="351"/>
      <c r="C10" s="352"/>
      <c r="D10" s="352"/>
      <c r="E10" s="352"/>
      <c r="F10" s="352">
        <f>INDEX('[5]Avoided Costs'!$D$7:$O$26,MATCH($A10,'[5]Avoided Costs'!$B$7:$B$26,0),MATCH(F$7,'[5]Avoided Costs'!$D$4:$O$4,0))</f>
        <v>14.230550164813476</v>
      </c>
      <c r="G10" s="352">
        <f>INDEX('[5]Avoided Costs'!$D$7:$O$26,MATCH($A10,'[5]Avoided Costs'!$B$7:$B$26,0),MATCH(G$7,'[5]Avoided Costs'!$D$4:$O$4,0))</f>
        <v>14.706253614810606</v>
      </c>
      <c r="H10" s="352">
        <f>INDEX('[5]Avoided Costs'!$D$7:$O$26,MATCH($A10,'[5]Avoided Costs'!$B$7:$B$26,0),MATCH(H$7,'[5]Avoided Costs'!$D$4:$O$4,0))</f>
        <v>21.999172258088667</v>
      </c>
      <c r="I10" s="352">
        <f>INDEX('[5]Avoided Costs'!$D$7:$O$26,MATCH($A10,'[5]Avoided Costs'!$B$7:$B$26,0),MATCH(I$7,'[5]Avoided Costs'!$D$4:$O$4,0))</f>
        <v>22.497907399706623</v>
      </c>
      <c r="J10" s="353">
        <f>INDEX('[5]Avoided Costs'!$D$7:$O$26,MATCH($A10,'[5]Avoided Costs'!$B$7:$B$26,0),MATCH(J$7,'[5]Avoided Costs'!$D$4:$O$4,0))</f>
        <v>21.959181607976141</v>
      </c>
      <c r="K10" s="351">
        <f>INDEX('[5]Avoided Costs'!$D$7:$O$26,MATCH($A10,'[5]Avoided Costs'!$B$7:$B$26,0),MATCH(K$7,'[5]Avoided Costs'!$D$4:$O$4,0))</f>
        <v>17.524344352288271</v>
      </c>
      <c r="L10" s="352">
        <f>INDEX('[5]Avoided Costs'!$D$7:$O$26,MATCH($A10,'[5]Avoided Costs'!$B$7:$B$26,0),MATCH(L$7,'[5]Avoided Costs'!$D$4:$O$4,0))</f>
        <v>17.846573200503158</v>
      </c>
      <c r="M10" s="353">
        <f>INDEX('[5]Avoided Costs'!$D$7:$O$26,MATCH($A10,'[5]Avoided Costs'!$B$7:$B$26,0),MATCH(M$7,'[5]Avoided Costs'!$D$4:$O$4,0))</f>
        <v>22.462761743891463</v>
      </c>
    </row>
    <row r="11" spans="1:25" ht="12.75" customHeight="1" x14ac:dyDescent="0.2">
      <c r="A11" s="53">
        <f t="shared" ref="A11:A21" si="0">A10+1</f>
        <v>2017</v>
      </c>
      <c r="B11" s="54">
        <f>INDEX('[5]Avoided Costs'!$D$7:$O$26,MATCH($A11,'[5]Avoided Costs'!$B$7:$B$26,0),MATCH(B$7,'[5]Avoided Costs'!$D$4:$O$4,0))</f>
        <v>20.85932436207089</v>
      </c>
      <c r="C11" s="55">
        <f>INDEX('[5]Avoided Costs'!$D$7:$O$26,MATCH($A11,'[5]Avoided Costs'!$B$7:$B$26,0),MATCH(C$7,'[5]Avoided Costs'!$D$4:$O$4,0))</f>
        <v>21.680996613778795</v>
      </c>
      <c r="D11" s="55">
        <f>INDEX('[5]Avoided Costs'!$D$7:$O$26,MATCH($A11,'[5]Avoided Costs'!$B$7:$B$26,0),MATCH(D$7,'[5]Avoided Costs'!$D$4:$O$4,0))</f>
        <v>19.83801061804056</v>
      </c>
      <c r="E11" s="55">
        <f>INDEX('[5]Avoided Costs'!$D$7:$O$26,MATCH($A11,'[5]Avoided Costs'!$B$7:$B$26,0),MATCH(E$7,'[5]Avoided Costs'!$D$4:$O$4,0))</f>
        <v>19.63762365544008</v>
      </c>
      <c r="F11" s="55">
        <f>INDEX('[5]Avoided Costs'!$D$7:$O$26,MATCH($A11,'[5]Avoided Costs'!$B$7:$B$26,0),MATCH(F$7,'[5]Avoided Costs'!$D$4:$O$4,0))</f>
        <v>16.857394982401722</v>
      </c>
      <c r="G11" s="54">
        <f>INDEX('[5]Avoided Costs'!$D$7:$O$26,MATCH($A11,'[5]Avoided Costs'!$B$7:$B$26,0),MATCH(G$7,'[5]Avoided Costs'!$D$4:$O$4,0))</f>
        <v>16.80266242880581</v>
      </c>
      <c r="H11" s="55">
        <f>INDEX('[5]Avoided Costs'!$D$7:$O$26,MATCH($A11,'[5]Avoided Costs'!$B$7:$B$26,0),MATCH(H$7,'[5]Avoided Costs'!$D$4:$O$4,0))</f>
        <v>24.094179676236806</v>
      </c>
      <c r="I11" s="55">
        <f>INDEX('[5]Avoided Costs'!$D$7:$O$26,MATCH($A11,'[5]Avoided Costs'!$B$7:$B$26,0),MATCH(I$7,'[5]Avoided Costs'!$D$4:$O$4,0))</f>
        <v>23.146048786767548</v>
      </c>
      <c r="J11" s="56">
        <f>INDEX('[5]Avoided Costs'!$D$7:$O$26,MATCH($A11,'[5]Avoided Costs'!$B$7:$B$26,0),MATCH(J$7,'[5]Avoided Costs'!$D$4:$O$4,0))</f>
        <v>20.753208080182471</v>
      </c>
      <c r="K11" s="54">
        <f>INDEX('[5]Avoided Costs'!$D$7:$O$26,MATCH($A11,'[5]Avoided Costs'!$B$7:$B$26,0),MATCH(K$7,'[5]Avoided Costs'!$D$4:$O$4,0))</f>
        <v>18.060952779750831</v>
      </c>
      <c r="L11" s="55">
        <f>INDEX('[5]Avoided Costs'!$D$7:$O$26,MATCH($A11,'[5]Avoided Costs'!$B$7:$B$26,0),MATCH(L$7,'[5]Avoided Costs'!$D$4:$O$4,0))</f>
        <v>21.10853613615657</v>
      </c>
      <c r="M11" s="56">
        <f>INDEX('[5]Avoided Costs'!$D$7:$O$26,MATCH($A11,'[5]Avoided Costs'!$B$7:$B$26,0),MATCH(M$7,'[5]Avoided Costs'!$D$4:$O$4,0))</f>
        <v>24.448367545561446</v>
      </c>
    </row>
    <row r="12" spans="1:25" ht="12.75" customHeight="1" x14ac:dyDescent="0.2">
      <c r="A12" s="53">
        <f t="shared" si="0"/>
        <v>2018</v>
      </c>
      <c r="B12" s="54">
        <f>INDEX('[5]Avoided Costs'!$D$7:$O$26,MATCH($A12,'[5]Avoided Costs'!$B$7:$B$26,0),MATCH(B$7,'[5]Avoided Costs'!$D$4:$O$4,0))</f>
        <v>25.229600409514482</v>
      </c>
      <c r="C12" s="55">
        <f>INDEX('[5]Avoided Costs'!$D$7:$O$26,MATCH($A12,'[5]Avoided Costs'!$B$7:$B$26,0),MATCH(C$7,'[5]Avoided Costs'!$D$4:$O$4,0))</f>
        <v>23.74041580634103</v>
      </c>
      <c r="D12" s="55">
        <f>INDEX('[5]Avoided Costs'!$D$7:$O$26,MATCH($A12,'[5]Avoided Costs'!$B$7:$B$26,0),MATCH(D$7,'[5]Avoided Costs'!$D$4:$O$4,0))</f>
        <v>22.005275950588846</v>
      </c>
      <c r="E12" s="55">
        <f>INDEX('[5]Avoided Costs'!$D$7:$O$26,MATCH($A12,'[5]Avoided Costs'!$B$7:$B$26,0),MATCH(E$7,'[5]Avoided Costs'!$D$4:$O$4,0))</f>
        <v>21.390857888155928</v>
      </c>
      <c r="F12" s="55">
        <f>INDEX('[5]Avoided Costs'!$D$7:$O$26,MATCH($A12,'[5]Avoided Costs'!$B$7:$B$26,0),MATCH(F$7,'[5]Avoided Costs'!$D$4:$O$4,0))</f>
        <v>18.576610765015324</v>
      </c>
      <c r="G12" s="54">
        <f>INDEX('[5]Avoided Costs'!$D$7:$O$26,MATCH($A12,'[5]Avoided Costs'!$B$7:$B$26,0),MATCH(G$7,'[5]Avoided Costs'!$D$4:$O$4,0))</f>
        <v>18.588376136235894</v>
      </c>
      <c r="H12" s="55">
        <f>INDEX('[5]Avoided Costs'!$D$7:$O$26,MATCH($A12,'[5]Avoided Costs'!$B$7:$B$26,0),MATCH(H$7,'[5]Avoided Costs'!$D$4:$O$4,0))</f>
        <v>26.030445649755258</v>
      </c>
      <c r="I12" s="55">
        <f>INDEX('[5]Avoided Costs'!$D$7:$O$26,MATCH($A12,'[5]Avoided Costs'!$B$7:$B$26,0),MATCH(I$7,'[5]Avoided Costs'!$D$4:$O$4,0))</f>
        <v>25.142251002243771</v>
      </c>
      <c r="J12" s="56">
        <f>INDEX('[5]Avoided Costs'!$D$7:$O$26,MATCH($A12,'[5]Avoided Costs'!$B$7:$B$26,0),MATCH(J$7,'[5]Avoided Costs'!$D$4:$O$4,0))</f>
        <v>21.324812623401069</v>
      </c>
      <c r="K12" s="54">
        <f>INDEX('[5]Avoided Costs'!$D$7:$O$26,MATCH($A12,'[5]Avoided Costs'!$B$7:$B$26,0),MATCH(K$7,'[5]Avoided Costs'!$D$4:$O$4,0))</f>
        <v>20.570050566645481</v>
      </c>
      <c r="L12" s="55">
        <f>INDEX('[5]Avoided Costs'!$D$7:$O$26,MATCH($A12,'[5]Avoided Costs'!$B$7:$B$26,0),MATCH(L$7,'[5]Avoided Costs'!$D$4:$O$4,0))</f>
        <v>24.649357266548193</v>
      </c>
      <c r="M12" s="56">
        <f>INDEX('[5]Avoided Costs'!$D$7:$O$26,MATCH($A12,'[5]Avoided Costs'!$B$7:$B$26,0),MATCH(M$7,'[5]Avoided Costs'!$D$4:$O$4,0))</f>
        <v>26.834490125974821</v>
      </c>
      <c r="N12" s="133"/>
      <c r="O12" s="133"/>
      <c r="P12" s="133"/>
      <c r="Q12" s="133"/>
      <c r="R12" s="133"/>
      <c r="S12" s="133"/>
      <c r="T12" s="133"/>
      <c r="U12" s="133"/>
    </row>
    <row r="13" spans="1:25" ht="12.75" customHeight="1" x14ac:dyDescent="0.2">
      <c r="A13" s="53">
        <f t="shared" si="0"/>
        <v>2019</v>
      </c>
      <c r="B13" s="54">
        <f>INDEX('[5]Avoided Costs'!$D$7:$O$26,MATCH($A13,'[5]Avoided Costs'!$B$7:$B$26,0),MATCH(B$7,'[5]Avoided Costs'!$D$4:$O$4,0))</f>
        <v>26.022867376128993</v>
      </c>
      <c r="C13" s="55">
        <f>INDEX('[5]Avoided Costs'!$D$7:$O$26,MATCH($A13,'[5]Avoided Costs'!$B$7:$B$26,0),MATCH(C$7,'[5]Avoided Costs'!$D$4:$O$4,0))</f>
        <v>24.978790790226221</v>
      </c>
      <c r="D13" s="55">
        <f>INDEX('[5]Avoided Costs'!$D$7:$O$26,MATCH($A13,'[5]Avoided Costs'!$B$7:$B$26,0),MATCH(D$7,'[5]Avoided Costs'!$D$4:$O$4,0))</f>
        <v>22.844552846282962</v>
      </c>
      <c r="E13" s="55">
        <f>INDEX('[5]Avoided Costs'!$D$7:$O$26,MATCH($A13,'[5]Avoided Costs'!$B$7:$B$26,0),MATCH(E$7,'[5]Avoided Costs'!$D$4:$O$4,0))</f>
        <v>19.556898660736366</v>
      </c>
      <c r="F13" s="55">
        <f>INDEX('[5]Avoided Costs'!$D$7:$O$26,MATCH($A13,'[5]Avoided Costs'!$B$7:$B$26,0),MATCH(F$7,'[5]Avoided Costs'!$D$4:$O$4,0))</f>
        <v>19.252369166067449</v>
      </c>
      <c r="G13" s="54">
        <f>INDEX('[5]Avoided Costs'!$D$7:$O$26,MATCH($A13,'[5]Avoided Costs'!$B$7:$B$26,0),MATCH(G$7,'[5]Avoided Costs'!$D$4:$O$4,0))</f>
        <v>19.273331667164133</v>
      </c>
      <c r="H13" s="55">
        <f>INDEX('[5]Avoided Costs'!$D$7:$O$26,MATCH($A13,'[5]Avoided Costs'!$B$7:$B$26,0),MATCH(H$7,'[5]Avoided Costs'!$D$4:$O$4,0))</f>
        <v>27.274482746898968</v>
      </c>
      <c r="I13" s="55">
        <f>INDEX('[5]Avoided Costs'!$D$7:$O$26,MATCH($A13,'[5]Avoided Costs'!$B$7:$B$26,0),MATCH(I$7,'[5]Avoided Costs'!$D$4:$O$4,0))</f>
        <v>27.809921152477141</v>
      </c>
      <c r="J13" s="56">
        <f>INDEX('[5]Avoided Costs'!$D$7:$O$26,MATCH($A13,'[5]Avoided Costs'!$B$7:$B$26,0),MATCH(J$7,'[5]Avoided Costs'!$D$4:$O$4,0))</f>
        <v>26.421999776783501</v>
      </c>
      <c r="K13" s="54">
        <f>INDEX('[5]Avoided Costs'!$D$7:$O$26,MATCH($A13,'[5]Avoided Costs'!$B$7:$B$26,0),MATCH(K$7,'[5]Avoided Costs'!$D$4:$O$4,0))</f>
        <v>21.861199867204633</v>
      </c>
      <c r="L13" s="55">
        <f>INDEX('[5]Avoided Costs'!$D$7:$O$26,MATCH($A13,'[5]Avoided Costs'!$B$7:$B$26,0),MATCH(L$7,'[5]Avoided Costs'!$D$4:$O$4,0))</f>
        <v>25.415005311177424</v>
      </c>
      <c r="M13" s="56">
        <f>INDEX('[5]Avoided Costs'!$D$7:$O$26,MATCH($A13,'[5]Avoided Costs'!$B$7:$B$26,0),MATCH(M$7,'[5]Avoided Costs'!$D$4:$O$4,0))</f>
        <v>27.649939890185831</v>
      </c>
      <c r="N13" s="133"/>
      <c r="O13" s="133"/>
      <c r="P13" s="133"/>
      <c r="Q13" s="133"/>
      <c r="R13" s="133"/>
      <c r="S13" s="133"/>
      <c r="T13" s="133"/>
      <c r="U13" s="133"/>
      <c r="V13" s="133"/>
      <c r="W13" s="133"/>
      <c r="X13" s="133"/>
      <c r="Y13" s="133"/>
    </row>
    <row r="14" spans="1:25" ht="12.75" customHeight="1" x14ac:dyDescent="0.2">
      <c r="A14" s="53">
        <f t="shared" si="0"/>
        <v>2020</v>
      </c>
      <c r="B14" s="54">
        <f>INDEX('[5]Avoided Costs'!$D$7:$O$26,MATCH($A14,'[5]Avoided Costs'!$B$7:$B$26,0),MATCH(B$7,'[5]Avoided Costs'!$D$4:$O$4,0))</f>
        <v>27.32194553714606</v>
      </c>
      <c r="C14" s="55">
        <f>INDEX('[5]Avoided Costs'!$D$7:$O$26,MATCH($A14,'[5]Avoided Costs'!$B$7:$B$26,0),MATCH(C$7,'[5]Avoided Costs'!$D$4:$O$4,0))</f>
        <v>25.741731265602613</v>
      </c>
      <c r="D14" s="55">
        <f>INDEX('[5]Avoided Costs'!$D$7:$O$26,MATCH($A14,'[5]Avoided Costs'!$B$7:$B$26,0),MATCH(D$7,'[5]Avoided Costs'!$D$4:$O$4,0))</f>
        <v>29.183586911298335</v>
      </c>
      <c r="E14" s="55">
        <f>INDEX('[5]Avoided Costs'!$D$7:$O$26,MATCH($A14,'[5]Avoided Costs'!$B$7:$B$26,0),MATCH(E$7,'[5]Avoided Costs'!$D$4:$O$4,0))</f>
        <v>22.543305159846529</v>
      </c>
      <c r="F14" s="55">
        <f>INDEX('[5]Avoided Costs'!$D$7:$O$26,MATCH($A14,'[5]Avoided Costs'!$B$7:$B$26,0),MATCH(F$7,'[5]Avoided Costs'!$D$4:$O$4,0))</f>
        <v>20.275430785916665</v>
      </c>
      <c r="G14" s="54">
        <f>INDEX('[5]Avoided Costs'!$D$7:$O$26,MATCH($A14,'[5]Avoided Costs'!$B$7:$B$26,0),MATCH(G$7,'[5]Avoided Costs'!$D$4:$O$4,0))</f>
        <v>20.548837011663451</v>
      </c>
      <c r="H14" s="55">
        <f>INDEX('[5]Avoided Costs'!$D$7:$O$26,MATCH($A14,'[5]Avoided Costs'!$B$7:$B$26,0),MATCH(H$7,'[5]Avoided Costs'!$D$4:$O$4,0))</f>
        <v>28.780327524056517</v>
      </c>
      <c r="I14" s="55">
        <f>INDEX('[5]Avoided Costs'!$D$7:$O$26,MATCH($A14,'[5]Avoided Costs'!$B$7:$B$26,0),MATCH(I$7,'[5]Avoided Costs'!$D$4:$O$4,0))</f>
        <v>27.324305857185234</v>
      </c>
      <c r="J14" s="56">
        <f>INDEX('[5]Avoided Costs'!$D$7:$O$26,MATCH($A14,'[5]Avoided Costs'!$B$7:$B$26,0),MATCH(J$7,'[5]Avoided Costs'!$D$4:$O$4,0))</f>
        <v>25.08871311676171</v>
      </c>
      <c r="K14" s="54">
        <f>INDEX('[5]Avoided Costs'!$D$7:$O$26,MATCH($A14,'[5]Avoided Costs'!$B$7:$B$26,0),MATCH(K$7,'[5]Avoided Costs'!$D$4:$O$4,0))</f>
        <v>24.518536949370016</v>
      </c>
      <c r="L14" s="55">
        <f>INDEX('[5]Avoided Costs'!$D$7:$O$26,MATCH($A14,'[5]Avoided Costs'!$B$7:$B$26,0),MATCH(L$7,'[5]Avoided Costs'!$D$4:$O$4,0))</f>
        <v>27.194944913209312</v>
      </c>
      <c r="M14" s="56">
        <f>INDEX('[5]Avoided Costs'!$D$7:$O$26,MATCH($A14,'[5]Avoided Costs'!$B$7:$B$26,0),MATCH(M$7,'[5]Avoided Costs'!$D$4:$O$4,0))</f>
        <v>28.721524351146272</v>
      </c>
      <c r="N14" s="133"/>
      <c r="O14" s="133"/>
      <c r="P14" s="133"/>
      <c r="Q14" s="133"/>
      <c r="R14" s="133"/>
      <c r="S14" s="133"/>
      <c r="T14" s="133"/>
      <c r="U14" s="133"/>
    </row>
    <row r="15" spans="1:25" ht="12.75" customHeight="1" x14ac:dyDescent="0.2">
      <c r="A15" s="53">
        <f t="shared" si="0"/>
        <v>2021</v>
      </c>
      <c r="B15" s="54">
        <f>INDEX('[5]Avoided Costs'!$D$7:$O$26,MATCH($A15,'[5]Avoided Costs'!$B$7:$B$26,0),MATCH(B$7,'[5]Avoided Costs'!$D$4:$O$4,0))</f>
        <v>28.823268083118464</v>
      </c>
      <c r="C15" s="55">
        <f>INDEX('[5]Avoided Costs'!$D$7:$O$26,MATCH($A15,'[5]Avoided Costs'!$B$7:$B$26,0),MATCH(C$7,'[5]Avoided Costs'!$D$4:$O$4,0))</f>
        <v>27.888535908496539</v>
      </c>
      <c r="D15" s="55">
        <f>INDEX('[5]Avoided Costs'!$D$7:$O$26,MATCH($A15,'[5]Avoided Costs'!$B$7:$B$26,0),MATCH(D$7,'[5]Avoided Costs'!$D$4:$O$4,0))</f>
        <v>25.981021117973793</v>
      </c>
      <c r="E15" s="55">
        <f>INDEX('[5]Avoided Costs'!$D$7:$O$26,MATCH($A15,'[5]Avoided Costs'!$B$7:$B$26,0),MATCH(E$7,'[5]Avoided Costs'!$D$4:$O$4,0))</f>
        <v>24.627626381586822</v>
      </c>
      <c r="F15" s="55">
        <f>INDEX('[5]Avoided Costs'!$D$7:$O$26,MATCH($A15,'[5]Avoided Costs'!$B$7:$B$26,0),MATCH(F$7,'[5]Avoided Costs'!$D$4:$O$4,0))</f>
        <v>21.311711511472542</v>
      </c>
      <c r="G15" s="54">
        <f>INDEX('[5]Avoided Costs'!$D$7:$O$26,MATCH($A15,'[5]Avoided Costs'!$B$7:$B$26,0),MATCH(G$7,'[5]Avoided Costs'!$D$4:$O$4,0))</f>
        <v>20.8942605323241</v>
      </c>
      <c r="H15" s="55">
        <f>INDEX('[5]Avoided Costs'!$D$7:$O$26,MATCH($A15,'[5]Avoided Costs'!$B$7:$B$26,0),MATCH(H$7,'[5]Avoided Costs'!$D$4:$O$4,0))</f>
        <v>30.535503852880129</v>
      </c>
      <c r="I15" s="55">
        <f>INDEX('[5]Avoided Costs'!$D$7:$O$26,MATCH($A15,'[5]Avoided Costs'!$B$7:$B$26,0),MATCH(I$7,'[5]Avoided Costs'!$D$4:$O$4,0))</f>
        <v>31.216225297064071</v>
      </c>
      <c r="J15" s="56">
        <f>INDEX('[5]Avoided Costs'!$D$7:$O$26,MATCH($A15,'[5]Avoided Costs'!$B$7:$B$26,0),MATCH(J$7,'[5]Avoided Costs'!$D$4:$O$4,0))</f>
        <v>30.32006663798251</v>
      </c>
      <c r="K15" s="54">
        <f>INDEX('[5]Avoided Costs'!$D$7:$O$26,MATCH($A15,'[5]Avoided Costs'!$B$7:$B$26,0),MATCH(K$7,'[5]Avoided Costs'!$D$4:$O$4,0))</f>
        <v>25.993014090844699</v>
      </c>
      <c r="L15" s="55">
        <f>INDEX('[5]Avoided Costs'!$D$7:$O$26,MATCH($A15,'[5]Avoided Costs'!$B$7:$B$26,0),MATCH(L$7,'[5]Avoided Costs'!$D$4:$O$4,0))</f>
        <v>29.063448155017362</v>
      </c>
      <c r="M15" s="56">
        <f>INDEX('[5]Avoided Costs'!$D$7:$O$26,MATCH($A15,'[5]Avoided Costs'!$B$7:$B$26,0),MATCH(M$7,'[5]Avoided Costs'!$D$4:$O$4,0))</f>
        <v>30.967620559533437</v>
      </c>
      <c r="N15" s="133"/>
      <c r="O15" s="133"/>
      <c r="P15" s="133"/>
      <c r="Q15" s="133"/>
      <c r="R15" s="133"/>
      <c r="S15" s="133"/>
      <c r="T15" s="133"/>
      <c r="U15" s="133"/>
    </row>
    <row r="16" spans="1:25" ht="12.75" customHeight="1" x14ac:dyDescent="0.2">
      <c r="A16" s="53">
        <f t="shared" si="0"/>
        <v>2022</v>
      </c>
      <c r="B16" s="54">
        <f>INDEX('[5]Avoided Costs'!$D$7:$O$26,MATCH($A16,'[5]Avoided Costs'!$B$7:$B$26,0),MATCH(B$7,'[5]Avoided Costs'!$D$4:$O$4,0))</f>
        <v>30.86732857697994</v>
      </c>
      <c r="C16" s="55">
        <f>INDEX('[5]Avoided Costs'!$D$7:$O$26,MATCH($A16,'[5]Avoided Costs'!$B$7:$B$26,0),MATCH(C$7,'[5]Avoided Costs'!$D$4:$O$4,0))</f>
        <v>29.94240446294037</v>
      </c>
      <c r="D16" s="55">
        <f>INDEX('[5]Avoided Costs'!$D$7:$O$26,MATCH($A16,'[5]Avoided Costs'!$B$7:$B$26,0),MATCH(D$7,'[5]Avoided Costs'!$D$4:$O$4,0))</f>
        <v>28.077103958919803</v>
      </c>
      <c r="E16" s="55">
        <f>INDEX('[5]Avoided Costs'!$D$7:$O$26,MATCH($A16,'[5]Avoided Costs'!$B$7:$B$26,0),MATCH(E$7,'[5]Avoided Costs'!$D$4:$O$4,0))</f>
        <v>24.997756381086592</v>
      </c>
      <c r="F16" s="55">
        <f>INDEX('[5]Avoided Costs'!$D$7:$O$26,MATCH($A16,'[5]Avoided Costs'!$B$7:$B$26,0),MATCH(F$7,'[5]Avoided Costs'!$D$4:$O$4,0))</f>
        <v>24.209045171198905</v>
      </c>
      <c r="G16" s="54">
        <f>INDEX('[5]Avoided Costs'!$D$7:$O$26,MATCH($A16,'[5]Avoided Costs'!$B$7:$B$26,0),MATCH(G$7,'[5]Avoided Costs'!$D$4:$O$4,0))</f>
        <v>25.873448165766895</v>
      </c>
      <c r="H16" s="55">
        <f>INDEX('[5]Avoided Costs'!$D$7:$O$26,MATCH($A16,'[5]Avoided Costs'!$B$7:$B$26,0),MATCH(H$7,'[5]Avoided Costs'!$D$4:$O$4,0))</f>
        <v>33.58462178045383</v>
      </c>
      <c r="I16" s="55">
        <f>INDEX('[5]Avoided Costs'!$D$7:$O$26,MATCH($A16,'[5]Avoided Costs'!$B$7:$B$26,0),MATCH(I$7,'[5]Avoided Costs'!$D$4:$O$4,0))</f>
        <v>34.725402550122908</v>
      </c>
      <c r="J16" s="56">
        <f>INDEX('[5]Avoided Costs'!$D$7:$O$26,MATCH($A16,'[5]Avoided Costs'!$B$7:$B$26,0),MATCH(J$7,'[5]Avoided Costs'!$D$4:$O$4,0))</f>
        <v>34.285499298998879</v>
      </c>
      <c r="K16" s="54">
        <f>INDEX('[5]Avoided Costs'!$D$7:$O$26,MATCH($A16,'[5]Avoided Costs'!$B$7:$B$26,0),MATCH(K$7,'[5]Avoided Costs'!$D$4:$O$4,0))</f>
        <v>28.790192339579345</v>
      </c>
      <c r="L16" s="55">
        <f>INDEX('[5]Avoided Costs'!$D$7:$O$26,MATCH($A16,'[5]Avoided Costs'!$B$7:$B$26,0),MATCH(L$7,'[5]Avoided Costs'!$D$4:$O$4,0))</f>
        <v>29.933237016178253</v>
      </c>
      <c r="M16" s="56">
        <f>INDEX('[5]Avoided Costs'!$D$7:$O$26,MATCH($A16,'[5]Avoided Costs'!$B$7:$B$26,0),MATCH(M$7,'[5]Avoided Costs'!$D$4:$O$4,0))</f>
        <v>31.783692520187909</v>
      </c>
      <c r="N16" s="133"/>
      <c r="O16" s="133"/>
      <c r="P16" s="133"/>
      <c r="Q16" s="133"/>
      <c r="R16" s="133"/>
      <c r="S16" s="133"/>
      <c r="T16" s="133"/>
      <c r="U16" s="133"/>
    </row>
    <row r="17" spans="1:21" ht="12.75" customHeight="1" x14ac:dyDescent="0.2">
      <c r="A17" s="53">
        <f t="shared" si="0"/>
        <v>2023</v>
      </c>
      <c r="B17" s="54">
        <f>INDEX('[5]Avoided Costs'!$D$7:$O$26,MATCH($A17,'[5]Avoided Costs'!$B$7:$B$26,0),MATCH(B$7,'[5]Avoided Costs'!$D$4:$O$4,0))</f>
        <v>33.537257283361207</v>
      </c>
      <c r="C17" s="55">
        <f>INDEX('[5]Avoided Costs'!$D$7:$O$26,MATCH($A17,'[5]Avoided Costs'!$B$7:$B$26,0),MATCH(C$7,'[5]Avoided Costs'!$D$4:$O$4,0))</f>
        <v>25.201836547827615</v>
      </c>
      <c r="D17" s="55">
        <f>INDEX('[5]Avoided Costs'!$D$7:$O$26,MATCH($A17,'[5]Avoided Costs'!$B$7:$B$26,0),MATCH(D$7,'[5]Avoided Costs'!$D$4:$O$4,0))</f>
        <v>30.784975107266536</v>
      </c>
      <c r="E17" s="55">
        <f>INDEX('[5]Avoided Costs'!$D$7:$O$26,MATCH($A17,'[5]Avoided Costs'!$B$7:$B$26,0),MATCH(E$7,'[5]Avoided Costs'!$D$4:$O$4,0))</f>
        <v>26.987360449882431</v>
      </c>
      <c r="F17" s="55">
        <f>INDEX('[5]Avoided Costs'!$D$7:$O$26,MATCH($A17,'[5]Avoided Costs'!$B$7:$B$26,0),MATCH(F$7,'[5]Avoided Costs'!$D$4:$O$4,0))</f>
        <v>26.5029144526269</v>
      </c>
      <c r="G17" s="54">
        <f>INDEX('[5]Avoided Costs'!$D$7:$O$26,MATCH($A17,'[5]Avoided Costs'!$B$7:$B$26,0),MATCH(G$7,'[5]Avoided Costs'!$D$4:$O$4,0))</f>
        <v>28.963434584774078</v>
      </c>
      <c r="H17" s="55">
        <f>INDEX('[5]Avoided Costs'!$D$7:$O$26,MATCH($A17,'[5]Avoided Costs'!$B$7:$B$26,0),MATCH(H$7,'[5]Avoided Costs'!$D$4:$O$4,0))</f>
        <v>37.396032910942232</v>
      </c>
      <c r="I17" s="55">
        <f>INDEX('[5]Avoided Costs'!$D$7:$O$26,MATCH($A17,'[5]Avoided Costs'!$B$7:$B$26,0),MATCH(I$7,'[5]Avoided Costs'!$D$4:$O$4,0))</f>
        <v>37.915453260111555</v>
      </c>
      <c r="J17" s="56">
        <f>INDEX('[5]Avoided Costs'!$D$7:$O$26,MATCH($A17,'[5]Avoided Costs'!$B$7:$B$26,0),MATCH(J$7,'[5]Avoided Costs'!$D$4:$O$4,0))</f>
        <v>37.427263313714001</v>
      </c>
      <c r="K17" s="54">
        <f>INDEX('[5]Avoided Costs'!$D$7:$O$26,MATCH($A17,'[5]Avoided Costs'!$B$7:$B$26,0),MATCH(K$7,'[5]Avoided Costs'!$D$4:$O$4,0))</f>
        <v>30.73061299717995</v>
      </c>
      <c r="L17" s="55">
        <f>INDEX('[5]Avoided Costs'!$D$7:$O$26,MATCH($A17,'[5]Avoided Costs'!$B$7:$B$26,0),MATCH(L$7,'[5]Avoided Costs'!$D$4:$O$4,0))</f>
        <v>32.795479986779391</v>
      </c>
      <c r="M17" s="56">
        <f>INDEX('[5]Avoided Costs'!$D$7:$O$26,MATCH($A17,'[5]Avoided Costs'!$B$7:$B$26,0),MATCH(M$7,'[5]Avoided Costs'!$D$4:$O$4,0))</f>
        <v>35.527675152013217</v>
      </c>
      <c r="N17" s="133"/>
      <c r="O17" s="133"/>
      <c r="P17" s="133"/>
      <c r="Q17" s="133"/>
      <c r="R17" s="133"/>
      <c r="S17" s="133"/>
      <c r="T17" s="133"/>
      <c r="U17" s="133"/>
    </row>
    <row r="18" spans="1:21" ht="12.75" customHeight="1" x14ac:dyDescent="0.2">
      <c r="A18" s="53">
        <f t="shared" si="0"/>
        <v>2024</v>
      </c>
      <c r="B18" s="54">
        <f>INDEX('[5]Avoided Costs'!$D$7:$O$26,MATCH($A18,'[5]Avoided Costs'!$B$7:$B$26,0),MATCH(B$7,'[5]Avoided Costs'!$D$4:$O$4,0))</f>
        <v>36.783747262351454</v>
      </c>
      <c r="C18" s="55">
        <f>INDEX('[5]Avoided Costs'!$D$7:$O$26,MATCH($A18,'[5]Avoided Costs'!$B$7:$B$26,0),MATCH(C$7,'[5]Avoided Costs'!$D$4:$O$4,0))</f>
        <v>35.131334284997024</v>
      </c>
      <c r="D18" s="55">
        <f>INDEX('[5]Avoided Costs'!$D$7:$O$26,MATCH($A18,'[5]Avoided Costs'!$B$7:$B$26,0),MATCH(D$7,'[5]Avoided Costs'!$D$4:$O$4,0))</f>
        <v>32.410520720529938</v>
      </c>
      <c r="E18" s="55">
        <f>INDEX('[5]Avoided Costs'!$D$7:$O$26,MATCH($A18,'[5]Avoided Costs'!$B$7:$B$26,0),MATCH(E$7,'[5]Avoided Costs'!$D$4:$O$4,0))</f>
        <v>29.531765776133785</v>
      </c>
      <c r="F18" s="55">
        <f>INDEX('[5]Avoided Costs'!$D$7:$O$26,MATCH($A18,'[5]Avoided Costs'!$B$7:$B$26,0),MATCH(F$7,'[5]Avoided Costs'!$D$4:$O$4,0))</f>
        <v>28.53644639658992</v>
      </c>
      <c r="G18" s="54">
        <f>INDEX('[5]Avoided Costs'!$D$7:$O$26,MATCH($A18,'[5]Avoided Costs'!$B$7:$B$26,0),MATCH(G$7,'[5]Avoided Costs'!$D$4:$O$4,0))</f>
        <v>31.63012706172135</v>
      </c>
      <c r="H18" s="55">
        <f>INDEX('[5]Avoided Costs'!$D$7:$O$26,MATCH($A18,'[5]Avoided Costs'!$B$7:$B$26,0),MATCH(H$7,'[5]Avoided Costs'!$D$4:$O$4,0))</f>
        <v>41.10687128352702</v>
      </c>
      <c r="I18" s="55">
        <f>INDEX('[5]Avoided Costs'!$D$7:$O$26,MATCH($A18,'[5]Avoided Costs'!$B$7:$B$26,0),MATCH(I$7,'[5]Avoided Costs'!$D$4:$O$4,0))</f>
        <v>41.967217998362834</v>
      </c>
      <c r="J18" s="56">
        <f>INDEX('[5]Avoided Costs'!$D$7:$O$26,MATCH($A18,'[5]Avoided Costs'!$B$7:$B$26,0),MATCH(J$7,'[5]Avoided Costs'!$D$4:$O$4,0))</f>
        <v>39.070133964717385</v>
      </c>
      <c r="K18" s="54">
        <f>INDEX('[5]Avoided Costs'!$D$7:$O$26,MATCH($A18,'[5]Avoided Costs'!$B$7:$B$26,0),MATCH(K$7,'[5]Avoided Costs'!$D$4:$O$4,0))</f>
        <v>34.867142884601506</v>
      </c>
      <c r="L18" s="55">
        <f>INDEX('[5]Avoided Costs'!$D$7:$O$26,MATCH($A18,'[5]Avoided Costs'!$B$7:$B$26,0),MATCH(L$7,'[5]Avoided Costs'!$D$4:$O$4,0))</f>
        <v>38.132535047307613</v>
      </c>
      <c r="M18" s="56">
        <f>INDEX('[5]Avoided Costs'!$D$7:$O$26,MATCH($A18,'[5]Avoided Costs'!$B$7:$B$26,0),MATCH(M$7,'[5]Avoided Costs'!$D$4:$O$4,0))</f>
        <v>41.796239992467463</v>
      </c>
      <c r="N18" s="133"/>
      <c r="O18" s="133"/>
      <c r="P18" s="133"/>
      <c r="Q18" s="133"/>
      <c r="R18" s="133"/>
      <c r="S18" s="133"/>
      <c r="T18" s="133"/>
      <c r="U18" s="133"/>
    </row>
    <row r="19" spans="1:21" ht="12.75" customHeight="1" x14ac:dyDescent="0.2">
      <c r="A19" s="53">
        <f t="shared" si="0"/>
        <v>2025</v>
      </c>
      <c r="B19" s="54">
        <f>INDEX('[5]Avoided Costs'!$D$7:$O$26,MATCH($A19,'[5]Avoided Costs'!$B$7:$B$26,0),MATCH(B$7,'[5]Avoided Costs'!$D$4:$O$4,0))</f>
        <v>38.418352198584749</v>
      </c>
      <c r="C19" s="55">
        <f>INDEX('[5]Avoided Costs'!$D$7:$O$26,MATCH($A19,'[5]Avoided Costs'!$B$7:$B$26,0),MATCH(C$7,'[5]Avoided Costs'!$D$4:$O$4,0))</f>
        <v>50.849949914758049</v>
      </c>
      <c r="D19" s="55">
        <f>INDEX('[5]Avoided Costs'!$D$7:$O$26,MATCH($A19,'[5]Avoided Costs'!$B$7:$B$26,0),MATCH(D$7,'[5]Avoided Costs'!$D$4:$O$4,0))</f>
        <v>31.704636894534993</v>
      </c>
      <c r="E19" s="55">
        <f>INDEX('[5]Avoided Costs'!$D$7:$O$26,MATCH($A19,'[5]Avoided Costs'!$B$7:$B$26,0),MATCH(E$7,'[5]Avoided Costs'!$D$4:$O$4,0))</f>
        <v>33.44773702024586</v>
      </c>
      <c r="F19" s="55">
        <f>INDEX('[5]Avoided Costs'!$D$7:$O$26,MATCH($A19,'[5]Avoided Costs'!$B$7:$B$26,0),MATCH(F$7,'[5]Avoided Costs'!$D$4:$O$4,0))</f>
        <v>30.57140193415345</v>
      </c>
      <c r="G19" s="54">
        <f>INDEX('[5]Avoided Costs'!$D$7:$O$26,MATCH($A19,'[5]Avoided Costs'!$B$7:$B$26,0),MATCH(G$7,'[5]Avoided Costs'!$D$4:$O$4,0))</f>
        <v>34.126401646075152</v>
      </c>
      <c r="H19" s="55">
        <f>INDEX('[5]Avoided Costs'!$D$7:$O$26,MATCH($A19,'[5]Avoided Costs'!$B$7:$B$26,0),MATCH(H$7,'[5]Avoided Costs'!$D$4:$O$4,0))</f>
        <v>44.287587570158706</v>
      </c>
      <c r="I19" s="55">
        <f>INDEX('[5]Avoided Costs'!$D$7:$O$26,MATCH($A19,'[5]Avoided Costs'!$B$7:$B$26,0),MATCH(I$7,'[5]Avoided Costs'!$D$4:$O$4,0))</f>
        <v>44.042110602257232</v>
      </c>
      <c r="J19" s="56">
        <f>INDEX('[5]Avoided Costs'!$D$7:$O$26,MATCH($A19,'[5]Avoided Costs'!$B$7:$B$26,0),MATCH(J$7,'[5]Avoided Costs'!$D$4:$O$4,0))</f>
        <v>38.065757975454133</v>
      </c>
      <c r="K19" s="54">
        <f>INDEX('[5]Avoided Costs'!$D$7:$O$26,MATCH($A19,'[5]Avoided Costs'!$B$7:$B$26,0),MATCH(K$7,'[5]Avoided Costs'!$D$4:$O$4,0))</f>
        <v>36.137711195747862</v>
      </c>
      <c r="L19" s="55">
        <f>INDEX('[5]Avoided Costs'!$D$7:$O$26,MATCH($A19,'[5]Avoided Costs'!$B$7:$B$26,0),MATCH(L$7,'[5]Avoided Costs'!$D$4:$O$4,0))</f>
        <v>36.858130134948425</v>
      </c>
      <c r="M19" s="56">
        <f>INDEX('[5]Avoided Costs'!$D$7:$O$26,MATCH($A19,'[5]Avoided Costs'!$B$7:$B$26,0),MATCH(M$7,'[5]Avoided Costs'!$D$4:$O$4,0))</f>
        <v>40.256400097686274</v>
      </c>
      <c r="N19" s="133"/>
      <c r="O19" s="133"/>
      <c r="P19" s="133"/>
      <c r="Q19" s="133"/>
      <c r="R19" s="133"/>
      <c r="S19" s="133"/>
      <c r="T19" s="133"/>
      <c r="U19" s="133"/>
    </row>
    <row r="20" spans="1:21" ht="12.75" customHeight="1" x14ac:dyDescent="0.2">
      <c r="A20" s="53">
        <f t="shared" si="0"/>
        <v>2026</v>
      </c>
      <c r="B20" s="54">
        <f>INDEX('[5]Avoided Costs'!$D$7:$O$26,MATCH($A20,'[5]Avoided Costs'!$B$7:$B$26,0),MATCH(B$7,'[5]Avoided Costs'!$D$4:$O$4,0))</f>
        <v>39.701969797849173</v>
      </c>
      <c r="C20" s="55">
        <f>INDEX('[5]Avoided Costs'!$D$7:$O$26,MATCH($A20,'[5]Avoided Costs'!$B$7:$B$26,0),MATCH(C$7,'[5]Avoided Costs'!$D$4:$O$4,0))</f>
        <v>39.733858919445247</v>
      </c>
      <c r="D20" s="55">
        <f>INDEX('[5]Avoided Costs'!$D$7:$O$26,MATCH($A20,'[5]Avoided Costs'!$B$7:$B$26,0),MATCH(D$7,'[5]Avoided Costs'!$D$4:$O$4,0))</f>
        <v>36.177319718160298</v>
      </c>
      <c r="E20" s="55">
        <f>INDEX('[5]Avoided Costs'!$D$7:$O$26,MATCH($A20,'[5]Avoided Costs'!$B$7:$B$26,0),MATCH(E$7,'[5]Avoided Costs'!$D$4:$O$4,0))</f>
        <v>32.799910507893394</v>
      </c>
      <c r="F20" s="55">
        <f>INDEX('[5]Avoided Costs'!$D$7:$O$26,MATCH($A20,'[5]Avoided Costs'!$B$7:$B$26,0),MATCH(F$7,'[5]Avoided Costs'!$D$4:$O$4,0))</f>
        <v>32.445407794139555</v>
      </c>
      <c r="G20" s="54">
        <f>INDEX('[5]Avoided Costs'!$D$7:$O$26,MATCH($A20,'[5]Avoided Costs'!$B$7:$B$26,0),MATCH(G$7,'[5]Avoided Costs'!$D$4:$O$4,0))</f>
        <v>35.498499909958078</v>
      </c>
      <c r="H20" s="55">
        <f>INDEX('[5]Avoided Costs'!$D$7:$O$26,MATCH($A20,'[5]Avoided Costs'!$B$7:$B$26,0),MATCH(H$7,'[5]Avoided Costs'!$D$4:$O$4,0))</f>
        <v>46.256735157381783</v>
      </c>
      <c r="I20" s="55">
        <f>INDEX('[5]Avoided Costs'!$D$7:$O$26,MATCH($A20,'[5]Avoided Costs'!$B$7:$B$26,0),MATCH(I$7,'[5]Avoided Costs'!$D$4:$O$4,0))</f>
        <v>46.027258462410778</v>
      </c>
      <c r="J20" s="56">
        <f>INDEX('[5]Avoided Costs'!$D$7:$O$26,MATCH($A20,'[5]Avoided Costs'!$B$7:$B$26,0),MATCH(J$7,'[5]Avoided Costs'!$D$4:$O$4,0))</f>
        <v>39.908690256782705</v>
      </c>
      <c r="K20" s="54">
        <f>INDEX('[5]Avoided Costs'!$D$7:$O$26,MATCH($A20,'[5]Avoided Costs'!$B$7:$B$26,0),MATCH(K$7,'[5]Avoided Costs'!$D$4:$O$4,0))</f>
        <v>36.816065098112951</v>
      </c>
      <c r="L20" s="55">
        <f>INDEX('[5]Avoided Costs'!$D$7:$O$26,MATCH($A20,'[5]Avoided Costs'!$B$7:$B$26,0),MATCH(L$7,'[5]Avoided Costs'!$D$4:$O$4,0))</f>
        <v>38.618826197104319</v>
      </c>
      <c r="M20" s="56">
        <f>INDEX('[5]Avoided Costs'!$D$7:$O$26,MATCH($A20,'[5]Avoided Costs'!$B$7:$B$26,0),MATCH(M$7,'[5]Avoided Costs'!$D$4:$O$4,0))</f>
        <v>41.718887250205519</v>
      </c>
      <c r="N20" s="134"/>
      <c r="O20" s="134"/>
      <c r="P20" s="134"/>
      <c r="Q20" s="134"/>
      <c r="R20" s="134"/>
      <c r="S20" s="134"/>
      <c r="T20" s="134"/>
      <c r="U20" s="134"/>
    </row>
    <row r="21" spans="1:21" ht="12.75" customHeight="1" x14ac:dyDescent="0.2">
      <c r="A21" s="53">
        <f t="shared" si="0"/>
        <v>2027</v>
      </c>
      <c r="B21" s="54">
        <f>INDEX('[5]Avoided Costs'!$D$7:$O$26,MATCH($A21,'[5]Avoided Costs'!$B$7:$B$26,0),MATCH(B$7,'[5]Avoided Costs'!$D$4:$O$4,0))</f>
        <v>40.715401300783917</v>
      </c>
      <c r="C21" s="55">
        <f>INDEX('[5]Avoided Costs'!$D$7:$O$26,MATCH($A21,'[5]Avoided Costs'!$B$7:$B$26,0),MATCH(C$7,'[5]Avoided Costs'!$D$4:$O$4,0))</f>
        <v>41.872366105525622</v>
      </c>
      <c r="D21" s="55">
        <f>INDEX('[5]Avoided Costs'!$D$7:$O$26,MATCH($A21,'[5]Avoided Costs'!$B$7:$B$26,0),MATCH(D$7,'[5]Avoided Costs'!$D$4:$O$4,0))</f>
        <v>38.468135032137873</v>
      </c>
      <c r="E21" s="55">
        <f>INDEX('[5]Avoided Costs'!$D$7:$O$26,MATCH($A21,'[5]Avoided Costs'!$B$7:$B$26,0),MATCH(E$7,'[5]Avoided Costs'!$D$4:$O$4,0))</f>
        <v>35.815688105548425</v>
      </c>
      <c r="F21" s="55">
        <f>INDEX('[5]Avoided Costs'!$D$7:$O$26,MATCH($A21,'[5]Avoided Costs'!$B$7:$B$26,0),MATCH(F$7,'[5]Avoided Costs'!$D$4:$O$4,0))</f>
        <v>33.266581751690595</v>
      </c>
      <c r="G21" s="54">
        <f>INDEX('[5]Avoided Costs'!$D$7:$O$26,MATCH($A21,'[5]Avoided Costs'!$B$7:$B$26,0),MATCH(G$7,'[5]Avoided Costs'!$D$4:$O$4,0))</f>
        <v>36.99733301739726</v>
      </c>
      <c r="H21" s="55">
        <f>INDEX('[5]Avoided Costs'!$D$7:$O$26,MATCH($A21,'[5]Avoided Costs'!$B$7:$B$26,0),MATCH(H$7,'[5]Avoided Costs'!$D$4:$O$4,0))</f>
        <v>47.875123291618884</v>
      </c>
      <c r="I21" s="55">
        <f>INDEX('[5]Avoided Costs'!$D$7:$O$26,MATCH($A21,'[5]Avoided Costs'!$B$7:$B$26,0),MATCH(I$7,'[5]Avoided Costs'!$D$4:$O$4,0))</f>
        <v>48.110323206475506</v>
      </c>
      <c r="J21" s="55">
        <f>INDEX('[5]Avoided Costs'!$D$7:$O$26,MATCH($A21,'[5]Avoided Costs'!$B$7:$B$26,0),MATCH(J$7,'[5]Avoided Costs'!$D$4:$O$4,0))</f>
        <v>42.381678407842088</v>
      </c>
      <c r="K21" s="54">
        <f>INDEX('[5]Avoided Costs'!$D$7:$O$26,MATCH($A21,'[5]Avoided Costs'!$B$7:$B$26,0),MATCH(K$7,'[5]Avoided Costs'!$D$4:$O$4,0))</f>
        <v>40.362485362985922</v>
      </c>
      <c r="L21" s="55">
        <f>INDEX('[5]Avoided Costs'!$D$7:$O$26,MATCH($A21,'[5]Avoided Costs'!$B$7:$B$26,0),MATCH(L$7,'[5]Avoided Costs'!$D$4:$O$4,0))</f>
        <v>41.9857477288569</v>
      </c>
      <c r="M21" s="56">
        <f>INDEX('[5]Avoided Costs'!$D$7:$O$26,MATCH($A21,'[5]Avoided Costs'!$B$7:$B$26,0),MATCH(M$7,'[5]Avoided Costs'!$D$4:$O$4,0))</f>
        <v>45.403752146212646</v>
      </c>
    </row>
    <row r="22" spans="1:21" ht="12.75" customHeight="1" x14ac:dyDescent="0.2">
      <c r="A22" s="53"/>
      <c r="B22" s="58"/>
      <c r="C22" s="59"/>
      <c r="D22" s="59"/>
      <c r="E22" s="59"/>
      <c r="F22" s="59"/>
      <c r="G22" s="58"/>
      <c r="H22" s="59"/>
      <c r="I22" s="59"/>
      <c r="J22" s="59"/>
      <c r="K22" s="58"/>
      <c r="L22" s="59"/>
      <c r="M22" s="60"/>
    </row>
    <row r="23" spans="1:21" ht="12.75" hidden="1" customHeight="1" x14ac:dyDescent="0.2">
      <c r="A23" s="53"/>
      <c r="B23" s="54"/>
      <c r="C23" s="55"/>
      <c r="D23" s="55"/>
      <c r="E23" s="55"/>
      <c r="F23" s="55"/>
      <c r="G23" s="54"/>
      <c r="H23" s="55"/>
      <c r="I23" s="55"/>
      <c r="J23" s="55"/>
      <c r="K23" s="54"/>
      <c r="L23" s="55"/>
      <c r="M23" s="56"/>
    </row>
    <row r="24" spans="1:21" ht="12.75" hidden="1" customHeight="1" x14ac:dyDescent="0.2">
      <c r="A24" s="53"/>
      <c r="B24" s="54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6"/>
    </row>
    <row r="25" spans="1:21" ht="12.75" hidden="1" customHeight="1" x14ac:dyDescent="0.2">
      <c r="A25" s="57"/>
      <c r="B25" s="58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60"/>
    </row>
    <row r="26" spans="1:21" ht="12.75" customHeight="1" x14ac:dyDescent="0.2">
      <c r="A26" s="111"/>
      <c r="B26" s="109"/>
      <c r="C26" s="109"/>
      <c r="D26" s="109"/>
      <c r="E26" s="109"/>
      <c r="F26" s="108"/>
      <c r="G26" s="108"/>
      <c r="H26" s="108"/>
      <c r="I26" s="108"/>
      <c r="J26" s="110"/>
      <c r="K26" s="108"/>
      <c r="L26" s="108"/>
      <c r="M26" s="108"/>
    </row>
    <row r="27" spans="1:21" ht="12.75" customHeight="1" x14ac:dyDescent="0.2">
      <c r="A27" s="12" t="s">
        <v>226</v>
      </c>
      <c r="C27" s="40"/>
      <c r="D27" s="40"/>
      <c r="E27" s="40"/>
      <c r="F27" s="40"/>
      <c r="G27" s="40"/>
      <c r="H27" s="40"/>
      <c r="I27" s="40"/>
      <c r="J27" s="40"/>
      <c r="K27" s="48"/>
      <c r="L27" s="37"/>
      <c r="M27" s="37"/>
    </row>
    <row r="28" spans="1:21" ht="12.75" customHeight="1" x14ac:dyDescent="0.2">
      <c r="A28" s="49">
        <f>'Tables 3 to 5'!$B$13</f>
        <v>2016</v>
      </c>
      <c r="B28" s="50"/>
      <c r="C28" s="51"/>
      <c r="D28" s="51"/>
      <c r="E28" s="51"/>
      <c r="F28" s="52">
        <f>F10*INDEX('OFPC Source'!$AD$8:$AO$20,MATCH($A28,'OFPC Source'!$AC$8:$AC$20,0),MATCH(F$7,'OFPC Source'!$AD$7:$AO$7,0))</f>
        <v>15.477809598846481</v>
      </c>
      <c r="G28" s="51">
        <f>G10*INDEX('OFPC Source'!$AD$8:$AO$20,MATCH($A28,'OFPC Source'!$AC$8:$AC$20,0),MATCH(G$7,'OFPC Source'!$AD$7:$AO$7,0))</f>
        <v>16.188581565375067</v>
      </c>
      <c r="H28" s="51">
        <f>H10*INDEX('OFPC Source'!$AD$8:$AO$20,MATCH($A28,'OFPC Source'!$AC$8:$AC$20,0),MATCH(H$7,'OFPC Source'!$AD$7:$AO$7,0))</f>
        <v>25.668946356573368</v>
      </c>
      <c r="I28" s="51">
        <f>I10*INDEX('OFPC Source'!$AD$8:$AO$20,MATCH($A28,'OFPC Source'!$AC$8:$AC$20,0),MATCH(I$7,'OFPC Source'!$AD$7:$AO$7,0))</f>
        <v>25.327902629233368</v>
      </c>
      <c r="J28" s="52">
        <f>J10*INDEX('OFPC Source'!$AD$8:$AO$20,MATCH($A28,'OFPC Source'!$AC$8:$AC$20,0),MATCH(J$7,'OFPC Source'!$AD$7:$AO$7,0))</f>
        <v>23.766133077696729</v>
      </c>
      <c r="K28" s="51">
        <f>K10*INDEX('OFPC Source'!$AD$8:$AO$20,MATCH($A28,'OFPC Source'!$AC$8:$AC$20,0),MATCH(K$7,'OFPC Source'!$AD$7:$AO$7,0))</f>
        <v>18.668002390978412</v>
      </c>
      <c r="L28" s="51">
        <f>L10*INDEX('OFPC Source'!$AD$8:$AO$20,MATCH($A28,'OFPC Source'!$AC$8:$AC$20,0),MATCH(L$7,'OFPC Source'!$AD$7:$AO$7,0))</f>
        <v>18.58317340422057</v>
      </c>
      <c r="M28" s="52">
        <f>M10*INDEX('OFPC Source'!$AD$8:$AO$20,MATCH($A28,'OFPC Source'!$AC$8:$AC$20,0),MATCH(M$7,'OFPC Source'!$AD$7:$AO$7,0))</f>
        <v>24.248503418412323</v>
      </c>
    </row>
    <row r="29" spans="1:21" ht="12.75" customHeight="1" x14ac:dyDescent="0.2">
      <c r="A29" s="53">
        <f t="shared" ref="A29:A39" si="1">A28+1</f>
        <v>2017</v>
      </c>
      <c r="B29" s="54">
        <f>B11*INDEX('OFPC Source'!$AD$8:$AO$20,MATCH($A29,'OFPC Source'!$AC$8:$AC$20,0),MATCH(B$7,'OFPC Source'!$AD$7:$AO$7,0))</f>
        <v>22.00732138612808</v>
      </c>
      <c r="C29" s="55">
        <f>C11*INDEX('OFPC Source'!$AD$8:$AO$20,MATCH($A29,'OFPC Source'!$AC$8:$AC$20,0),MATCH(C$7,'OFPC Source'!$AD$7:$AO$7,0))</f>
        <v>22.898783034458905</v>
      </c>
      <c r="D29" s="55">
        <f>D11*INDEX('OFPC Source'!$AD$8:$AO$20,MATCH($A29,'OFPC Source'!$AC$8:$AC$20,0),MATCH(D$7,'OFPC Source'!$AD$7:$AO$7,0))</f>
        <v>21.146429372965443</v>
      </c>
      <c r="E29" s="55">
        <f>E11*INDEX('OFPC Source'!$AD$8:$AO$20,MATCH($A29,'OFPC Source'!$AC$8:$AC$20,0),MATCH(E$7,'OFPC Source'!$AD$7:$AO$7,0))</f>
        <v>20.516372388689511</v>
      </c>
      <c r="F29" s="56">
        <f>F11*INDEX('OFPC Source'!$AD$8:$AO$20,MATCH($A29,'OFPC Source'!$AC$8:$AC$20,0),MATCH(F$7,'OFPC Source'!$AD$7:$AO$7,0))</f>
        <v>18.423912546250619</v>
      </c>
      <c r="G29" s="55">
        <f>G11*INDEX('OFPC Source'!$AD$8:$AO$20,MATCH($A29,'OFPC Source'!$AC$8:$AC$20,0),MATCH(G$7,'OFPC Source'!$AD$7:$AO$7,0))</f>
        <v>18.231363339108743</v>
      </c>
      <c r="H29" s="55">
        <f>H11*INDEX('OFPC Source'!$AD$8:$AO$20,MATCH($A29,'OFPC Source'!$AC$8:$AC$20,0),MATCH(H$7,'OFPC Source'!$AD$7:$AO$7,0))</f>
        <v>27.503257446760291</v>
      </c>
      <c r="I29" s="55">
        <f>I11*INDEX('OFPC Source'!$AD$8:$AO$20,MATCH($A29,'OFPC Source'!$AC$8:$AC$20,0),MATCH(I$7,'OFPC Source'!$AD$7:$AO$7,0))</f>
        <v>25.690974634275776</v>
      </c>
      <c r="J29" s="56">
        <f>J11*INDEX('OFPC Source'!$AD$8:$AO$20,MATCH($A29,'OFPC Source'!$AC$8:$AC$20,0),MATCH(J$7,'OFPC Source'!$AD$7:$AO$7,0))</f>
        <v>21.415817122784873</v>
      </c>
      <c r="K29" s="55">
        <f>K11*INDEX('OFPC Source'!$AD$8:$AO$20,MATCH($A29,'OFPC Source'!$AC$8:$AC$20,0),MATCH(K$7,'OFPC Source'!$AD$7:$AO$7,0))</f>
        <v>19.302424865515576</v>
      </c>
      <c r="L29" s="55">
        <f>L11*INDEX('OFPC Source'!$AD$8:$AO$20,MATCH($A29,'OFPC Source'!$AC$8:$AC$20,0),MATCH(L$7,'OFPC Source'!$AD$7:$AO$7,0))</f>
        <v>21.989097143568383</v>
      </c>
      <c r="M29" s="56">
        <f>M11*INDEX('OFPC Source'!$AD$8:$AO$20,MATCH($A29,'OFPC Source'!$AC$8:$AC$20,0),MATCH(M$7,'OFPC Source'!$AD$7:$AO$7,0))</f>
        <v>25.420999734675981</v>
      </c>
    </row>
    <row r="30" spans="1:21" ht="12.75" customHeight="1" x14ac:dyDescent="0.2">
      <c r="A30" s="53">
        <f t="shared" si="1"/>
        <v>2018</v>
      </c>
      <c r="B30" s="54">
        <f>B12*INDEX('OFPC Source'!$AD$8:$AO$20,MATCH($A30,'OFPC Source'!$AC$8:$AC$20,0),MATCH(B$7,'OFPC Source'!$AD$7:$AO$7,0))</f>
        <v>26.188707963835672</v>
      </c>
      <c r="C30" s="55">
        <f>C12*INDEX('OFPC Source'!$AD$8:$AO$20,MATCH($A30,'OFPC Source'!$AC$8:$AC$20,0),MATCH(C$7,'OFPC Source'!$AD$7:$AO$7,0))</f>
        <v>24.688086579553921</v>
      </c>
      <c r="D30" s="55">
        <f>D12*INDEX('OFPC Source'!$AD$8:$AO$20,MATCH($A30,'OFPC Source'!$AC$8:$AC$20,0),MATCH(D$7,'OFPC Source'!$AD$7:$AO$7,0))</f>
        <v>22.690147563337366</v>
      </c>
      <c r="E30" s="55">
        <f>E12*INDEX('OFPC Source'!$AD$8:$AO$20,MATCH($A30,'OFPC Source'!$AC$8:$AC$20,0),MATCH(E$7,'OFPC Source'!$AD$7:$AO$7,0))</f>
        <v>23.462910244554767</v>
      </c>
      <c r="F30" s="56">
        <f>F12*INDEX('OFPC Source'!$AD$8:$AO$20,MATCH($A30,'OFPC Source'!$AC$8:$AC$20,0),MATCH(F$7,'OFPC Source'!$AD$7:$AO$7,0))</f>
        <v>20.686036251730364</v>
      </c>
      <c r="G30" s="55">
        <f>G12*INDEX('OFPC Source'!$AD$8:$AO$20,MATCH($A30,'OFPC Source'!$AC$8:$AC$20,0),MATCH(G$7,'OFPC Source'!$AD$7:$AO$7,0))</f>
        <v>20.970552331176698</v>
      </c>
      <c r="H30" s="55">
        <f>H12*INDEX('OFPC Source'!$AD$8:$AO$20,MATCH($A30,'OFPC Source'!$AC$8:$AC$20,0),MATCH(H$7,'OFPC Source'!$AD$7:$AO$7,0))</f>
        <v>30.040969948777075</v>
      </c>
      <c r="I30" s="55">
        <f>I12*INDEX('OFPC Source'!$AD$8:$AO$20,MATCH($A30,'OFPC Source'!$AC$8:$AC$20,0),MATCH(I$7,'OFPC Source'!$AD$7:$AO$7,0))</f>
        <v>27.577477226368206</v>
      </c>
      <c r="J30" s="56">
        <f>J12*INDEX('OFPC Source'!$AD$8:$AO$20,MATCH($A30,'OFPC Source'!$AC$8:$AC$20,0),MATCH(J$7,'OFPC Source'!$AD$7:$AO$7,0))</f>
        <v>22.530733096332234</v>
      </c>
      <c r="K30" s="55">
        <f>K12*INDEX('OFPC Source'!$AD$8:$AO$20,MATCH($A30,'OFPC Source'!$AC$8:$AC$20,0),MATCH(K$7,'OFPC Source'!$AD$7:$AO$7,0))</f>
        <v>21.499248512213448</v>
      </c>
      <c r="L30" s="55">
        <f>L12*INDEX('OFPC Source'!$AD$8:$AO$20,MATCH($A30,'OFPC Source'!$AC$8:$AC$20,0),MATCH(L$7,'OFPC Source'!$AD$7:$AO$7,0))</f>
        <v>25.527482386480973</v>
      </c>
      <c r="M30" s="56">
        <f>M12*INDEX('OFPC Source'!$AD$8:$AO$20,MATCH($A30,'OFPC Source'!$AC$8:$AC$20,0),MATCH(M$7,'OFPC Source'!$AD$7:$AO$7,0))</f>
        <v>27.835846127614055</v>
      </c>
    </row>
    <row r="31" spans="1:21" ht="12.75" customHeight="1" x14ac:dyDescent="0.2">
      <c r="A31" s="53">
        <f t="shared" si="1"/>
        <v>2019</v>
      </c>
      <c r="B31" s="54">
        <f>B13*INDEX('OFPC Source'!$AD$8:$AO$20,MATCH($A31,'OFPC Source'!$AC$8:$AC$20,0),MATCH(B$7,'OFPC Source'!$AD$7:$AO$7,0))</f>
        <v>26.934431271445874</v>
      </c>
      <c r="C31" s="55">
        <f>C13*INDEX('OFPC Source'!$AD$8:$AO$20,MATCH($A31,'OFPC Source'!$AC$8:$AC$20,0),MATCH(C$7,'OFPC Source'!$AD$7:$AO$7,0))</f>
        <v>25.924170950103292</v>
      </c>
      <c r="D31" s="55">
        <f>D13*INDEX('OFPC Source'!$AD$8:$AO$20,MATCH($A31,'OFPC Source'!$AC$8:$AC$20,0),MATCH(D$7,'OFPC Source'!$AD$7:$AO$7,0))</f>
        <v>23.547900450551012</v>
      </c>
      <c r="E31" s="55">
        <f>E13*INDEX('OFPC Source'!$AD$8:$AO$20,MATCH($A31,'OFPC Source'!$AC$8:$AC$20,0),MATCH(E$7,'OFPC Source'!$AD$7:$AO$7,0))</f>
        <v>21.865421148790684</v>
      </c>
      <c r="F31" s="56">
        <f>F13*INDEX('OFPC Source'!$AD$8:$AO$20,MATCH($A31,'OFPC Source'!$AC$8:$AC$20,0),MATCH(F$7,'OFPC Source'!$AD$7:$AO$7,0))</f>
        <v>21.957645709821151</v>
      </c>
      <c r="G31" s="55">
        <f>G13*INDEX('OFPC Source'!$AD$8:$AO$20,MATCH($A31,'OFPC Source'!$AC$8:$AC$20,0),MATCH(G$7,'OFPC Source'!$AD$7:$AO$7,0))</f>
        <v>22.36273758845569</v>
      </c>
      <c r="H31" s="55">
        <f>H13*INDEX('OFPC Source'!$AD$8:$AO$20,MATCH($A31,'OFPC Source'!$AC$8:$AC$20,0),MATCH(H$7,'OFPC Source'!$AD$7:$AO$7,0))</f>
        <v>31.057262218443746</v>
      </c>
      <c r="I31" s="55">
        <f>I13*INDEX('OFPC Source'!$AD$8:$AO$20,MATCH($A31,'OFPC Source'!$AC$8:$AC$20,0),MATCH(I$7,'OFPC Source'!$AD$7:$AO$7,0))</f>
        <v>30.355899849534911</v>
      </c>
      <c r="J31" s="56">
        <f>J13*INDEX('OFPC Source'!$AD$8:$AO$20,MATCH($A31,'OFPC Source'!$AC$8:$AC$20,0),MATCH(J$7,'OFPC Source'!$AD$7:$AO$7,0))</f>
        <v>27.79146056377477</v>
      </c>
      <c r="K31" s="55">
        <f>K13*INDEX('OFPC Source'!$AD$8:$AO$20,MATCH($A31,'OFPC Source'!$AC$8:$AC$20,0),MATCH(K$7,'OFPC Source'!$AD$7:$AO$7,0))</f>
        <v>22.752827084690725</v>
      </c>
      <c r="L31" s="55">
        <f>L13*INDEX('OFPC Source'!$AD$8:$AO$20,MATCH($A31,'OFPC Source'!$AC$8:$AC$20,0),MATCH(L$7,'OFPC Source'!$AD$7:$AO$7,0))</f>
        <v>26.208410818629996</v>
      </c>
      <c r="M31" s="56">
        <f>M13*INDEX('OFPC Source'!$AD$8:$AO$20,MATCH($A31,'OFPC Source'!$AC$8:$AC$20,0),MATCH(M$7,'OFPC Source'!$AD$7:$AO$7,0))</f>
        <v>28.559141923247893</v>
      </c>
    </row>
    <row r="32" spans="1:21" ht="12.75" customHeight="1" x14ac:dyDescent="0.2">
      <c r="A32" s="53">
        <f t="shared" si="1"/>
        <v>2020</v>
      </c>
      <c r="B32" s="54">
        <f>B14*INDEX('OFPC Source'!$AD$8:$AO$20,MATCH($A32,'OFPC Source'!$AC$8:$AC$20,0),MATCH(B$7,'OFPC Source'!$AD$7:$AO$7,0))</f>
        <v>28.298296292831406</v>
      </c>
      <c r="C32" s="55">
        <f>C14*INDEX('OFPC Source'!$AD$8:$AO$20,MATCH($A32,'OFPC Source'!$AC$8:$AC$20,0),MATCH(C$7,'OFPC Source'!$AD$7:$AO$7,0))</f>
        <v>26.721810197615476</v>
      </c>
      <c r="D32" s="55">
        <f>D14*INDEX('OFPC Source'!$AD$8:$AO$20,MATCH($A32,'OFPC Source'!$AC$8:$AC$20,0),MATCH(D$7,'OFPC Source'!$AD$7:$AO$7,0))</f>
        <v>30.110157762885109</v>
      </c>
      <c r="E32" s="55">
        <f>E14*INDEX('OFPC Source'!$AD$8:$AO$20,MATCH($A32,'OFPC Source'!$AC$8:$AC$20,0),MATCH(E$7,'OFPC Source'!$AD$7:$AO$7,0))</f>
        <v>24.918328908339376</v>
      </c>
      <c r="F32" s="56">
        <f>F14*INDEX('OFPC Source'!$AD$8:$AO$20,MATCH($A32,'OFPC Source'!$AC$8:$AC$20,0),MATCH(F$7,'OFPC Source'!$AD$7:$AO$7,0))</f>
        <v>22.975898279029838</v>
      </c>
      <c r="G32" s="55">
        <f>G14*INDEX('OFPC Source'!$AD$8:$AO$20,MATCH($A32,'OFPC Source'!$AC$8:$AC$20,0),MATCH(G$7,'OFPC Source'!$AD$7:$AO$7,0))</f>
        <v>23.374275919902573</v>
      </c>
      <c r="H32" s="55">
        <f>H14*INDEX('OFPC Source'!$AD$8:$AO$20,MATCH($A32,'OFPC Source'!$AC$8:$AC$20,0),MATCH(H$7,'OFPC Source'!$AD$7:$AO$7,0))</f>
        <v>33.033758618052396</v>
      </c>
      <c r="I32" s="55">
        <f>I14*INDEX('OFPC Source'!$AD$8:$AO$20,MATCH($A32,'OFPC Source'!$AC$8:$AC$20,0),MATCH(I$7,'OFPC Source'!$AD$7:$AO$7,0))</f>
        <v>30.24309691447629</v>
      </c>
      <c r="J32" s="56">
        <f>J14*INDEX('OFPC Source'!$AD$8:$AO$20,MATCH($A32,'OFPC Source'!$AC$8:$AC$20,0),MATCH(J$7,'OFPC Source'!$AD$7:$AO$7,0))</f>
        <v>26.640034830049643</v>
      </c>
      <c r="K32" s="55">
        <f>K14*INDEX('OFPC Source'!$AD$8:$AO$20,MATCH($A32,'OFPC Source'!$AC$8:$AC$20,0),MATCH(K$7,'OFPC Source'!$AD$7:$AO$7,0))</f>
        <v>25.650179748091418</v>
      </c>
      <c r="L32" s="55">
        <f>L14*INDEX('OFPC Source'!$AD$8:$AO$20,MATCH($A32,'OFPC Source'!$AC$8:$AC$20,0),MATCH(L$7,'OFPC Source'!$AD$7:$AO$7,0))</f>
        <v>28.270684092505505</v>
      </c>
      <c r="M32" s="56">
        <f>M14*INDEX('OFPC Source'!$AD$8:$AO$20,MATCH($A32,'OFPC Source'!$AC$8:$AC$20,0),MATCH(M$7,'OFPC Source'!$AD$7:$AO$7,0))</f>
        <v>29.795590234096842</v>
      </c>
    </row>
    <row r="33" spans="1:21" ht="12.75" customHeight="1" x14ac:dyDescent="0.2">
      <c r="A33" s="53">
        <f t="shared" si="1"/>
        <v>2021</v>
      </c>
      <c r="B33" s="54">
        <f>B15*INDEX('OFPC Source'!$AD$8:$AO$20,MATCH($A33,'OFPC Source'!$AC$8:$AC$20,0),MATCH(B$7,'OFPC Source'!$AD$7:$AO$7,0))</f>
        <v>30.309885914675597</v>
      </c>
      <c r="C33" s="55">
        <f>C15*INDEX('OFPC Source'!$AD$8:$AO$20,MATCH($A33,'OFPC Source'!$AC$8:$AC$20,0),MATCH(C$7,'OFPC Source'!$AD$7:$AO$7,0))</f>
        <v>29.321794269305045</v>
      </c>
      <c r="D33" s="55">
        <f>D15*INDEX('OFPC Source'!$AD$8:$AO$20,MATCH($A33,'OFPC Source'!$AC$8:$AC$20,0),MATCH(D$7,'OFPC Source'!$AD$7:$AO$7,0))</f>
        <v>27.123853473058666</v>
      </c>
      <c r="E33" s="55">
        <f>E15*INDEX('OFPC Source'!$AD$8:$AO$20,MATCH($A33,'OFPC Source'!$AC$8:$AC$20,0),MATCH(E$7,'OFPC Source'!$AD$7:$AO$7,0))</f>
        <v>26.230458826231558</v>
      </c>
      <c r="F33" s="56">
        <f>F15*INDEX('OFPC Source'!$AD$8:$AO$20,MATCH($A33,'OFPC Source'!$AC$8:$AC$20,0),MATCH(F$7,'OFPC Source'!$AD$7:$AO$7,0))</f>
        <v>23.167437773892178</v>
      </c>
      <c r="G33" s="55">
        <f>G15*INDEX('OFPC Source'!$AD$8:$AO$20,MATCH($A33,'OFPC Source'!$AC$8:$AC$20,0),MATCH(G$7,'OFPC Source'!$AD$7:$AO$7,0))</f>
        <v>22.928117581051797</v>
      </c>
      <c r="H33" s="55">
        <f>H15*INDEX('OFPC Source'!$AD$8:$AO$20,MATCH($A33,'OFPC Source'!$AC$8:$AC$20,0),MATCH(H$7,'OFPC Source'!$AD$7:$AO$7,0))</f>
        <v>34.919342129552675</v>
      </c>
      <c r="I33" s="55">
        <f>I15*INDEX('OFPC Source'!$AD$8:$AO$20,MATCH($A33,'OFPC Source'!$AC$8:$AC$20,0),MATCH(I$7,'OFPC Source'!$AD$7:$AO$7,0))</f>
        <v>34.486205020410935</v>
      </c>
      <c r="J33" s="56">
        <f>J15*INDEX('OFPC Source'!$AD$8:$AO$20,MATCH($A33,'OFPC Source'!$AC$8:$AC$20,0),MATCH(J$7,'OFPC Source'!$AD$7:$AO$7,0))</f>
        <v>32.202824358407952</v>
      </c>
      <c r="K33" s="55">
        <f>K15*INDEX('OFPC Source'!$AD$8:$AO$20,MATCH($A33,'OFPC Source'!$AC$8:$AC$20,0),MATCH(K$7,'OFPC Source'!$AD$7:$AO$7,0))</f>
        <v>27.508726702826142</v>
      </c>
      <c r="L33" s="55">
        <f>L15*INDEX('OFPC Source'!$AD$8:$AO$20,MATCH($A33,'OFPC Source'!$AC$8:$AC$20,0),MATCH(L$7,'OFPC Source'!$AD$7:$AO$7,0))</f>
        <v>30.465730541089812</v>
      </c>
      <c r="M33" s="56">
        <f>M15*INDEX('OFPC Source'!$AD$8:$AO$20,MATCH($A33,'OFPC Source'!$AC$8:$AC$20,0),MATCH(M$7,'OFPC Source'!$AD$7:$AO$7,0))</f>
        <v>32.440767235496537</v>
      </c>
    </row>
    <row r="34" spans="1:21" ht="12.75" customHeight="1" x14ac:dyDescent="0.2">
      <c r="A34" s="53">
        <f t="shared" si="1"/>
        <v>2022</v>
      </c>
      <c r="B34" s="54">
        <f>B16*INDEX('OFPC Source'!$AD$8:$AO$20,MATCH($A34,'OFPC Source'!$AC$8:$AC$20,0),MATCH(B$7,'OFPC Source'!$AD$7:$AO$7,0))</f>
        <v>32.381707406583836</v>
      </c>
      <c r="C34" s="55">
        <f>C16*INDEX('OFPC Source'!$AD$8:$AO$20,MATCH($A34,'OFPC Source'!$AC$8:$AC$20,0),MATCH(C$7,'OFPC Source'!$AD$7:$AO$7,0))</f>
        <v>31.403781472992677</v>
      </c>
      <c r="D34" s="55">
        <f>D16*INDEX('OFPC Source'!$AD$8:$AO$20,MATCH($A34,'OFPC Source'!$AC$8:$AC$20,0),MATCH(D$7,'OFPC Source'!$AD$7:$AO$7,0))</f>
        <v>29.248253152267768</v>
      </c>
      <c r="E34" s="55">
        <f>E16*INDEX('OFPC Source'!$AD$8:$AO$20,MATCH($A34,'OFPC Source'!$AC$8:$AC$20,0),MATCH(E$7,'OFPC Source'!$AD$7:$AO$7,0))</f>
        <v>26.518492843809508</v>
      </c>
      <c r="F34" s="56">
        <f>F16*INDEX('OFPC Source'!$AD$8:$AO$20,MATCH($A34,'OFPC Source'!$AC$8:$AC$20,0),MATCH(F$7,'OFPC Source'!$AD$7:$AO$7,0))</f>
        <v>25.736380577209683</v>
      </c>
      <c r="G34" s="55">
        <f>G16*INDEX('OFPC Source'!$AD$8:$AO$20,MATCH($A34,'OFPC Source'!$AC$8:$AC$20,0),MATCH(G$7,'OFPC Source'!$AD$7:$AO$7,0))</f>
        <v>27.95896969270807</v>
      </c>
      <c r="H34" s="55">
        <f>H16*INDEX('OFPC Source'!$AD$8:$AO$20,MATCH($A34,'OFPC Source'!$AC$8:$AC$20,0),MATCH(H$7,'OFPC Source'!$AD$7:$AO$7,0))</f>
        <v>37.492230242890649</v>
      </c>
      <c r="I34" s="55">
        <f>I16*INDEX('OFPC Source'!$AD$8:$AO$20,MATCH($A34,'OFPC Source'!$AC$8:$AC$20,0),MATCH(I$7,'OFPC Source'!$AD$7:$AO$7,0))</f>
        <v>37.933017495878474</v>
      </c>
      <c r="J34" s="56">
        <f>J16*INDEX('OFPC Source'!$AD$8:$AO$20,MATCH($A34,'OFPC Source'!$AC$8:$AC$20,0),MATCH(J$7,'OFPC Source'!$AD$7:$AO$7,0))</f>
        <v>36.40566413457789</v>
      </c>
      <c r="K34" s="55">
        <f>K16*INDEX('OFPC Source'!$AD$8:$AO$20,MATCH($A34,'OFPC Source'!$AC$8:$AC$20,0),MATCH(K$7,'OFPC Source'!$AD$7:$AO$7,0))</f>
        <v>30.330786380909458</v>
      </c>
      <c r="L34" s="55">
        <f>L16*INDEX('OFPC Source'!$AD$8:$AO$20,MATCH($A34,'OFPC Source'!$AC$8:$AC$20,0),MATCH(L$7,'OFPC Source'!$AD$7:$AO$7,0))</f>
        <v>31.653528009725552</v>
      </c>
      <c r="M34" s="56">
        <f>M16*INDEX('OFPC Source'!$AD$8:$AO$20,MATCH($A34,'OFPC Source'!$AC$8:$AC$20,0),MATCH(M$7,'OFPC Source'!$AD$7:$AO$7,0))</f>
        <v>33.433475961027497</v>
      </c>
    </row>
    <row r="35" spans="1:21" ht="12.75" customHeight="1" x14ac:dyDescent="0.2">
      <c r="A35" s="53">
        <f t="shared" si="1"/>
        <v>2023</v>
      </c>
      <c r="B35" s="54">
        <f>B17*INDEX('OFPC Source'!$AD$8:$AO$20,MATCH($A35,'OFPC Source'!$AC$8:$AC$20,0),MATCH(B$7,'OFPC Source'!$AD$7:$AO$7,0))</f>
        <v>35.346767456655009</v>
      </c>
      <c r="C35" s="55">
        <f>C17*INDEX('OFPC Source'!$AD$8:$AO$20,MATCH($A35,'OFPC Source'!$AC$8:$AC$20,0),MATCH(C$7,'OFPC Source'!$AD$7:$AO$7,0))</f>
        <v>26.499339039233146</v>
      </c>
      <c r="D35" s="55">
        <f>D17*INDEX('OFPC Source'!$AD$8:$AO$20,MATCH($A35,'OFPC Source'!$AC$8:$AC$20,0),MATCH(D$7,'OFPC Source'!$AD$7:$AO$7,0))</f>
        <v>32.056071157468395</v>
      </c>
      <c r="E35" s="55">
        <f>E17*INDEX('OFPC Source'!$AD$8:$AO$20,MATCH($A35,'OFPC Source'!$AC$8:$AC$20,0),MATCH(E$7,'OFPC Source'!$AD$7:$AO$7,0))</f>
        <v>28.251353456444146</v>
      </c>
      <c r="F35" s="56">
        <f>F17*INDEX('OFPC Source'!$AD$8:$AO$20,MATCH($A35,'OFPC Source'!$AC$8:$AC$20,0),MATCH(F$7,'OFPC Source'!$AD$7:$AO$7,0))</f>
        <v>27.66269527663761</v>
      </c>
      <c r="G35" s="55">
        <f>G17*INDEX('OFPC Source'!$AD$8:$AO$20,MATCH($A35,'OFPC Source'!$AC$8:$AC$20,0),MATCH(G$7,'OFPC Source'!$AD$7:$AO$7,0))</f>
        <v>30.952247908009497</v>
      </c>
      <c r="H35" s="55">
        <f>H17*INDEX('OFPC Source'!$AD$8:$AO$20,MATCH($A35,'OFPC Source'!$AC$8:$AC$20,0),MATCH(H$7,'OFPC Source'!$AD$7:$AO$7,0))</f>
        <v>40.635819707426712</v>
      </c>
      <c r="I35" s="55">
        <f>I17*INDEX('OFPC Source'!$AD$8:$AO$20,MATCH($A35,'OFPC Source'!$AC$8:$AC$20,0),MATCH(I$7,'OFPC Source'!$AD$7:$AO$7,0))</f>
        <v>41.203701078398076</v>
      </c>
      <c r="J35" s="56">
        <f>J17*INDEX('OFPC Source'!$AD$8:$AO$20,MATCH($A35,'OFPC Source'!$AC$8:$AC$20,0),MATCH(J$7,'OFPC Source'!$AD$7:$AO$7,0))</f>
        <v>39.733748744115424</v>
      </c>
      <c r="K35" s="55">
        <f>K17*INDEX('OFPC Source'!$AD$8:$AO$20,MATCH($A35,'OFPC Source'!$AC$8:$AC$20,0),MATCH(K$7,'OFPC Source'!$AD$7:$AO$7,0))</f>
        <v>32.251338280679093</v>
      </c>
      <c r="L35" s="55">
        <f>L17*INDEX('OFPC Source'!$AD$8:$AO$20,MATCH($A35,'OFPC Source'!$AC$8:$AC$20,0),MATCH(L$7,'OFPC Source'!$AD$7:$AO$7,0))</f>
        <v>34.913649509565822</v>
      </c>
      <c r="M35" s="56">
        <f>M17*INDEX('OFPC Source'!$AD$8:$AO$20,MATCH($A35,'OFPC Source'!$AC$8:$AC$20,0),MATCH(M$7,'OFPC Source'!$AD$7:$AO$7,0))</f>
        <v>37.592375514472941</v>
      </c>
    </row>
    <row r="36" spans="1:21" ht="12.75" customHeight="1" x14ac:dyDescent="0.2">
      <c r="A36" s="53">
        <f t="shared" si="1"/>
        <v>2024</v>
      </c>
      <c r="B36" s="54">
        <f>B18*INDEX('OFPC Source'!$AD$8:$AO$20,MATCH($A36,'OFPC Source'!$AC$8:$AC$20,0),MATCH(B$7,'OFPC Source'!$AD$7:$AO$7,0))</f>
        <v>38.800525198854857</v>
      </c>
      <c r="C36" s="55">
        <f>C18*INDEX('OFPC Source'!$AD$8:$AO$20,MATCH($A36,'OFPC Source'!$AC$8:$AC$20,0),MATCH(C$7,'OFPC Source'!$AD$7:$AO$7,0))</f>
        <v>36.993850161343907</v>
      </c>
      <c r="D36" s="55">
        <f>D18*INDEX('OFPC Source'!$AD$8:$AO$20,MATCH($A36,'OFPC Source'!$AC$8:$AC$20,0),MATCH(D$7,'OFPC Source'!$AD$7:$AO$7,0))</f>
        <v>33.809733731932361</v>
      </c>
      <c r="E36" s="55">
        <f>E18*INDEX('OFPC Source'!$AD$8:$AO$20,MATCH($A36,'OFPC Source'!$AC$8:$AC$20,0),MATCH(E$7,'OFPC Source'!$AD$7:$AO$7,0))</f>
        <v>30.516970862143584</v>
      </c>
      <c r="F36" s="56">
        <f>F18*INDEX('OFPC Source'!$AD$8:$AO$20,MATCH($A36,'OFPC Source'!$AC$8:$AC$20,0),MATCH(F$7,'OFPC Source'!$AD$7:$AO$7,0))</f>
        <v>29.748069024716457</v>
      </c>
      <c r="G36" s="55">
        <f>G18*INDEX('OFPC Source'!$AD$8:$AO$20,MATCH($A36,'OFPC Source'!$AC$8:$AC$20,0),MATCH(G$7,'OFPC Source'!$AD$7:$AO$7,0))</f>
        <v>33.603948143976531</v>
      </c>
      <c r="H36" s="55">
        <f>H18*INDEX('OFPC Source'!$AD$8:$AO$20,MATCH($A36,'OFPC Source'!$AC$8:$AC$20,0),MATCH(H$7,'OFPC Source'!$AD$7:$AO$7,0))</f>
        <v>44.616066409527967</v>
      </c>
      <c r="I36" s="55">
        <f>I18*INDEX('OFPC Source'!$AD$8:$AO$20,MATCH($A36,'OFPC Source'!$AC$8:$AC$20,0),MATCH(I$7,'OFPC Source'!$AD$7:$AO$7,0))</f>
        <v>45.583974825634591</v>
      </c>
      <c r="J36" s="56">
        <f>J18*INDEX('OFPC Source'!$AD$8:$AO$20,MATCH($A36,'OFPC Source'!$AC$8:$AC$20,0),MATCH(J$7,'OFPC Source'!$AD$7:$AO$7,0))</f>
        <v>42.111862063701786</v>
      </c>
      <c r="K36" s="55">
        <f>K18*INDEX('OFPC Source'!$AD$8:$AO$20,MATCH($A36,'OFPC Source'!$AC$8:$AC$20,0),MATCH(K$7,'OFPC Source'!$AD$7:$AO$7,0))</f>
        <v>36.865830498133022</v>
      </c>
      <c r="L36" s="55">
        <f>L18*INDEX('OFPC Source'!$AD$8:$AO$20,MATCH($A36,'OFPC Source'!$AC$8:$AC$20,0),MATCH(L$7,'OFPC Source'!$AD$7:$AO$7,0))</f>
        <v>40.642394618404666</v>
      </c>
      <c r="M36" s="56">
        <f>M18*INDEX('OFPC Source'!$AD$8:$AO$20,MATCH($A36,'OFPC Source'!$AC$8:$AC$20,0),MATCH(M$7,'OFPC Source'!$AD$7:$AO$7,0))</f>
        <v>44.134804199304853</v>
      </c>
    </row>
    <row r="37" spans="1:21" ht="12.75" customHeight="1" x14ac:dyDescent="0.2">
      <c r="A37" s="53">
        <f t="shared" si="1"/>
        <v>2025</v>
      </c>
      <c r="B37" s="54">
        <f>B19*INDEX('OFPC Source'!$AD$8:$AO$20,MATCH($A37,'OFPC Source'!$AC$8:$AC$20,0),MATCH(B$7,'OFPC Source'!$AD$7:$AO$7,0))</f>
        <v>40.321275978230467</v>
      </c>
      <c r="C37" s="55">
        <f>C19*INDEX('OFPC Source'!$AD$8:$AO$20,MATCH($A37,'OFPC Source'!$AC$8:$AC$20,0),MATCH(C$7,'OFPC Source'!$AD$7:$AO$7,0))</f>
        <v>53.138811398084428</v>
      </c>
      <c r="D37" s="55">
        <f>D19*INDEX('OFPC Source'!$AD$8:$AO$20,MATCH($A37,'OFPC Source'!$AC$8:$AC$20,0),MATCH(D$7,'OFPC Source'!$AD$7:$AO$7,0))</f>
        <v>32.893207713813986</v>
      </c>
      <c r="E37" s="55">
        <f>E19*INDEX('OFPC Source'!$AD$8:$AO$20,MATCH($A37,'OFPC Source'!$AC$8:$AC$20,0),MATCH(E$7,'OFPC Source'!$AD$7:$AO$7,0))</f>
        <v>34.64115293903027</v>
      </c>
      <c r="F37" s="56">
        <f>F19*INDEX('OFPC Source'!$AD$8:$AO$20,MATCH($A37,'OFPC Source'!$AC$8:$AC$20,0),MATCH(F$7,'OFPC Source'!$AD$7:$AO$7,0))</f>
        <v>31.773677110525956</v>
      </c>
      <c r="G37" s="55">
        <f>G19*INDEX('OFPC Source'!$AD$8:$AO$20,MATCH($A37,'OFPC Source'!$AC$8:$AC$20,0),MATCH(G$7,'OFPC Source'!$AD$7:$AO$7,0))</f>
        <v>36.381865356942235</v>
      </c>
      <c r="H37" s="55">
        <f>H19*INDEX('OFPC Source'!$AD$8:$AO$20,MATCH($A37,'OFPC Source'!$AC$8:$AC$20,0),MATCH(H$7,'OFPC Source'!$AD$7:$AO$7,0))</f>
        <v>48.084029294712536</v>
      </c>
      <c r="I37" s="55">
        <f>I19*INDEX('OFPC Source'!$AD$8:$AO$20,MATCH($A37,'OFPC Source'!$AC$8:$AC$20,0),MATCH(I$7,'OFPC Source'!$AD$7:$AO$7,0))</f>
        <v>47.901409715891063</v>
      </c>
      <c r="J37" s="56">
        <f>J19*INDEX('OFPC Source'!$AD$8:$AO$20,MATCH($A37,'OFPC Source'!$AC$8:$AC$20,0),MATCH(J$7,'OFPC Source'!$AD$7:$AO$7,0))</f>
        <v>41.053313157948608</v>
      </c>
      <c r="K37" s="55">
        <f>K19*INDEX('OFPC Source'!$AD$8:$AO$20,MATCH($A37,'OFPC Source'!$AC$8:$AC$20,0),MATCH(K$7,'OFPC Source'!$AD$7:$AO$7,0))</f>
        <v>38.240468601838195</v>
      </c>
      <c r="L37" s="55">
        <f>L19*INDEX('OFPC Source'!$AD$8:$AO$20,MATCH($A37,'OFPC Source'!$AC$8:$AC$20,0),MATCH(L$7,'OFPC Source'!$AD$7:$AO$7,0))</f>
        <v>39.106734893876897</v>
      </c>
      <c r="M37" s="56">
        <f>M19*INDEX('OFPC Source'!$AD$8:$AO$20,MATCH($A37,'OFPC Source'!$AC$8:$AC$20,0),MATCH(M$7,'OFPC Source'!$AD$7:$AO$7,0))</f>
        <v>42.550818529505719</v>
      </c>
    </row>
    <row r="38" spans="1:21" ht="12.75" customHeight="1" x14ac:dyDescent="0.2">
      <c r="A38" s="53">
        <f t="shared" si="1"/>
        <v>2026</v>
      </c>
      <c r="B38" s="54">
        <f>B20*INDEX('OFPC Source'!$AD$8:$AO$20,MATCH($A38,'OFPC Source'!$AC$8:$AC$20,0),MATCH(B$7,'OFPC Source'!$AD$7:$AO$7,0))</f>
        <v>41.718015297034938</v>
      </c>
      <c r="C38" s="55">
        <f>C20*INDEX('OFPC Source'!$AD$8:$AO$20,MATCH($A38,'OFPC Source'!$AC$8:$AC$20,0),MATCH(C$7,'OFPC Source'!$AD$7:$AO$7,0))</f>
        <v>41.565964193777539</v>
      </c>
      <c r="D38" s="55">
        <f>D20*INDEX('OFPC Source'!$AD$8:$AO$20,MATCH($A38,'OFPC Source'!$AC$8:$AC$20,0),MATCH(D$7,'OFPC Source'!$AD$7:$AO$7,0))</f>
        <v>37.7054456565888</v>
      </c>
      <c r="E38" s="55">
        <f>E20*INDEX('OFPC Source'!$AD$8:$AO$20,MATCH($A38,'OFPC Source'!$AC$8:$AC$20,0),MATCH(E$7,'OFPC Source'!$AD$7:$AO$7,0))</f>
        <v>33.977893788371837</v>
      </c>
      <c r="F38" s="56">
        <f>F20*INDEX('OFPC Source'!$AD$8:$AO$20,MATCH($A38,'OFPC Source'!$AC$8:$AC$20,0),MATCH(F$7,'OFPC Source'!$AD$7:$AO$7,0))</f>
        <v>33.913038026488081</v>
      </c>
      <c r="G38" s="55">
        <f>G20*INDEX('OFPC Source'!$AD$8:$AO$20,MATCH($A38,'OFPC Source'!$AC$8:$AC$20,0),MATCH(G$7,'OFPC Source'!$AD$7:$AO$7,0))</f>
        <v>37.657607272220076</v>
      </c>
      <c r="H38" s="55">
        <f>H20*INDEX('OFPC Source'!$AD$8:$AO$20,MATCH($A38,'OFPC Source'!$AC$8:$AC$20,0),MATCH(H$7,'OFPC Source'!$AD$7:$AO$7,0))</f>
        <v>49.965268156169586</v>
      </c>
      <c r="I38" s="55">
        <f>I20*INDEX('OFPC Source'!$AD$8:$AO$20,MATCH($A38,'OFPC Source'!$AC$8:$AC$20,0),MATCH(I$7,'OFPC Source'!$AD$7:$AO$7,0))</f>
        <v>49.822015394543435</v>
      </c>
      <c r="J38" s="56">
        <f>J20*INDEX('OFPC Source'!$AD$8:$AO$20,MATCH($A38,'OFPC Source'!$AC$8:$AC$20,0),MATCH(J$7,'OFPC Source'!$AD$7:$AO$7,0))</f>
        <v>42.610048308213081</v>
      </c>
      <c r="K38" s="55">
        <f>K20*INDEX('OFPC Source'!$AD$8:$AO$20,MATCH($A38,'OFPC Source'!$AC$8:$AC$20,0),MATCH(K$7,'OFPC Source'!$AD$7:$AO$7,0))</f>
        <v>38.754492884027059</v>
      </c>
      <c r="L38" s="55">
        <f>L20*INDEX('OFPC Source'!$AD$8:$AO$20,MATCH($A38,'OFPC Source'!$AC$8:$AC$20,0),MATCH(L$7,'OFPC Source'!$AD$7:$AO$7,0))</f>
        <v>41.067603996241026</v>
      </c>
      <c r="M38" s="56">
        <f>M20*INDEX('OFPC Source'!$AD$8:$AO$20,MATCH($A38,'OFPC Source'!$AC$8:$AC$20,0),MATCH(M$7,'OFPC Source'!$AD$7:$AO$7,0))</f>
        <v>44.086423569790497</v>
      </c>
    </row>
    <row r="39" spans="1:21" ht="12.75" customHeight="1" x14ac:dyDescent="0.2">
      <c r="A39" s="53">
        <f t="shared" si="1"/>
        <v>2027</v>
      </c>
      <c r="B39" s="54">
        <f>B21*INDEX('OFPC Source'!$AD$8:$AO$20,MATCH($A39,'OFPC Source'!$AC$8:$AC$20,0),MATCH(B$7,'OFPC Source'!$AD$7:$AO$7,0))</f>
        <v>42.863503977406367</v>
      </c>
      <c r="C39" s="55">
        <f>C21*INDEX('OFPC Source'!$AD$8:$AO$20,MATCH($A39,'OFPC Source'!$AC$8:$AC$20,0),MATCH(C$7,'OFPC Source'!$AD$7:$AO$7,0))</f>
        <v>43.855266917286166</v>
      </c>
      <c r="D39" s="55">
        <f>D21*INDEX('OFPC Source'!$AD$8:$AO$20,MATCH($A39,'OFPC Source'!$AC$8:$AC$20,0),MATCH(D$7,'OFPC Source'!$AD$7:$AO$7,0))</f>
        <v>39.893131530969107</v>
      </c>
      <c r="E39" s="55">
        <f>E21*INDEX('OFPC Source'!$AD$8:$AO$20,MATCH($A39,'OFPC Source'!$AC$8:$AC$20,0),MATCH(E$7,'OFPC Source'!$AD$7:$AO$7,0))</f>
        <v>37.065831686545174</v>
      </c>
      <c r="F39" s="56">
        <f>F21*INDEX('OFPC Source'!$AD$8:$AO$20,MATCH($A39,'OFPC Source'!$AC$8:$AC$20,0),MATCH(F$7,'OFPC Source'!$AD$7:$AO$7,0))</f>
        <v>34.688434908861247</v>
      </c>
      <c r="G39" s="55">
        <f>G21*INDEX('OFPC Source'!$AD$8:$AO$20,MATCH($A39,'OFPC Source'!$AC$8:$AC$20,0),MATCH(G$7,'OFPC Source'!$AD$7:$AO$7,0))</f>
        <v>39.21372445340927</v>
      </c>
      <c r="H39" s="55">
        <f>H21*INDEX('OFPC Source'!$AD$8:$AO$20,MATCH($A39,'OFPC Source'!$AC$8:$AC$20,0),MATCH(H$7,'OFPC Source'!$AD$7:$AO$7,0))</f>
        <v>51.482888796937814</v>
      </c>
      <c r="I39" s="55">
        <f>I21*INDEX('OFPC Source'!$AD$8:$AO$20,MATCH($A39,'OFPC Source'!$AC$8:$AC$20,0),MATCH(I$7,'OFPC Source'!$AD$7:$AO$7,0))</f>
        <v>51.992936649908728</v>
      </c>
      <c r="J39" s="56">
        <f>J21*INDEX('OFPC Source'!$AD$8:$AO$20,MATCH($A39,'OFPC Source'!$AC$8:$AC$20,0),MATCH(J$7,'OFPC Source'!$AD$7:$AO$7,0))</f>
        <v>45.063346252598087</v>
      </c>
      <c r="K39" s="55">
        <f>K21*INDEX('OFPC Source'!$AD$8:$AO$20,MATCH($A39,'OFPC Source'!$AC$8:$AC$20,0),MATCH(K$7,'OFPC Source'!$AD$7:$AO$7,0))</f>
        <v>42.56794097475278</v>
      </c>
      <c r="L39" s="55">
        <f>L21*INDEX('OFPC Source'!$AD$8:$AO$20,MATCH($A39,'OFPC Source'!$AC$8:$AC$20,0),MATCH(L$7,'OFPC Source'!$AD$7:$AO$7,0))</f>
        <v>44.591161075267152</v>
      </c>
      <c r="M39" s="56">
        <f>M21*INDEX('OFPC Source'!$AD$8:$AO$20,MATCH($A39,'OFPC Source'!$AC$8:$AC$20,0),MATCH(M$7,'OFPC Source'!$AD$7:$AO$7,0))</f>
        <v>47.969769495955205</v>
      </c>
    </row>
    <row r="40" spans="1:21" ht="12.75" customHeight="1" x14ac:dyDescent="0.2">
      <c r="A40" s="53"/>
      <c r="B40" s="54"/>
      <c r="C40" s="55"/>
      <c r="D40" s="55"/>
      <c r="E40" s="55"/>
      <c r="F40" s="56"/>
      <c r="G40" s="55"/>
      <c r="H40" s="55"/>
      <c r="I40" s="55"/>
      <c r="J40" s="56"/>
      <c r="K40" s="55"/>
      <c r="L40" s="55"/>
      <c r="M40" s="56"/>
    </row>
    <row r="41" spans="1:21" ht="12.75" hidden="1" customHeight="1" x14ac:dyDescent="0.2">
      <c r="A41" s="53"/>
      <c r="B41" s="54"/>
      <c r="C41" s="55"/>
      <c r="D41" s="55"/>
      <c r="E41" s="55"/>
      <c r="F41" s="56"/>
      <c r="G41" s="55"/>
      <c r="H41" s="55"/>
      <c r="I41" s="55"/>
      <c r="J41" s="56"/>
      <c r="K41" s="55"/>
      <c r="L41" s="55"/>
      <c r="M41" s="56"/>
    </row>
    <row r="42" spans="1:21" ht="12.75" hidden="1" customHeight="1" x14ac:dyDescent="0.2">
      <c r="A42" s="53"/>
      <c r="B42" s="54"/>
      <c r="C42" s="55"/>
      <c r="D42" s="55"/>
      <c r="E42" s="55"/>
      <c r="F42" s="56"/>
      <c r="G42" s="55"/>
      <c r="H42" s="55"/>
      <c r="I42" s="55"/>
      <c r="J42" s="56"/>
      <c r="K42" s="55"/>
      <c r="L42" s="55"/>
      <c r="M42" s="56"/>
    </row>
    <row r="43" spans="1:21" ht="12.75" hidden="1" customHeight="1" x14ac:dyDescent="0.2">
      <c r="A43" s="57"/>
      <c r="B43" s="58"/>
      <c r="C43" s="59"/>
      <c r="D43" s="59"/>
      <c r="E43" s="59"/>
      <c r="F43" s="60"/>
      <c r="G43" s="59"/>
      <c r="H43" s="59"/>
      <c r="I43" s="59"/>
      <c r="J43" s="60"/>
      <c r="K43" s="59"/>
      <c r="L43" s="59"/>
      <c r="M43" s="60"/>
    </row>
    <row r="44" spans="1:21" ht="12.75" customHeight="1" x14ac:dyDescent="0.2">
      <c r="A44" s="111"/>
      <c r="B44" s="109"/>
      <c r="C44" s="109"/>
      <c r="D44" s="109"/>
      <c r="E44" s="109"/>
      <c r="F44" s="108"/>
      <c r="G44" s="108"/>
      <c r="H44" s="108"/>
      <c r="I44" s="108"/>
      <c r="J44" s="110"/>
      <c r="K44" s="108"/>
      <c r="L44" s="108"/>
      <c r="M44" s="108"/>
    </row>
    <row r="45" spans="1:21" ht="12.75" customHeight="1" x14ac:dyDescent="0.2">
      <c r="A45" s="12" t="s">
        <v>227</v>
      </c>
      <c r="C45" s="40"/>
      <c r="D45" s="40"/>
      <c r="E45" s="40"/>
      <c r="G45" s="40"/>
      <c r="H45" s="40"/>
      <c r="I45" s="40"/>
      <c r="J45" s="48"/>
      <c r="L45" s="40"/>
      <c r="M45" s="37"/>
    </row>
    <row r="46" spans="1:21" ht="12.75" customHeight="1" x14ac:dyDescent="0.2">
      <c r="A46" s="49">
        <f>'Tables 3 to 5'!$B$13</f>
        <v>2016</v>
      </c>
      <c r="B46" s="50"/>
      <c r="C46" s="51"/>
      <c r="D46" s="51"/>
      <c r="E46" s="51"/>
      <c r="F46" s="52">
        <f>F10*INDEX('OFPC Source'!$AD$26:$AO$38,MATCH($A46,'OFPC Source'!$AC$26:$AC$38,0),MATCH(F$7,'OFPC Source'!$AD$25:$AO$25,0))</f>
        <v>12.780248497333236</v>
      </c>
      <c r="G46" s="51">
        <f>G10*INDEX('OFPC Source'!$AD$26:$AO$38,MATCH($A46,'OFPC Source'!$AC$26:$AC$38,0),MATCH(G$7,'OFPC Source'!$AD$25:$AO$25,0))</f>
        <v>12.67780484035397</v>
      </c>
      <c r="H46" s="51">
        <f>H10*INDEX('OFPC Source'!$AD$26:$AO$38,MATCH($A46,'OFPC Source'!$AC$26:$AC$38,0),MATCH(H$7,'OFPC Source'!$AD$25:$AO$25,0))</f>
        <v>17.73199307380413</v>
      </c>
      <c r="I46" s="51">
        <f>I10*INDEX('OFPC Source'!$AD$26:$AO$38,MATCH($A46,'OFPC Source'!$AC$26:$AC$38,0),MATCH(I$7,'OFPC Source'!$AD$25:$AO$25,0))</f>
        <v>18.579452466515747</v>
      </c>
      <c r="J46" s="52">
        <f>J10*INDEX('OFPC Source'!$AD$26:$AO$38,MATCH($A46,'OFPC Source'!$AC$26:$AC$38,0),MATCH(J$7,'OFPC Source'!$AD$25:$AO$25,0))</f>
        <v>19.700492270825407</v>
      </c>
      <c r="K46" s="50">
        <f>K10*INDEX('OFPC Source'!$AD$26:$AO$38,MATCH($A46,'OFPC Source'!$AC$26:$AC$38,0),MATCH(K$7,'OFPC Source'!$AD$25:$AO$25,0))</f>
        <v>16.073851230047119</v>
      </c>
      <c r="L46" s="51">
        <f>L10*INDEX('OFPC Source'!$AD$26:$AO$38,MATCH($A46,'OFPC Source'!$AC$26:$AC$38,0),MATCH(L$7,'OFPC Source'!$AD$25:$AO$25,0))</f>
        <v>16.928691326711984</v>
      </c>
      <c r="M46" s="52">
        <f>M10*INDEX('OFPC Source'!$AD$26:$AO$38,MATCH($A46,'OFPC Source'!$AC$26:$AC$38,0),MATCH(M$7,'OFPC Source'!$AD$25:$AO$25,0))</f>
        <v>20.197918644499151</v>
      </c>
    </row>
    <row r="47" spans="1:21" ht="12.75" customHeight="1" x14ac:dyDescent="0.2">
      <c r="A47" s="53">
        <f t="shared" ref="A47:A57" si="2">A46+1</f>
        <v>2017</v>
      </c>
      <c r="B47" s="54">
        <f>B11*INDEX('OFPC Source'!$AD$26:$AO$38,MATCH($A47,'OFPC Source'!$AC$26:$AC$38,0),MATCH(B$7,'OFPC Source'!$AD$25:$AO$25,0))</f>
        <v>19.524444101539274</v>
      </c>
      <c r="C47" s="55">
        <f>C11*INDEX('OFPC Source'!$AD$26:$AO$38,MATCH($A47,'OFPC Source'!$AC$26:$AC$38,0),MATCH(C$7,'OFPC Source'!$AD$25:$AO$25,0))</f>
        <v>20.057281386205322</v>
      </c>
      <c r="D47" s="55">
        <f>D11*INDEX('OFPC Source'!$AD$26:$AO$38,MATCH($A47,'OFPC Source'!$AC$26:$AC$38,0),MATCH(D$7,'OFPC Source'!$AD$25:$AO$25,0))</f>
        <v>18.020528617630429</v>
      </c>
      <c r="E47" s="55">
        <f>E11*INDEX('OFPC Source'!$AD$26:$AO$38,MATCH($A47,'OFPC Source'!$AC$26:$AC$38,0),MATCH(E$7,'OFPC Source'!$AD$25:$AO$25,0))</f>
        <v>18.539187738878294</v>
      </c>
      <c r="F47" s="55">
        <f>F11*INDEX('OFPC Source'!$AD$26:$AO$38,MATCH($A47,'OFPC Source'!$AC$26:$AC$38,0),MATCH(F$7,'OFPC Source'!$AD$25:$AO$25,0))</f>
        <v>14.87059221849581</v>
      </c>
      <c r="G47" s="54">
        <f>G11*INDEX('OFPC Source'!$AD$26:$AO$38,MATCH($A47,'OFPC Source'!$AC$26:$AC$38,0),MATCH(G$7,'OFPC Source'!$AD$25:$AO$25,0))</f>
        <v>14.847598025233378</v>
      </c>
      <c r="H47" s="55">
        <f>H11*INDEX('OFPC Source'!$AD$26:$AO$38,MATCH($A47,'OFPC Source'!$AC$26:$AC$38,0),MATCH(H$7,'OFPC Source'!$AD$25:$AO$25,0))</f>
        <v>20.130135757023449</v>
      </c>
      <c r="I47" s="55">
        <f>I11*INDEX('OFPC Source'!$AD$26:$AO$38,MATCH($A47,'OFPC Source'!$AC$26:$AC$38,0),MATCH(I$7,'OFPC Source'!$AD$25:$AO$25,0))</f>
        <v>19.6223053056023</v>
      </c>
      <c r="J47" s="56">
        <f>J11*INDEX('OFPC Source'!$AD$26:$AO$38,MATCH($A47,'OFPC Source'!$AC$26:$AC$38,0),MATCH(J$7,'OFPC Source'!$AD$25:$AO$25,0))</f>
        <v>19.924946776929467</v>
      </c>
      <c r="K47" s="54">
        <f>K11*INDEX('OFPC Source'!$AD$26:$AO$38,MATCH($A47,'OFPC Source'!$AC$26:$AC$38,0),MATCH(K$7,'OFPC Source'!$AD$25:$AO$25,0))</f>
        <v>16.486402817317494</v>
      </c>
      <c r="L47" s="55">
        <f>L11*INDEX('OFPC Source'!$AD$26:$AO$38,MATCH($A47,'OFPC Source'!$AC$26:$AC$38,0),MATCH(L$7,'OFPC Source'!$AD$25:$AO$25,0))</f>
        <v>20.011263852777358</v>
      </c>
      <c r="M47" s="56">
        <f>M11*INDEX('OFPC Source'!$AD$26:$AO$38,MATCH($A47,'OFPC Source'!$AC$26:$AC$38,0),MATCH(M$7,'OFPC Source'!$AD$25:$AO$25,0))</f>
        <v>23.317399883800352</v>
      </c>
    </row>
    <row r="48" spans="1:21" ht="12.75" customHeight="1" x14ac:dyDescent="0.2">
      <c r="A48" s="53">
        <f t="shared" si="2"/>
        <v>2018</v>
      </c>
      <c r="B48" s="54">
        <f>B12*INDEX('OFPC Source'!$AD$26:$AO$38,MATCH($A48,'OFPC Source'!$AC$26:$AC$38,0),MATCH(B$7,'OFPC Source'!$AD$25:$AO$25,0))</f>
        <v>24.013171316229077</v>
      </c>
      <c r="C48" s="55">
        <f>C12*INDEX('OFPC Source'!$AD$26:$AO$38,MATCH($A48,'OFPC Source'!$AC$26:$AC$38,0),MATCH(C$7,'OFPC Source'!$AD$25:$AO$25,0))</f>
        <v>22.476854775390514</v>
      </c>
      <c r="D48" s="55">
        <f>D12*INDEX('OFPC Source'!$AD$26:$AO$38,MATCH($A48,'OFPC Source'!$AC$26:$AC$38,0),MATCH(D$7,'OFPC Source'!$AD$25:$AO$25,0))</f>
        <v>21.053943035131091</v>
      </c>
      <c r="E48" s="55">
        <f>E12*INDEX('OFPC Source'!$AD$26:$AO$38,MATCH($A48,'OFPC Source'!$AC$26:$AC$38,0),MATCH(E$7,'OFPC Source'!$AD$25:$AO$25,0))</f>
        <v>18.800792442657379</v>
      </c>
      <c r="F48" s="55">
        <f>F12*INDEX('OFPC Source'!$AD$26:$AO$38,MATCH($A48,'OFPC Source'!$AC$26:$AC$38,0),MATCH(F$7,'OFPC Source'!$AD$25:$AO$25,0))</f>
        <v>15.901241855035279</v>
      </c>
      <c r="G48" s="54">
        <f>G12*INDEX('OFPC Source'!$AD$26:$AO$38,MATCH($A48,'OFPC Source'!$AC$26:$AC$38,0),MATCH(G$7,'OFPC Source'!$AD$25:$AO$25,0))</f>
        <v>15.328556080001118</v>
      </c>
      <c r="H48" s="55">
        <f>H12*INDEX('OFPC Source'!$AD$26:$AO$38,MATCH($A48,'OFPC Source'!$AC$26:$AC$38,0),MATCH(H$7,'OFPC Source'!$AD$25:$AO$25,0))</f>
        <v>21.367045302055473</v>
      </c>
      <c r="I48" s="55">
        <f>I12*INDEX('OFPC Source'!$AD$26:$AO$38,MATCH($A48,'OFPC Source'!$AC$26:$AC$38,0),MATCH(I$7,'OFPC Source'!$AD$25:$AO$25,0))</f>
        <v>21.770399307302252</v>
      </c>
      <c r="J48" s="56">
        <f>J12*INDEX('OFPC Source'!$AD$26:$AO$38,MATCH($A48,'OFPC Source'!$AC$26:$AC$38,0),MATCH(J$7,'OFPC Source'!$AD$25:$AO$25,0))</f>
        <v>19.946617797194023</v>
      </c>
      <c r="K48" s="54">
        <f>K12*INDEX('OFPC Source'!$AD$26:$AO$38,MATCH($A48,'OFPC Source'!$AC$26:$AC$38,0),MATCH(K$7,'OFPC Source'!$AD$25:$AO$25,0))</f>
        <v>19.283468795859072</v>
      </c>
      <c r="L48" s="55">
        <f>L12*INDEX('OFPC Source'!$AD$26:$AO$38,MATCH($A48,'OFPC Source'!$AC$26:$AC$38,0),MATCH(L$7,'OFPC Source'!$AD$25:$AO$25,0))</f>
        <v>23.555120356974633</v>
      </c>
      <c r="M48" s="56">
        <f>M12*INDEX('OFPC Source'!$AD$26:$AO$38,MATCH($A48,'OFPC Source'!$AC$26:$AC$38,0),MATCH(M$7,'OFPC Source'!$AD$25:$AO$25,0))</f>
        <v>25.670122682208266</v>
      </c>
      <c r="N48" s="133"/>
      <c r="O48" s="133"/>
      <c r="P48" s="133"/>
      <c r="Q48" s="133"/>
      <c r="R48" s="133"/>
      <c r="S48" s="133"/>
      <c r="T48" s="133"/>
      <c r="U48" s="133"/>
    </row>
    <row r="49" spans="1:25" ht="12.75" customHeight="1" x14ac:dyDescent="0.2">
      <c r="A49" s="53">
        <f t="shared" si="2"/>
        <v>2019</v>
      </c>
      <c r="B49" s="54">
        <f>B13*INDEX('OFPC Source'!$AD$26:$AO$38,MATCH($A49,'OFPC Source'!$AC$26:$AC$38,0),MATCH(B$7,'OFPC Source'!$AD$25:$AO$25,0))</f>
        <v>24.866737557678313</v>
      </c>
      <c r="C49" s="55">
        <f>C13*INDEX('OFPC Source'!$AD$26:$AO$38,MATCH($A49,'OFPC Source'!$AC$26:$AC$38,0),MATCH(C$7,'OFPC Source'!$AD$25:$AO$25,0))</f>
        <v>23.718283910390131</v>
      </c>
      <c r="D49" s="55">
        <f>D13*INDEX('OFPC Source'!$AD$26:$AO$38,MATCH($A49,'OFPC Source'!$AC$26:$AC$38,0),MATCH(D$7,'OFPC Source'!$AD$25:$AO$25,0))</f>
        <v>21.949774242688132</v>
      </c>
      <c r="E49" s="55">
        <f>E13*INDEX('OFPC Source'!$AD$26:$AO$38,MATCH($A49,'OFPC Source'!$AC$26:$AC$38,0),MATCH(E$7,'OFPC Source'!$AD$25:$AO$25,0))</f>
        <v>16.397867887609404</v>
      </c>
      <c r="F49" s="55">
        <f>F13*INDEX('OFPC Source'!$AD$26:$AO$38,MATCH($A49,'OFPC Source'!$AC$26:$AC$38,0),MATCH(F$7,'OFPC Source'!$AD$25:$AO$25,0))</f>
        <v>15.821286720331051</v>
      </c>
      <c r="G49" s="54">
        <f>G13*INDEX('OFPC Source'!$AD$26:$AO$38,MATCH($A49,'OFPC Source'!$AC$26:$AC$38,0),MATCH(G$7,'OFPC Source'!$AD$25:$AO$25,0))</f>
        <v>15.411574265549682</v>
      </c>
      <c r="H49" s="55">
        <f>H13*INDEX('OFPC Source'!$AD$26:$AO$38,MATCH($A49,'OFPC Source'!$AC$26:$AC$38,0),MATCH(H$7,'OFPC Source'!$AD$25:$AO$25,0))</f>
        <v>22.476811222012909</v>
      </c>
      <c r="I49" s="55">
        <f>I13*INDEX('OFPC Source'!$AD$26:$AO$38,MATCH($A49,'OFPC Source'!$AC$26:$AC$38,0),MATCH(I$7,'OFPC Source'!$AD$25:$AO$25,0))</f>
        <v>24.284719879627929</v>
      </c>
      <c r="J49" s="56">
        <f>J13*INDEX('OFPC Source'!$AD$26:$AO$38,MATCH($A49,'OFPC Source'!$AC$26:$AC$38,0),MATCH(J$7,'OFPC Source'!$AD$25:$AO$25,0))</f>
        <v>24.856901734507762</v>
      </c>
      <c r="K49" s="54">
        <f>K13*INDEX('OFPC Source'!$AD$26:$AO$38,MATCH($A49,'OFPC Source'!$AC$26:$AC$38,0),MATCH(K$7,'OFPC Source'!$AD$25:$AO$25,0))</f>
        <v>20.626639104531584</v>
      </c>
      <c r="L49" s="55">
        <f>L13*INDEX('OFPC Source'!$AD$26:$AO$38,MATCH($A49,'OFPC Source'!$AC$26:$AC$38,0),MATCH(L$7,'OFPC Source'!$AD$25:$AO$25,0))</f>
        <v>24.426338012171104</v>
      </c>
      <c r="M49" s="56">
        <f>M13*INDEX('OFPC Source'!$AD$26:$AO$38,MATCH($A49,'OFPC Source'!$AC$26:$AC$38,0),MATCH(M$7,'OFPC Source'!$AD$25:$AO$25,0))</f>
        <v>26.592728223834598</v>
      </c>
      <c r="N49" s="133"/>
      <c r="O49" s="133"/>
      <c r="P49" s="133"/>
      <c r="Q49" s="133"/>
      <c r="R49" s="133"/>
      <c r="S49" s="133"/>
      <c r="T49" s="133"/>
      <c r="U49" s="133"/>
      <c r="V49" s="133"/>
      <c r="W49" s="133"/>
      <c r="X49" s="133"/>
      <c r="Y49" s="133"/>
    </row>
    <row r="50" spans="1:25" ht="12.75" customHeight="1" x14ac:dyDescent="0.2">
      <c r="A50" s="53">
        <f t="shared" si="2"/>
        <v>2020</v>
      </c>
      <c r="B50" s="54">
        <f>B14*INDEX('OFPC Source'!$AD$26:$AO$38,MATCH($A50,'OFPC Source'!$AC$26:$AC$38,0),MATCH(B$7,'OFPC Source'!$AD$25:$AO$25,0))</f>
        <v>26.083647017740255</v>
      </c>
      <c r="C50" s="55">
        <f>C14*INDEX('OFPC Source'!$AD$26:$AO$38,MATCH($A50,'OFPC Source'!$AC$26:$AC$38,0),MATCH(C$7,'OFPC Source'!$AD$25:$AO$25,0))</f>
        <v>24.417300276396055</v>
      </c>
      <c r="D50" s="55">
        <f>D14*INDEX('OFPC Source'!$AD$26:$AO$38,MATCH($A50,'OFPC Source'!$AC$26:$AC$38,0),MATCH(D$7,'OFPC Source'!$AD$25:$AO$25,0))</f>
        <v>28.004830109279688</v>
      </c>
      <c r="E50" s="55">
        <f>E14*INDEX('OFPC Source'!$AD$26:$AO$38,MATCH($A50,'OFPC Source'!$AC$26:$AC$38,0),MATCH(E$7,'OFPC Source'!$AD$25:$AO$25,0))</f>
        <v>19.293272661908951</v>
      </c>
      <c r="F50" s="55">
        <f>F14*INDEX('OFPC Source'!$AD$26:$AO$38,MATCH($A50,'OFPC Source'!$AC$26:$AC$38,0),MATCH(F$7,'OFPC Source'!$AD$25:$AO$25,0))</f>
        <v>17.135352305552509</v>
      </c>
      <c r="G50" s="54">
        <f>G14*INDEX('OFPC Source'!$AD$26:$AO$38,MATCH($A50,'OFPC Source'!$AC$26:$AC$38,0),MATCH(G$7,'OFPC Source'!$AD$25:$AO$25,0))</f>
        <v>16.682446926704657</v>
      </c>
      <c r="H50" s="55">
        <f>H14*INDEX('OFPC Source'!$AD$26:$AO$38,MATCH($A50,'OFPC Source'!$AC$26:$AC$38,0),MATCH(H$7,'OFPC Source'!$AD$25:$AO$25,0))</f>
        <v>23.385731990208093</v>
      </c>
      <c r="I50" s="55">
        <f>I14*INDEX('OFPC Source'!$AD$26:$AO$38,MATCH($A50,'OFPC Source'!$AC$26:$AC$38,0),MATCH(I$7,'OFPC Source'!$AD$25:$AO$25,0))</f>
        <v>23.622424516230716</v>
      </c>
      <c r="J50" s="56">
        <f>J14*INDEX('OFPC Source'!$AD$26:$AO$38,MATCH($A50,'OFPC Source'!$AC$26:$AC$38,0),MATCH(J$7,'OFPC Source'!$AD$25:$AO$25,0))</f>
        <v>23.149560975151797</v>
      </c>
      <c r="K50" s="54">
        <f>K14*INDEX('OFPC Source'!$AD$26:$AO$38,MATCH($A50,'OFPC Source'!$AC$26:$AC$38,0),MATCH(K$7,'OFPC Source'!$AD$25:$AO$25,0))</f>
        <v>22.95164692037115</v>
      </c>
      <c r="L50" s="55">
        <f>L14*INDEX('OFPC Source'!$AD$26:$AO$38,MATCH($A50,'OFPC Source'!$AC$26:$AC$38,0),MATCH(L$7,'OFPC Source'!$AD$25:$AO$25,0))</f>
        <v>25.969176827601785</v>
      </c>
      <c r="M50" s="56">
        <f>M14*INDEX('OFPC Source'!$AD$26:$AO$38,MATCH($A50,'OFPC Source'!$AC$26:$AC$38,0),MATCH(M$7,'OFPC Source'!$AD$25:$AO$25,0))</f>
        <v>27.359294450818719</v>
      </c>
      <c r="N50" s="133"/>
      <c r="O50" s="133"/>
      <c r="P50" s="133"/>
      <c r="Q50" s="133"/>
      <c r="R50" s="133"/>
      <c r="S50" s="133"/>
      <c r="T50" s="133"/>
      <c r="U50" s="133"/>
    </row>
    <row r="51" spans="1:25" ht="12.75" customHeight="1" x14ac:dyDescent="0.2">
      <c r="A51" s="53">
        <f t="shared" si="2"/>
        <v>2021</v>
      </c>
      <c r="B51" s="54">
        <f>B15*INDEX('OFPC Source'!$AD$26:$AO$38,MATCH($A51,'OFPC Source'!$AC$26:$AC$38,0),MATCH(B$7,'OFPC Source'!$AD$25:$AO$25,0))</f>
        <v>27.094642697586909</v>
      </c>
      <c r="C51" s="55">
        <f>C15*INDEX('OFPC Source'!$AD$26:$AO$38,MATCH($A51,'OFPC Source'!$AC$26:$AC$38,0),MATCH(C$7,'OFPC Source'!$AD$25:$AO$25,0))</f>
        <v>25.977524760751873</v>
      </c>
      <c r="D51" s="55">
        <f>D15*INDEX('OFPC Source'!$AD$26:$AO$38,MATCH($A51,'OFPC Source'!$AC$26:$AC$38,0),MATCH(D$7,'OFPC Source'!$AD$25:$AO$25,0))</f>
        <v>24.393549808016672</v>
      </c>
      <c r="E51" s="55">
        <f>E15*INDEX('OFPC Source'!$AD$26:$AO$38,MATCH($A51,'OFPC Source'!$AC$26:$AC$38,0),MATCH(E$7,'OFPC Source'!$AD$25:$AO$25,0))</f>
        <v>22.434276720494029</v>
      </c>
      <c r="F51" s="55">
        <f>F15*INDEX('OFPC Source'!$AD$26:$AO$38,MATCH($A51,'OFPC Source'!$AC$26:$AC$38,0),MATCH(F$7,'OFPC Source'!$AD$25:$AO$25,0))</f>
        <v>19.153890276100871</v>
      </c>
      <c r="G51" s="54">
        <f>G15*INDEX('OFPC Source'!$AD$26:$AO$38,MATCH($A51,'OFPC Source'!$AC$26:$AC$38,0),MATCH(G$7,'OFPC Source'!$AD$25:$AO$25,0))</f>
        <v>18.111087728801991</v>
      </c>
      <c r="H51" s="55">
        <f>H15*INDEX('OFPC Source'!$AD$26:$AO$38,MATCH($A51,'OFPC Source'!$AC$26:$AC$38,0),MATCH(H$7,'OFPC Source'!$AD$25:$AO$25,0))</f>
        <v>24.975513843441778</v>
      </c>
      <c r="I51" s="55">
        <f>I15*INDEX('OFPC Source'!$AD$26:$AO$38,MATCH($A51,'OFPC Source'!$AC$26:$AC$38,0),MATCH(I$7,'OFPC Source'!$AD$25:$AO$25,0))</f>
        <v>27.068933940624145</v>
      </c>
      <c r="J51" s="56">
        <f>J15*INDEX('OFPC Source'!$AD$26:$AO$38,MATCH($A51,'OFPC Source'!$AC$26:$AC$38,0),MATCH(J$7,'OFPC Source'!$AD$25:$AO$25,0))</f>
        <v>27.966619487450714</v>
      </c>
      <c r="K51" s="54">
        <f>K15*INDEX('OFPC Source'!$AD$26:$AO$38,MATCH($A51,'OFPC Source'!$AC$26:$AC$38,0),MATCH(K$7,'OFPC Source'!$AD$25:$AO$25,0))</f>
        <v>24.070646875648727</v>
      </c>
      <c r="L51" s="55">
        <f>L15*INDEX('OFPC Source'!$AD$26:$AO$38,MATCH($A51,'OFPC Source'!$AC$26:$AC$38,0),MATCH(L$7,'OFPC Source'!$AD$25:$AO$25,0))</f>
        <v>27.316055773618668</v>
      </c>
      <c r="M51" s="56">
        <f>M15*INDEX('OFPC Source'!$AD$26:$AO$38,MATCH($A51,'OFPC Source'!$AC$26:$AC$38,0),MATCH(M$7,'OFPC Source'!$AD$25:$AO$25,0))</f>
        <v>29.099239409531464</v>
      </c>
      <c r="N51" s="133"/>
      <c r="O51" s="133"/>
      <c r="P51" s="133"/>
      <c r="Q51" s="133"/>
      <c r="R51" s="133"/>
      <c r="S51" s="133"/>
      <c r="T51" s="133"/>
      <c r="U51" s="133"/>
    </row>
    <row r="52" spans="1:25" ht="12.75" customHeight="1" x14ac:dyDescent="0.2">
      <c r="A52" s="53">
        <f t="shared" si="2"/>
        <v>2022</v>
      </c>
      <c r="B52" s="54">
        <f>B16*INDEX('OFPC Source'!$AD$26:$AO$38,MATCH($A52,'OFPC Source'!$AC$26:$AC$38,0),MATCH(B$7,'OFPC Source'!$AD$25:$AO$25,0))</f>
        <v>29.106422961161464</v>
      </c>
      <c r="C52" s="55">
        <f>C16*INDEX('OFPC Source'!$AD$26:$AO$38,MATCH($A52,'OFPC Source'!$AC$26:$AC$38,0),MATCH(C$7,'OFPC Source'!$AD$25:$AO$25,0))</f>
        <v>27.993901782870637</v>
      </c>
      <c r="D52" s="55">
        <f>D16*INDEX('OFPC Source'!$AD$26:$AO$38,MATCH($A52,'OFPC Source'!$AC$26:$AC$38,0),MATCH(D$7,'OFPC Source'!$AD$25:$AO$25,0))</f>
        <v>26.450298648545793</v>
      </c>
      <c r="E52" s="55">
        <f>E16*INDEX('OFPC Source'!$AD$26:$AO$38,MATCH($A52,'OFPC Source'!$AC$26:$AC$38,0),MATCH(E$7,'OFPC Source'!$AD$25:$AO$25,0))</f>
        <v>22.916748589992082</v>
      </c>
      <c r="F52" s="55">
        <f>F16*INDEX('OFPC Source'!$AD$26:$AO$38,MATCH($A52,'OFPC Source'!$AC$26:$AC$38,0),MATCH(F$7,'OFPC Source'!$AD$25:$AO$25,0))</f>
        <v>22.433073768860787</v>
      </c>
      <c r="G52" s="54">
        <f>G16*INDEX('OFPC Source'!$AD$26:$AO$38,MATCH($A52,'OFPC Source'!$AC$26:$AC$38,0),MATCH(G$7,'OFPC Source'!$AD$25:$AO$25,0))</f>
        <v>23.019576602584234</v>
      </c>
      <c r="H52" s="55">
        <f>H16*INDEX('OFPC Source'!$AD$26:$AO$38,MATCH($A52,'OFPC Source'!$AC$26:$AC$38,0),MATCH(H$7,'OFPC Source'!$AD$25:$AO$25,0))</f>
        <v>29.040891010178456</v>
      </c>
      <c r="I52" s="55">
        <f>I16*INDEX('OFPC Source'!$AD$26:$AO$38,MATCH($A52,'OFPC Source'!$AC$26:$AC$38,0),MATCH(I$7,'OFPC Source'!$AD$25:$AO$25,0))</f>
        <v>30.284089548307499</v>
      </c>
      <c r="J52" s="56">
        <f>J16*INDEX('OFPC Source'!$AD$26:$AO$38,MATCH($A52,'OFPC Source'!$AC$26:$AC$38,0),MATCH(J$7,'OFPC Source'!$AD$25:$AO$25,0))</f>
        <v>31.63529325452512</v>
      </c>
      <c r="K52" s="54">
        <f>K16*INDEX('OFPC Source'!$AD$26:$AO$38,MATCH($A52,'OFPC Source'!$AC$26:$AC$38,0),MATCH(K$7,'OFPC Source'!$AD$25:$AO$25,0))</f>
        <v>26.836268189599693</v>
      </c>
      <c r="L52" s="55">
        <f>L16*INDEX('OFPC Source'!$AD$26:$AO$38,MATCH($A52,'OFPC Source'!$AC$26:$AC$38,0),MATCH(L$7,'OFPC Source'!$AD$25:$AO$25,0))</f>
        <v>27.789572226711218</v>
      </c>
      <c r="M52" s="56">
        <f>M16*INDEX('OFPC Source'!$AD$26:$AO$38,MATCH($A52,'OFPC Source'!$AC$26:$AC$38,0),MATCH(M$7,'OFPC Source'!$AD$25:$AO$25,0))</f>
        <v>29.69128425375721</v>
      </c>
      <c r="N52" s="133"/>
      <c r="O52" s="133"/>
      <c r="P52" s="133"/>
      <c r="Q52" s="133"/>
      <c r="R52" s="133"/>
      <c r="S52" s="133"/>
      <c r="T52" s="133"/>
      <c r="U52" s="133"/>
    </row>
    <row r="53" spans="1:25" ht="12.75" customHeight="1" x14ac:dyDescent="0.2">
      <c r="A53" s="53">
        <f t="shared" si="2"/>
        <v>2023</v>
      </c>
      <c r="B53" s="54">
        <f>B17*INDEX('OFPC Source'!$AD$26:$AO$38,MATCH($A53,'OFPC Source'!$AC$26:$AC$38,0),MATCH(B$7,'OFPC Source'!$AD$25:$AO$25,0))</f>
        <v>31.433175686507958</v>
      </c>
      <c r="C53" s="55">
        <f>C17*INDEX('OFPC Source'!$AD$26:$AO$38,MATCH($A53,'OFPC Source'!$AC$26:$AC$38,0),MATCH(C$7,'OFPC Source'!$AD$25:$AO$25,0))</f>
        <v>23.471833225953574</v>
      </c>
      <c r="D53" s="55">
        <f>D17*INDEX('OFPC Source'!$AD$26:$AO$38,MATCH($A53,'OFPC Source'!$AC$26:$AC$38,0),MATCH(D$7,'OFPC Source'!$AD$25:$AO$25,0))</f>
        <v>29.019336863899319</v>
      </c>
      <c r="E53" s="55">
        <f>E17*INDEX('OFPC Source'!$AD$26:$AO$38,MATCH($A53,'OFPC Source'!$AC$26:$AC$38,0),MATCH(E$7,'OFPC Source'!$AD$25:$AO$25,0))</f>
        <v>25.407369191680296</v>
      </c>
      <c r="F53" s="55">
        <f>F17*INDEX('OFPC Source'!$AD$26:$AO$38,MATCH($A53,'OFPC Source'!$AC$26:$AC$38,0),MATCH(F$7,'OFPC Source'!$AD$25:$AO$25,0))</f>
        <v>25.031972919735267</v>
      </c>
      <c r="G53" s="54">
        <f>G17*INDEX('OFPC Source'!$AD$26:$AO$38,MATCH($A53,'OFPC Source'!$AC$26:$AC$38,0),MATCH(G$7,'OFPC Source'!$AD$25:$AO$25,0))</f>
        <v>26.241900563504561</v>
      </c>
      <c r="H53" s="55">
        <f>H17*INDEX('OFPC Source'!$AD$26:$AO$38,MATCH($A53,'OFPC Source'!$AC$26:$AC$38,0),MATCH(H$7,'OFPC Source'!$AD$25:$AO$25,0))</f>
        <v>33.628838961541661</v>
      </c>
      <c r="I53" s="55">
        <f>I17*INDEX('OFPC Source'!$AD$26:$AO$38,MATCH($A53,'OFPC Source'!$AC$26:$AC$38,0),MATCH(I$7,'OFPC Source'!$AD$25:$AO$25,0))</f>
        <v>33.362494742484081</v>
      </c>
      <c r="J53" s="56">
        <f>J17*INDEX('OFPC Source'!$AD$26:$AO$38,MATCH($A53,'OFPC Source'!$AC$26:$AC$38,0),MATCH(J$7,'OFPC Source'!$AD$25:$AO$25,0))</f>
        <v>34.544156525712218</v>
      </c>
      <c r="K53" s="54">
        <f>K17*INDEX('OFPC Source'!$AD$26:$AO$38,MATCH($A53,'OFPC Source'!$AC$26:$AC$38,0),MATCH(K$7,'OFPC Source'!$AD$25:$AO$25,0))</f>
        <v>28.801888247376162</v>
      </c>
      <c r="L53" s="55">
        <f>L17*INDEX('OFPC Source'!$AD$26:$AO$38,MATCH($A53,'OFPC Source'!$AC$26:$AC$38,0),MATCH(L$7,'OFPC Source'!$AD$25:$AO$25,0))</f>
        <v>30.156016406983213</v>
      </c>
      <c r="M53" s="56">
        <f>M17*INDEX('OFPC Source'!$AD$26:$AO$38,MATCH($A53,'OFPC Source'!$AC$26:$AC$38,0),MATCH(M$7,'OFPC Source'!$AD$25:$AO$25,0))</f>
        <v>33.126860777060045</v>
      </c>
      <c r="N53" s="133"/>
      <c r="O53" s="133"/>
      <c r="P53" s="133"/>
      <c r="Q53" s="133"/>
      <c r="R53" s="133"/>
      <c r="S53" s="133"/>
      <c r="T53" s="133"/>
      <c r="U53" s="133"/>
    </row>
    <row r="54" spans="1:25" ht="12.75" customHeight="1" x14ac:dyDescent="0.2">
      <c r="A54" s="53">
        <f t="shared" si="2"/>
        <v>2024</v>
      </c>
      <c r="B54" s="54">
        <f>B18*INDEX('OFPC Source'!$AD$26:$AO$38,MATCH($A54,'OFPC Source'!$AC$26:$AC$38,0),MATCH(B$7,'OFPC Source'!$AD$25:$AO$25,0))</f>
        <v>34.225882562395924</v>
      </c>
      <c r="C54" s="55">
        <f>C18*INDEX('OFPC Source'!$AD$26:$AO$38,MATCH($A54,'OFPC Source'!$AC$26:$AC$38,0),MATCH(C$7,'OFPC Source'!$AD$25:$AO$25,0))</f>
        <v>32.614420938582327</v>
      </c>
      <c r="D54" s="55">
        <f>D18*INDEX('OFPC Source'!$AD$26:$AO$38,MATCH($A54,'OFPC Source'!$AC$26:$AC$38,0),MATCH(D$7,'OFPC Source'!$AD$25:$AO$25,0))</f>
        <v>30.630482149449186</v>
      </c>
      <c r="E54" s="55">
        <f>E18*INDEX('OFPC Source'!$AD$26:$AO$38,MATCH($A54,'OFPC Source'!$AC$26:$AC$38,0),MATCH(E$7,'OFPC Source'!$AD$25:$AO$25,0))</f>
        <v>28.183590395278276</v>
      </c>
      <c r="F54" s="55">
        <f>F18*INDEX('OFPC Source'!$AD$26:$AO$38,MATCH($A54,'OFPC Source'!$AC$26:$AC$38,0),MATCH(F$7,'OFPC Source'!$AD$25:$AO$25,0))</f>
        <v>26.999754282868455</v>
      </c>
      <c r="G54" s="54">
        <f>G18*INDEX('OFPC Source'!$AD$26:$AO$38,MATCH($A54,'OFPC Source'!$AC$26:$AC$38,0),MATCH(G$7,'OFPC Source'!$AD$25:$AO$25,0))</f>
        <v>29.162850708902372</v>
      </c>
      <c r="H54" s="55">
        <f>H18*INDEX('OFPC Source'!$AD$26:$AO$38,MATCH($A54,'OFPC Source'!$AC$26:$AC$38,0),MATCH(H$7,'OFPC Source'!$AD$25:$AO$25,0))</f>
        <v>36.656184782257526</v>
      </c>
      <c r="I54" s="55">
        <f>I18*INDEX('OFPC Source'!$AD$26:$AO$38,MATCH($A54,'OFPC Source'!$AC$26:$AC$38,0),MATCH(I$7,'OFPC Source'!$AD$25:$AO$25,0))</f>
        <v>36.959400852909639</v>
      </c>
      <c r="J54" s="56">
        <f>J18*INDEX('OFPC Source'!$AD$26:$AO$38,MATCH($A54,'OFPC Source'!$AC$26:$AC$38,0),MATCH(J$7,'OFPC Source'!$AD$25:$AO$25,0))</f>
        <v>35.593873280163791</v>
      </c>
      <c r="K54" s="54">
        <f>K18*INDEX('OFPC Source'!$AD$26:$AO$38,MATCH($A54,'OFPC Source'!$AC$26:$AC$38,0),MATCH(K$7,'OFPC Source'!$AD$25:$AO$25,0))</f>
        <v>32.099729265865548</v>
      </c>
      <c r="L54" s="55">
        <f>L18*INDEX('OFPC Source'!$AD$26:$AO$38,MATCH($A54,'OFPC Source'!$AC$26:$AC$38,0),MATCH(L$7,'OFPC Source'!$AD$25:$AO$25,0))</f>
        <v>35.004984179896958</v>
      </c>
      <c r="M54" s="56">
        <f>M18*INDEX('OFPC Source'!$AD$26:$AO$38,MATCH($A54,'OFPC Source'!$AC$26:$AC$38,0),MATCH(M$7,'OFPC Source'!$AD$25:$AO$25,0))</f>
        <v>39.076979286842594</v>
      </c>
      <c r="N54" s="133"/>
      <c r="O54" s="133"/>
      <c r="P54" s="133"/>
      <c r="Q54" s="133"/>
      <c r="R54" s="133"/>
      <c r="S54" s="133"/>
      <c r="T54" s="133"/>
      <c r="U54" s="133"/>
    </row>
    <row r="55" spans="1:25" ht="12.75" customHeight="1" x14ac:dyDescent="0.2">
      <c r="A55" s="53">
        <f t="shared" si="2"/>
        <v>2025</v>
      </c>
      <c r="B55" s="54">
        <f>B19*INDEX('OFPC Source'!$AD$26:$AO$38,MATCH($A55,'OFPC Source'!$AC$26:$AC$38,0),MATCH(B$7,'OFPC Source'!$AD$25:$AO$25,0))</f>
        <v>36.004887892692622</v>
      </c>
      <c r="C55" s="55">
        <f>C19*INDEX('OFPC Source'!$AD$26:$AO$38,MATCH($A55,'OFPC Source'!$AC$26:$AC$38,0),MATCH(C$7,'OFPC Source'!$AD$25:$AO$25,0))</f>
        <v>47.798134603656223</v>
      </c>
      <c r="D55" s="55">
        <f>D19*INDEX('OFPC Source'!$AD$26:$AO$38,MATCH($A55,'OFPC Source'!$AC$26:$AC$38,0),MATCH(D$7,'OFPC Source'!$AD$25:$AO$25,0))</f>
        <v>30.192571265115852</v>
      </c>
      <c r="E55" s="55">
        <f>E19*INDEX('OFPC Source'!$AD$26:$AO$38,MATCH($A55,'OFPC Source'!$AC$26:$AC$38,0),MATCH(E$7,'OFPC Source'!$AD$25:$AO$25,0))</f>
        <v>31.814641552435624</v>
      </c>
      <c r="F55" s="55">
        <f>F19*INDEX('OFPC Source'!$AD$26:$AO$38,MATCH($A55,'OFPC Source'!$AC$26:$AC$38,0),MATCH(F$7,'OFPC Source'!$AD$25:$AO$25,0))</f>
        <v>29.046565125095633</v>
      </c>
      <c r="G55" s="54">
        <f>G19*INDEX('OFPC Source'!$AD$26:$AO$38,MATCH($A55,'OFPC Source'!$AC$26:$AC$38,0),MATCH(G$7,'OFPC Source'!$AD$25:$AO$25,0))</f>
        <v>31.307072007491296</v>
      </c>
      <c r="H55" s="55">
        <f>H19*INDEX('OFPC Source'!$AD$26:$AO$38,MATCH($A55,'OFPC Source'!$AC$26:$AC$38,0),MATCH(H$7,'OFPC Source'!$AD$25:$AO$25,0))</f>
        <v>39.472588309748957</v>
      </c>
      <c r="I55" s="55">
        <f>I19*INDEX('OFPC Source'!$AD$26:$AO$38,MATCH($A55,'OFPC Source'!$AC$26:$AC$38,0),MATCH(I$7,'OFPC Source'!$AD$25:$AO$25,0))</f>
        <v>39.147389775209447</v>
      </c>
      <c r="J55" s="56">
        <f>J19*INDEX('OFPC Source'!$AD$26:$AO$38,MATCH($A55,'OFPC Source'!$AC$26:$AC$38,0),MATCH(J$7,'OFPC Source'!$AD$25:$AO$25,0))</f>
        <v>34.331313997336046</v>
      </c>
      <c r="K55" s="54">
        <f>K19*INDEX('OFPC Source'!$AD$26:$AO$38,MATCH($A55,'OFPC Source'!$AC$26:$AC$38,0),MATCH(K$7,'OFPC Source'!$AD$25:$AO$25,0))</f>
        <v>33.226200941161238</v>
      </c>
      <c r="L55" s="55">
        <f>L19*INDEX('OFPC Source'!$AD$26:$AO$38,MATCH($A55,'OFPC Source'!$AC$26:$AC$38,0),MATCH(L$7,'OFPC Source'!$AD$25:$AO$25,0))</f>
        <v>34.295921744952778</v>
      </c>
      <c r="M55" s="56">
        <f>M19*INDEX('OFPC Source'!$AD$26:$AO$38,MATCH($A55,'OFPC Source'!$AC$26:$AC$38,0),MATCH(M$7,'OFPC Source'!$AD$25:$AO$25,0))</f>
        <v>37.346405989037223</v>
      </c>
      <c r="N55" s="133"/>
      <c r="O55" s="133"/>
      <c r="P55" s="133"/>
      <c r="Q55" s="133"/>
      <c r="R55" s="133"/>
      <c r="S55" s="133"/>
      <c r="T55" s="133"/>
      <c r="U55" s="133"/>
    </row>
    <row r="56" spans="1:25" ht="12.75" customHeight="1" x14ac:dyDescent="0.2">
      <c r="A56" s="53">
        <f t="shared" si="2"/>
        <v>2026</v>
      </c>
      <c r="B56" s="54">
        <f>B20*INDEX('OFPC Source'!$AD$26:$AO$38,MATCH($A56,'OFPC Source'!$AC$26:$AC$38,0),MATCH(B$7,'OFPC Source'!$AD$25:$AO$25,0))</f>
        <v>37.145034042784296</v>
      </c>
      <c r="C56" s="55">
        <f>C20*INDEX('OFPC Source'!$AD$26:$AO$38,MATCH($A56,'OFPC Source'!$AC$26:$AC$38,0),MATCH(C$7,'OFPC Source'!$AD$25:$AO$25,0))</f>
        <v>37.29105188700219</v>
      </c>
      <c r="D56" s="55">
        <f>D20*INDEX('OFPC Source'!$AD$26:$AO$38,MATCH($A56,'OFPC Source'!$AC$26:$AC$38,0),MATCH(D$7,'OFPC Source'!$AD$25:$AO$25,0))</f>
        <v>34.233281827070833</v>
      </c>
      <c r="E56" s="55">
        <f>E20*INDEX('OFPC Source'!$AD$26:$AO$38,MATCH($A56,'OFPC Source'!$AC$26:$AC$38,0),MATCH(E$7,'OFPC Source'!$AD$25:$AO$25,0))</f>
        <v>31.187933387238687</v>
      </c>
      <c r="F56" s="55">
        <f>F20*INDEX('OFPC Source'!$AD$26:$AO$38,MATCH($A56,'OFPC Source'!$AC$26:$AC$38,0),MATCH(F$7,'OFPC Source'!$AD$25:$AO$25,0))</f>
        <v>30.738861012338948</v>
      </c>
      <c r="G56" s="54">
        <f>G20*INDEX('OFPC Source'!$AD$26:$AO$38,MATCH($A56,'OFPC Source'!$AC$26:$AC$38,0),MATCH(G$7,'OFPC Source'!$AD$25:$AO$25,0))</f>
        <v>32.543931940546919</v>
      </c>
      <c r="H56" s="55">
        <f>H20*INDEX('OFPC Source'!$AD$26:$AO$38,MATCH($A56,'OFPC Source'!$AC$26:$AC$38,0),MATCH(H$7,'OFPC Source'!$AD$25:$AO$25,0))</f>
        <v>41.553229890626518</v>
      </c>
      <c r="I56" s="55">
        <f>I20*INDEX('OFPC Source'!$AD$26:$AO$38,MATCH($A56,'OFPC Source'!$AC$26:$AC$38,0),MATCH(I$7,'OFPC Source'!$AD$25:$AO$25,0))</f>
        <v>41.214396011901073</v>
      </c>
      <c r="J56" s="55">
        <f>J20*INDEX('OFPC Source'!$AD$26:$AO$38,MATCH($A56,'OFPC Source'!$AC$26:$AC$38,0),MATCH(J$7,'OFPC Source'!$AD$25:$AO$25,0))</f>
        <v>36.531992692494747</v>
      </c>
      <c r="K56" s="54">
        <f>K20*INDEX('OFPC Source'!$AD$26:$AO$38,MATCH($A56,'OFPC Source'!$AC$26:$AC$38,0),MATCH(K$7,'OFPC Source'!$AD$25:$AO$25,0))</f>
        <v>34.132088163770341</v>
      </c>
      <c r="L56" s="55">
        <f>L20*INDEX('OFPC Source'!$AD$26:$AO$38,MATCH($A56,'OFPC Source'!$AC$26:$AC$38,0),MATCH(L$7,'OFPC Source'!$AD$25:$AO$25,0))</f>
        <v>35.828527458622126</v>
      </c>
      <c r="M56" s="56">
        <f>M20*INDEX('OFPC Source'!$AD$26:$AO$38,MATCH($A56,'OFPC Source'!$AC$26:$AC$38,0),MATCH(M$7,'OFPC Source'!$AD$25:$AO$25,0))</f>
        <v>38.716158259512362</v>
      </c>
      <c r="N56" s="134"/>
      <c r="O56" s="134"/>
      <c r="P56" s="134"/>
      <c r="Q56" s="134"/>
      <c r="R56" s="134"/>
      <c r="S56" s="134"/>
      <c r="T56" s="134"/>
      <c r="U56" s="134"/>
    </row>
    <row r="57" spans="1:25" ht="12.75" customHeight="1" x14ac:dyDescent="0.2">
      <c r="A57" s="53">
        <f t="shared" si="2"/>
        <v>2027</v>
      </c>
      <c r="B57" s="54">
        <f>B21*INDEX('OFPC Source'!$AD$26:$AO$38,MATCH($A57,'OFPC Source'!$AC$26:$AC$38,0),MATCH(B$7,'OFPC Source'!$AD$25:$AO$25,0))</f>
        <v>38.2176074907578</v>
      </c>
      <c r="C57" s="55">
        <f>C21*INDEX('OFPC Source'!$AD$26:$AO$38,MATCH($A57,'OFPC Source'!$AC$26:$AC$38,0),MATCH(C$7,'OFPC Source'!$AD$25:$AO$25,0))</f>
        <v>39.228498356511565</v>
      </c>
      <c r="D57" s="55">
        <f>D21*INDEX('OFPC Source'!$AD$26:$AO$38,MATCH($A57,'OFPC Source'!$AC$26:$AC$38,0),MATCH(D$7,'OFPC Source'!$AD$25:$AO$25,0))</f>
        <v>36.488718673632746</v>
      </c>
      <c r="E57" s="55">
        <f>E21*INDEX('OFPC Source'!$AD$26:$AO$38,MATCH($A57,'OFPC Source'!$AC$26:$AC$38,0),MATCH(E$7,'OFPC Source'!$AD$25:$AO$25,0))</f>
        <v>34.104965310500255</v>
      </c>
      <c r="F57" s="55">
        <f>F21*INDEX('OFPC Source'!$AD$26:$AO$38,MATCH($A57,'OFPC Source'!$AC$26:$AC$38,0),MATCH(F$7,'OFPC Source'!$AD$25:$AO$25,0))</f>
        <v>31.613264127073567</v>
      </c>
      <c r="G57" s="54">
        <f>G21*INDEX('OFPC Source'!$AD$26:$AO$38,MATCH($A57,'OFPC Source'!$AC$26:$AC$38,0),MATCH(G$7,'OFPC Source'!$AD$25:$AO$25,0))</f>
        <v>33.964376315486085</v>
      </c>
      <c r="H57" s="55">
        <f>H21*INDEX('OFPC Source'!$AD$26:$AO$38,MATCH($A57,'OFPC Source'!$AC$26:$AC$38,0),MATCH(H$7,'OFPC Source'!$AD$25:$AO$25,0))</f>
        <v>43.29942069950706</v>
      </c>
      <c r="I57" s="55">
        <f>I21*INDEX('OFPC Source'!$AD$26:$AO$38,MATCH($A57,'OFPC Source'!$AC$26:$AC$38,0),MATCH(I$7,'OFPC Source'!$AD$25:$AO$25,0))</f>
        <v>43.186032985535824</v>
      </c>
      <c r="J57" s="55">
        <f>J21*INDEX('OFPC Source'!$AD$26:$AO$38,MATCH($A57,'OFPC Source'!$AC$26:$AC$38,0),MATCH(J$7,'OFPC Source'!$AD$25:$AO$25,0))</f>
        <v>39.029593601897091</v>
      </c>
      <c r="K57" s="54">
        <f>K21*INDEX('OFPC Source'!$AD$26:$AO$38,MATCH($A57,'OFPC Source'!$AC$26:$AC$38,0),MATCH(K$7,'OFPC Source'!$AD$25:$AO$25,0))</f>
        <v>37.565322148062101</v>
      </c>
      <c r="L57" s="55">
        <f>L21*INDEX('OFPC Source'!$AD$26:$AO$38,MATCH($A57,'OFPC Source'!$AC$26:$AC$38,0),MATCH(L$7,'OFPC Source'!$AD$25:$AO$25,0))</f>
        <v>38.739126736445371</v>
      </c>
      <c r="M57" s="56">
        <f>M21*INDEX('OFPC Source'!$AD$26:$AO$38,MATCH($A57,'OFPC Source'!$AC$26:$AC$38,0),MATCH(M$7,'OFPC Source'!$AD$25:$AO$25,0))</f>
        <v>42.149291117270863</v>
      </c>
    </row>
    <row r="58" spans="1:25" ht="12.75" customHeight="1" x14ac:dyDescent="0.2">
      <c r="A58" s="53"/>
      <c r="B58" s="54"/>
      <c r="C58" s="55"/>
      <c r="D58" s="55"/>
      <c r="E58" s="55"/>
      <c r="F58" s="55"/>
      <c r="G58" s="54"/>
      <c r="H58" s="55"/>
      <c r="I58" s="55"/>
      <c r="J58" s="55"/>
      <c r="K58" s="54"/>
      <c r="L58" s="55"/>
      <c r="M58" s="56"/>
    </row>
    <row r="59" spans="1:25" ht="12.75" hidden="1" customHeight="1" x14ac:dyDescent="0.2">
      <c r="A59" s="53"/>
      <c r="B59" s="54"/>
      <c r="C59" s="55"/>
      <c r="D59" s="55"/>
      <c r="E59" s="55"/>
      <c r="F59" s="55"/>
      <c r="G59" s="54"/>
      <c r="H59" s="55"/>
      <c r="I59" s="55"/>
      <c r="J59" s="55"/>
      <c r="K59" s="54"/>
      <c r="L59" s="55"/>
      <c r="M59" s="56"/>
    </row>
    <row r="60" spans="1:25" ht="12.75" hidden="1" customHeight="1" x14ac:dyDescent="0.2">
      <c r="A60" s="53"/>
      <c r="B60" s="54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6"/>
    </row>
    <row r="61" spans="1:25" ht="12.75" hidden="1" customHeight="1" x14ac:dyDescent="0.2">
      <c r="A61" s="57"/>
      <c r="B61" s="58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60"/>
    </row>
    <row r="62" spans="1:25" ht="12.75" customHeight="1" x14ac:dyDescent="0.2">
      <c r="A62" s="111"/>
      <c r="B62" s="109"/>
      <c r="C62" s="109"/>
      <c r="D62" s="109"/>
      <c r="E62" s="109"/>
      <c r="F62" s="108"/>
      <c r="G62" s="108"/>
      <c r="H62" s="108"/>
      <c r="I62" s="108"/>
      <c r="J62" s="110"/>
      <c r="K62" s="108"/>
      <c r="L62" s="108"/>
      <c r="M62" s="108"/>
    </row>
    <row r="63" spans="1:25" ht="12.75" customHeight="1" x14ac:dyDescent="0.2">
      <c r="A63" s="12" t="s">
        <v>228</v>
      </c>
      <c r="C63" s="40"/>
      <c r="D63" s="40"/>
      <c r="E63" s="40"/>
      <c r="G63" s="40"/>
      <c r="H63" s="40"/>
      <c r="I63" s="40"/>
      <c r="J63" s="48"/>
      <c r="L63" s="40"/>
      <c r="M63" s="37"/>
    </row>
    <row r="64" spans="1:25" ht="12.75" customHeight="1" x14ac:dyDescent="0.2">
      <c r="A64" s="49">
        <f>'Tables 3 to 5'!$B$13</f>
        <v>2016</v>
      </c>
      <c r="B64" s="50"/>
      <c r="C64" s="51"/>
      <c r="D64" s="51"/>
      <c r="E64" s="51"/>
      <c r="F64" s="51">
        <f t="shared" ref="F64:G64" si="3">F28*0.56+F46*0.44</f>
        <v>14.290882714180654</v>
      </c>
      <c r="G64" s="50">
        <f t="shared" si="3"/>
        <v>14.643839806365786</v>
      </c>
      <c r="H64" s="51">
        <f>H28*0.56+H46*0.44</f>
        <v>22.176686912154906</v>
      </c>
      <c r="I64" s="51">
        <f t="shared" ref="I64:M64" si="4">I28*0.56+I46*0.44</f>
        <v>22.358584557637617</v>
      </c>
      <c r="J64" s="51">
        <f t="shared" si="4"/>
        <v>21.977251122673348</v>
      </c>
      <c r="K64" s="50">
        <f t="shared" si="4"/>
        <v>17.526575880168643</v>
      </c>
      <c r="L64" s="51">
        <f t="shared" si="4"/>
        <v>17.855201290116796</v>
      </c>
      <c r="M64" s="52">
        <f t="shared" si="4"/>
        <v>22.466246117890528</v>
      </c>
    </row>
    <row r="65" spans="1:13" ht="12.75" customHeight="1" x14ac:dyDescent="0.2">
      <c r="A65" s="53">
        <f t="shared" ref="A65:A75" si="5">A64+1</f>
        <v>2017</v>
      </c>
      <c r="B65" s="54">
        <f>B29*0.56+B47*0.44</f>
        <v>20.914855380909003</v>
      </c>
      <c r="C65" s="55">
        <f t="shared" ref="C65:M65" si="6">C29*0.56+C47*0.44</f>
        <v>21.648522309227332</v>
      </c>
      <c r="D65" s="55">
        <f t="shared" si="6"/>
        <v>19.771033040618036</v>
      </c>
      <c r="E65" s="55">
        <f t="shared" si="6"/>
        <v>19.646411142772578</v>
      </c>
      <c r="F65" s="55">
        <f t="shared" si="6"/>
        <v>16.860451602038502</v>
      </c>
      <c r="G65" s="54">
        <f t="shared" si="6"/>
        <v>16.742506601003583</v>
      </c>
      <c r="H65" s="55">
        <f t="shared" si="6"/>
        <v>24.259083903276082</v>
      </c>
      <c r="I65" s="55">
        <f t="shared" si="6"/>
        <v>23.020760129659447</v>
      </c>
      <c r="J65" s="55">
        <f t="shared" si="6"/>
        <v>20.759834170608492</v>
      </c>
      <c r="K65" s="54">
        <f t="shared" si="6"/>
        <v>18.063375164308422</v>
      </c>
      <c r="L65" s="55">
        <f t="shared" si="6"/>
        <v>21.118850495620332</v>
      </c>
      <c r="M65" s="56">
        <f t="shared" si="6"/>
        <v>24.495415800290704</v>
      </c>
    </row>
    <row r="66" spans="1:13" ht="12.75" customHeight="1" x14ac:dyDescent="0.2">
      <c r="A66" s="53">
        <f t="shared" si="5"/>
        <v>2018</v>
      </c>
      <c r="B66" s="54">
        <f t="shared" ref="B66:M66" si="7">B30*0.56+B48*0.44</f>
        <v>25.231471838888773</v>
      </c>
      <c r="C66" s="55">
        <f t="shared" si="7"/>
        <v>23.715144585722022</v>
      </c>
      <c r="D66" s="55">
        <f t="shared" si="7"/>
        <v>21.970217570926607</v>
      </c>
      <c r="E66" s="55">
        <f t="shared" si="7"/>
        <v>21.411578411719915</v>
      </c>
      <c r="F66" s="55">
        <f t="shared" si="7"/>
        <v>18.580726717184525</v>
      </c>
      <c r="G66" s="54">
        <f t="shared" si="7"/>
        <v>18.488073980659443</v>
      </c>
      <c r="H66" s="55">
        <f t="shared" si="7"/>
        <v>26.224443104219574</v>
      </c>
      <c r="I66" s="55">
        <f t="shared" si="7"/>
        <v>25.022362941979189</v>
      </c>
      <c r="J66" s="55">
        <f t="shared" si="7"/>
        <v>21.393722364711422</v>
      </c>
      <c r="K66" s="54">
        <f t="shared" si="7"/>
        <v>20.524305437017524</v>
      </c>
      <c r="L66" s="55">
        <f t="shared" si="7"/>
        <v>24.659643093498183</v>
      </c>
      <c r="M66" s="56">
        <f t="shared" si="7"/>
        <v>26.882927811635511</v>
      </c>
    </row>
    <row r="67" spans="1:13" ht="12.75" customHeight="1" x14ac:dyDescent="0.2">
      <c r="A67" s="53">
        <f t="shared" si="5"/>
        <v>2019</v>
      </c>
      <c r="B67" s="54">
        <f t="shared" ref="B67:M67" si="8">B31*0.56+B49*0.44</f>
        <v>26.024646037388148</v>
      </c>
      <c r="C67" s="55">
        <f t="shared" si="8"/>
        <v>24.953580652629501</v>
      </c>
      <c r="D67" s="55">
        <f t="shared" si="8"/>
        <v>22.844724919091348</v>
      </c>
      <c r="E67" s="55">
        <f t="shared" si="8"/>
        <v>19.459697713870924</v>
      </c>
      <c r="F67" s="55">
        <f t="shared" si="8"/>
        <v>19.257647754445507</v>
      </c>
      <c r="G67" s="54">
        <f t="shared" si="8"/>
        <v>19.304225726377048</v>
      </c>
      <c r="H67" s="55">
        <f t="shared" si="8"/>
        <v>27.281863780014181</v>
      </c>
      <c r="I67" s="55">
        <f t="shared" si="8"/>
        <v>27.684580662775844</v>
      </c>
      <c r="J67" s="55">
        <f t="shared" si="8"/>
        <v>26.500254678897289</v>
      </c>
      <c r="K67" s="54">
        <f t="shared" si="8"/>
        <v>21.817304373420704</v>
      </c>
      <c r="L67" s="55">
        <f t="shared" si="8"/>
        <v>25.424298783788085</v>
      </c>
      <c r="M67" s="56">
        <f t="shared" si="8"/>
        <v>27.693919895506042</v>
      </c>
    </row>
    <row r="68" spans="1:13" ht="12.75" customHeight="1" x14ac:dyDescent="0.2">
      <c r="A68" s="53">
        <f t="shared" si="5"/>
        <v>2020</v>
      </c>
      <c r="B68" s="54">
        <f t="shared" ref="B68:M68" si="9">B32*0.56+B50*0.44</f>
        <v>27.3238506117913</v>
      </c>
      <c r="C68" s="55">
        <f t="shared" si="9"/>
        <v>25.707825832278932</v>
      </c>
      <c r="D68" s="55">
        <f t="shared" si="9"/>
        <v>29.183813595298723</v>
      </c>
      <c r="E68" s="55">
        <f t="shared" si="9"/>
        <v>22.443304159909992</v>
      </c>
      <c r="F68" s="55">
        <f t="shared" si="9"/>
        <v>20.406058050699816</v>
      </c>
      <c r="G68" s="54">
        <f t="shared" si="9"/>
        <v>20.429871162895491</v>
      </c>
      <c r="H68" s="55">
        <f t="shared" si="9"/>
        <v>28.788626901800903</v>
      </c>
      <c r="I68" s="55">
        <f t="shared" si="9"/>
        <v>27.330001059248239</v>
      </c>
      <c r="J68" s="55">
        <f t="shared" si="9"/>
        <v>25.104226333894591</v>
      </c>
      <c r="K68" s="54">
        <f t="shared" si="9"/>
        <v>24.462825303894501</v>
      </c>
      <c r="L68" s="55">
        <f t="shared" si="9"/>
        <v>27.258020895947872</v>
      </c>
      <c r="M68" s="56">
        <f t="shared" si="9"/>
        <v>28.723620089454471</v>
      </c>
    </row>
    <row r="69" spans="1:13" ht="12.75" customHeight="1" x14ac:dyDescent="0.2">
      <c r="A69" s="53">
        <f t="shared" si="5"/>
        <v>2021</v>
      </c>
      <c r="B69" s="54">
        <f t="shared" ref="B69:M69" si="10">B33*0.56+B51*0.44</f>
        <v>28.895178899156576</v>
      </c>
      <c r="C69" s="55">
        <f t="shared" si="10"/>
        <v>27.850315685541648</v>
      </c>
      <c r="D69" s="55">
        <f t="shared" si="10"/>
        <v>25.92251986044019</v>
      </c>
      <c r="E69" s="55">
        <f t="shared" si="10"/>
        <v>24.560138699707046</v>
      </c>
      <c r="F69" s="55">
        <f t="shared" si="10"/>
        <v>21.401476874864002</v>
      </c>
      <c r="G69" s="54">
        <f t="shared" si="10"/>
        <v>20.808624446061884</v>
      </c>
      <c r="H69" s="55">
        <f t="shared" si="10"/>
        <v>30.544057683663883</v>
      </c>
      <c r="I69" s="55">
        <f t="shared" si="10"/>
        <v>31.222605745304747</v>
      </c>
      <c r="J69" s="55">
        <f t="shared" si="10"/>
        <v>30.33889421518677</v>
      </c>
      <c r="K69" s="54">
        <f t="shared" si="10"/>
        <v>25.99597157886808</v>
      </c>
      <c r="L69" s="55">
        <f t="shared" si="10"/>
        <v>29.079873643402511</v>
      </c>
      <c r="M69" s="56">
        <f t="shared" si="10"/>
        <v>30.970494992071906</v>
      </c>
    </row>
    <row r="70" spans="1:13" ht="12.75" customHeight="1" x14ac:dyDescent="0.2">
      <c r="A70" s="53">
        <f t="shared" si="5"/>
        <v>2022</v>
      </c>
      <c r="B70" s="54">
        <f t="shared" ref="B70:M70" si="11">B34*0.56+B52*0.44</f>
        <v>30.940582250597991</v>
      </c>
      <c r="C70" s="55">
        <f t="shared" si="11"/>
        <v>29.903434409338981</v>
      </c>
      <c r="D70" s="55">
        <f t="shared" si="11"/>
        <v>28.017153170630099</v>
      </c>
      <c r="E70" s="55">
        <f t="shared" si="11"/>
        <v>24.933725372129842</v>
      </c>
      <c r="F70" s="55">
        <f t="shared" si="11"/>
        <v>24.282925581536169</v>
      </c>
      <c r="G70" s="54">
        <f t="shared" si="11"/>
        <v>25.785636733053586</v>
      </c>
      <c r="H70" s="55">
        <f t="shared" si="11"/>
        <v>33.773640980497284</v>
      </c>
      <c r="I70" s="55">
        <f t="shared" si="11"/>
        <v>34.56748919894725</v>
      </c>
      <c r="J70" s="55">
        <f t="shared" si="11"/>
        <v>34.30670094735467</v>
      </c>
      <c r="K70" s="54">
        <f t="shared" si="11"/>
        <v>28.793198376733166</v>
      </c>
      <c r="L70" s="55">
        <f t="shared" si="11"/>
        <v>29.953387465199249</v>
      </c>
      <c r="M70" s="56">
        <f t="shared" si="11"/>
        <v>31.786911609828572</v>
      </c>
    </row>
    <row r="71" spans="1:13" ht="12.75" customHeight="1" x14ac:dyDescent="0.2">
      <c r="A71" s="53">
        <f t="shared" si="5"/>
        <v>2023</v>
      </c>
      <c r="B71" s="54">
        <f t="shared" ref="B71:M71" si="12">B35*0.56+B53*0.44</f>
        <v>33.624787077790309</v>
      </c>
      <c r="C71" s="55">
        <f t="shared" si="12"/>
        <v>25.167236481390134</v>
      </c>
      <c r="D71" s="55">
        <f t="shared" si="12"/>
        <v>30.719908068298004</v>
      </c>
      <c r="E71" s="55">
        <f t="shared" si="12"/>
        <v>27.000000379948055</v>
      </c>
      <c r="F71" s="55">
        <f t="shared" si="12"/>
        <v>26.50517743960058</v>
      </c>
      <c r="G71" s="54">
        <f t="shared" si="12"/>
        <v>28.879695076427325</v>
      </c>
      <c r="H71" s="55">
        <f t="shared" si="12"/>
        <v>37.552748179237291</v>
      </c>
      <c r="I71" s="55">
        <f t="shared" si="12"/>
        <v>37.753570290595917</v>
      </c>
      <c r="J71" s="55">
        <f t="shared" si="12"/>
        <v>37.450328168018018</v>
      </c>
      <c r="K71" s="54">
        <f t="shared" si="12"/>
        <v>30.733580266025804</v>
      </c>
      <c r="L71" s="55">
        <f t="shared" si="12"/>
        <v>32.820290944429473</v>
      </c>
      <c r="M71" s="56">
        <f t="shared" si="12"/>
        <v>35.627549030011266</v>
      </c>
    </row>
    <row r="72" spans="1:13" ht="12.75" customHeight="1" x14ac:dyDescent="0.2">
      <c r="A72" s="53">
        <f t="shared" si="5"/>
        <v>2024</v>
      </c>
      <c r="B72" s="54">
        <f t="shared" ref="B72:M72" si="13">B36*0.56+B54*0.44</f>
        <v>36.787682438812929</v>
      </c>
      <c r="C72" s="55">
        <f t="shared" si="13"/>
        <v>35.066901303328812</v>
      </c>
      <c r="D72" s="55">
        <f t="shared" si="13"/>
        <v>32.410863035639764</v>
      </c>
      <c r="E72" s="55">
        <f t="shared" si="13"/>
        <v>29.49028345672285</v>
      </c>
      <c r="F72" s="55">
        <f t="shared" si="13"/>
        <v>28.538810538303338</v>
      </c>
      <c r="G72" s="54">
        <f t="shared" si="13"/>
        <v>31.649865272543906</v>
      </c>
      <c r="H72" s="55">
        <f t="shared" si="13"/>
        <v>41.113718493528978</v>
      </c>
      <c r="I72" s="55">
        <f t="shared" si="13"/>
        <v>41.789162277635612</v>
      </c>
      <c r="J72" s="55">
        <f t="shared" si="13"/>
        <v>39.24394699894507</v>
      </c>
      <c r="K72" s="54">
        <f t="shared" si="13"/>
        <v>34.768745955935337</v>
      </c>
      <c r="L72" s="55">
        <f t="shared" si="13"/>
        <v>38.161934025461278</v>
      </c>
      <c r="M72" s="56">
        <f t="shared" si="13"/>
        <v>41.909361237821457</v>
      </c>
    </row>
    <row r="73" spans="1:13" ht="12.75" customHeight="1" x14ac:dyDescent="0.2">
      <c r="A73" s="53">
        <f t="shared" si="5"/>
        <v>2025</v>
      </c>
      <c r="B73" s="54">
        <f t="shared" ref="B73:M73" si="14">B37*0.56+B55*0.44</f>
        <v>38.422065220593822</v>
      </c>
      <c r="C73" s="55">
        <f t="shared" si="14"/>
        <v>50.788913608536021</v>
      </c>
      <c r="D73" s="55">
        <f t="shared" si="14"/>
        <v>31.704927676386809</v>
      </c>
      <c r="E73" s="55">
        <f t="shared" si="14"/>
        <v>33.397487928928626</v>
      </c>
      <c r="F73" s="55">
        <f t="shared" si="14"/>
        <v>30.573747836936619</v>
      </c>
      <c r="G73" s="54">
        <f t="shared" si="14"/>
        <v>34.148956283183821</v>
      </c>
      <c r="H73" s="55">
        <f t="shared" si="14"/>
        <v>44.294995261328566</v>
      </c>
      <c r="I73" s="55">
        <f t="shared" si="14"/>
        <v>44.049640941991157</v>
      </c>
      <c r="J73" s="55">
        <f t="shared" si="14"/>
        <v>38.095633527279084</v>
      </c>
      <c r="K73" s="54">
        <f t="shared" si="14"/>
        <v>36.034190831140336</v>
      </c>
      <c r="L73" s="55">
        <f t="shared" si="14"/>
        <v>36.989977108350288</v>
      </c>
      <c r="M73" s="56">
        <f t="shared" si="14"/>
        <v>40.260877011699584</v>
      </c>
    </row>
    <row r="74" spans="1:13" ht="12.75" customHeight="1" x14ac:dyDescent="0.2">
      <c r="A74" s="53">
        <f t="shared" si="5"/>
        <v>2026</v>
      </c>
      <c r="B74" s="54">
        <f t="shared" ref="B74:M74" si="15">B38*0.56+B56*0.44</f>
        <v>39.705903545164659</v>
      </c>
      <c r="C74" s="55">
        <f t="shared" si="15"/>
        <v>39.685002778796388</v>
      </c>
      <c r="D74" s="55">
        <f t="shared" si="15"/>
        <v>36.177693571600898</v>
      </c>
      <c r="E74" s="55">
        <f t="shared" si="15"/>
        <v>32.750311211873253</v>
      </c>
      <c r="F74" s="55">
        <f t="shared" si="15"/>
        <v>32.516400140262462</v>
      </c>
      <c r="G74" s="54">
        <f t="shared" si="15"/>
        <v>35.407590126283893</v>
      </c>
      <c r="H74" s="55">
        <f t="shared" si="15"/>
        <v>46.263971319330636</v>
      </c>
      <c r="I74" s="55">
        <f t="shared" si="15"/>
        <v>46.034662866180796</v>
      </c>
      <c r="J74" s="55">
        <f t="shared" si="15"/>
        <v>39.935703837297012</v>
      </c>
      <c r="K74" s="54">
        <f t="shared" si="15"/>
        <v>36.720634807114109</v>
      </c>
      <c r="L74" s="55">
        <f t="shared" si="15"/>
        <v>38.762410319688712</v>
      </c>
      <c r="M74" s="56">
        <f t="shared" si="15"/>
        <v>41.723506833268118</v>
      </c>
    </row>
    <row r="75" spans="1:13" ht="12.75" customHeight="1" x14ac:dyDescent="0.2">
      <c r="A75" s="53">
        <f t="shared" si="5"/>
        <v>2027</v>
      </c>
      <c r="B75" s="54">
        <f t="shared" ref="B75:M75" si="16">B39*0.56+B57*0.44</f>
        <v>40.819309523280999</v>
      </c>
      <c r="C75" s="55">
        <f t="shared" si="16"/>
        <v>41.819488750545347</v>
      </c>
      <c r="D75" s="55">
        <f t="shared" si="16"/>
        <v>38.395189873741117</v>
      </c>
      <c r="E75" s="55">
        <f t="shared" si="16"/>
        <v>35.763050481085408</v>
      </c>
      <c r="F75" s="55">
        <f t="shared" si="16"/>
        <v>33.335359764874667</v>
      </c>
      <c r="G75" s="54">
        <f t="shared" si="16"/>
        <v>36.904011272723068</v>
      </c>
      <c r="H75" s="55">
        <f t="shared" si="16"/>
        <v>47.882162834068282</v>
      </c>
      <c r="I75" s="55">
        <f t="shared" si="16"/>
        <v>48.11789903758465</v>
      </c>
      <c r="J75" s="55">
        <f t="shared" si="16"/>
        <v>42.408495086289648</v>
      </c>
      <c r="K75" s="54">
        <f t="shared" si="16"/>
        <v>40.366788691008885</v>
      </c>
      <c r="L75" s="55">
        <f t="shared" si="16"/>
        <v>42.016265966185571</v>
      </c>
      <c r="M75" s="56">
        <f t="shared" si="16"/>
        <v>45.408759009334091</v>
      </c>
    </row>
    <row r="76" spans="1:13" ht="12.75" customHeight="1" x14ac:dyDescent="0.2">
      <c r="A76" s="53"/>
      <c r="B76" s="54"/>
      <c r="C76" s="55"/>
      <c r="D76" s="55"/>
      <c r="E76" s="55"/>
      <c r="F76" s="55"/>
      <c r="G76" s="54"/>
      <c r="H76" s="55"/>
      <c r="I76" s="55"/>
      <c r="J76" s="55"/>
      <c r="K76" s="54"/>
      <c r="L76" s="55"/>
      <c r="M76" s="56"/>
    </row>
    <row r="77" spans="1:13" ht="12.75" hidden="1" customHeight="1" x14ac:dyDescent="0.2">
      <c r="A77" s="53"/>
      <c r="B77" s="54"/>
      <c r="C77" s="55"/>
      <c r="D77" s="55"/>
      <c r="E77" s="55"/>
      <c r="F77" s="55"/>
      <c r="G77" s="54"/>
      <c r="H77" s="55"/>
      <c r="I77" s="55"/>
      <c r="J77" s="55"/>
      <c r="K77" s="54"/>
      <c r="L77" s="55"/>
      <c r="M77" s="56"/>
    </row>
    <row r="78" spans="1:13" ht="12.75" hidden="1" customHeight="1" x14ac:dyDescent="0.2">
      <c r="A78" s="53"/>
      <c r="B78" s="54"/>
      <c r="C78" s="55"/>
      <c r="D78" s="55"/>
      <c r="E78" s="55"/>
      <c r="F78" s="55"/>
      <c r="G78" s="54"/>
      <c r="H78" s="55"/>
      <c r="I78" s="55"/>
      <c r="J78" s="55"/>
      <c r="K78" s="54"/>
      <c r="L78" s="55"/>
      <c r="M78" s="56"/>
    </row>
    <row r="79" spans="1:13" ht="12.75" hidden="1" customHeight="1" x14ac:dyDescent="0.2">
      <c r="A79" s="57"/>
      <c r="B79" s="58"/>
      <c r="C79" s="59"/>
      <c r="D79" s="59"/>
      <c r="E79" s="59"/>
      <c r="F79" s="59"/>
      <c r="G79" s="58"/>
      <c r="H79" s="59"/>
      <c r="I79" s="59"/>
      <c r="J79" s="59"/>
      <c r="K79" s="58"/>
      <c r="L79" s="59"/>
      <c r="M79" s="60"/>
    </row>
    <row r="80" spans="1:13" ht="12.75" customHeight="1" x14ac:dyDescent="0.2">
      <c r="A80" s="108"/>
      <c r="B80" s="109"/>
      <c r="C80" s="109"/>
      <c r="D80" s="109"/>
      <c r="E80" s="108"/>
      <c r="F80" s="108"/>
      <c r="G80" s="108"/>
      <c r="H80" s="108"/>
      <c r="I80" s="108"/>
      <c r="J80" s="108"/>
      <c r="K80" s="110"/>
      <c r="L80" s="108"/>
      <c r="M80" s="108"/>
    </row>
    <row r="81" spans="1:13" ht="12.75" customHeight="1" x14ac:dyDescent="0.2">
      <c r="A81" s="12" t="s">
        <v>66</v>
      </c>
      <c r="C81" s="62"/>
      <c r="D81" s="62"/>
      <c r="K81" s="61"/>
    </row>
    <row r="82" spans="1:13" ht="12.75" customHeight="1" x14ac:dyDescent="0.2">
      <c r="A82" s="63" t="s">
        <v>2</v>
      </c>
      <c r="C82" s="64" t="s">
        <v>56</v>
      </c>
      <c r="D82" s="33"/>
      <c r="E82" s="34"/>
      <c r="F82" s="37"/>
      <c r="G82" s="64" t="s">
        <v>57</v>
      </c>
      <c r="H82" s="33"/>
      <c r="I82" s="34"/>
      <c r="J82" s="37"/>
      <c r="K82" s="64" t="s">
        <v>67</v>
      </c>
      <c r="L82" s="33"/>
      <c r="M82" s="34"/>
    </row>
    <row r="83" spans="1:13" s="37" customFormat="1" ht="12.75" customHeight="1" x14ac:dyDescent="0.2">
      <c r="A83" s="47"/>
      <c r="C83" s="17" t="s">
        <v>79</v>
      </c>
      <c r="D83" s="18" t="s">
        <v>1</v>
      </c>
      <c r="E83" s="18" t="s">
        <v>10</v>
      </c>
      <c r="F83" s="47"/>
      <c r="G83" s="17" t="s">
        <v>79</v>
      </c>
      <c r="H83" s="18" t="s">
        <v>1</v>
      </c>
      <c r="I83" s="18" t="s">
        <v>10</v>
      </c>
      <c r="J83" s="47"/>
      <c r="K83" s="17" t="s">
        <v>79</v>
      </c>
      <c r="L83" s="18" t="s">
        <v>1</v>
      </c>
      <c r="M83" s="18" t="s">
        <v>10</v>
      </c>
    </row>
    <row r="84" spans="1:13" s="37" customFormat="1" ht="12.75" customHeight="1" x14ac:dyDescent="0.2">
      <c r="A84" s="65">
        <f t="shared" ref="A84:A94" si="17">A28</f>
        <v>2016</v>
      </c>
      <c r="C84" s="38">
        <f t="shared" ref="C84" si="18">ROUND(AVERAGE(B28:F28,K28:M28),2)</f>
        <v>19.239999999999998</v>
      </c>
      <c r="D84" s="38">
        <f t="shared" ref="D84" si="19">ROUND(AVERAGE(B46:F46,K46:M46),2)</f>
        <v>16.5</v>
      </c>
      <c r="E84" s="38">
        <f>ROUND(AVERAGE(B64:F64,K64:M64),2)</f>
        <v>18.03</v>
      </c>
      <c r="G84" s="55">
        <f t="shared" ref="G84" si="20">ROUND(AVERAGE(G28:J28),2)</f>
        <v>22.74</v>
      </c>
      <c r="H84" s="55">
        <f t="shared" ref="H84" si="21">ROUND(AVERAGE(G46:J46),2)</f>
        <v>17.170000000000002</v>
      </c>
      <c r="I84" s="55">
        <f>ROUND(AVERAGE(G64:J64),2)</f>
        <v>20.29</v>
      </c>
      <c r="K84" s="38">
        <f t="shared" ref="K84:K95" si="22">ROUND(AVERAGE(B28:M28),2)</f>
        <v>20.99</v>
      </c>
      <c r="L84" s="38">
        <f t="shared" ref="L84:L95" si="23">ROUND(AVERAGE(B46:M46),2)</f>
        <v>16.829999999999998</v>
      </c>
      <c r="M84" s="38">
        <f>ROUND(AVERAGE(B64:M64),2)</f>
        <v>19.16</v>
      </c>
    </row>
    <row r="85" spans="1:13" s="37" customFormat="1" ht="12.75" customHeight="1" x14ac:dyDescent="0.2">
      <c r="A85" s="65">
        <f t="shared" si="17"/>
        <v>2017</v>
      </c>
      <c r="C85" s="38">
        <f t="shared" ref="C85:C95" si="24">ROUND(AVERAGE(B29:F29,K29:M29),2)</f>
        <v>21.46</v>
      </c>
      <c r="D85" s="38">
        <f t="shared" ref="D85:D95" si="25">ROUND(AVERAGE(B47:F47,K47:M47),2)</f>
        <v>18.850000000000001</v>
      </c>
      <c r="E85" s="38">
        <f>ROUND(AVERAGE(B65:F65,K65:M65),2)</f>
        <v>20.309999999999999</v>
      </c>
      <c r="G85" s="55">
        <f t="shared" ref="G85:G95" si="26">ROUND(AVERAGE(G29:J29),2)</f>
        <v>23.21</v>
      </c>
      <c r="H85" s="55">
        <f t="shared" ref="H85:H95" si="27">ROUND(AVERAGE(G47:J47),2)</f>
        <v>18.63</v>
      </c>
      <c r="I85" s="55">
        <f>ROUND(AVERAGE(G65:J65),2)</f>
        <v>21.2</v>
      </c>
      <c r="K85" s="38">
        <f t="shared" si="22"/>
        <v>22.05</v>
      </c>
      <c r="L85" s="38">
        <f t="shared" si="23"/>
        <v>18.78</v>
      </c>
      <c r="M85" s="38">
        <f>ROUND(AVERAGE(B65:M65),2)</f>
        <v>20.61</v>
      </c>
    </row>
    <row r="86" spans="1:13" s="37" customFormat="1" ht="12.75" customHeight="1" x14ac:dyDescent="0.2">
      <c r="A86" s="65">
        <f t="shared" si="17"/>
        <v>2018</v>
      </c>
      <c r="C86" s="38">
        <f t="shared" si="24"/>
        <v>24.07</v>
      </c>
      <c r="D86" s="38">
        <f t="shared" si="25"/>
        <v>21.34</v>
      </c>
      <c r="E86" s="38">
        <f t="shared" ref="E86:E91" si="28">ROUND(AVERAGE(B66:F66,K66:M66),2)</f>
        <v>22.87</v>
      </c>
      <c r="G86" s="55">
        <f t="shared" si="26"/>
        <v>25.28</v>
      </c>
      <c r="H86" s="55">
        <f t="shared" si="27"/>
        <v>19.600000000000001</v>
      </c>
      <c r="I86" s="55">
        <f t="shared" ref="I86:I91" si="29">ROUND(AVERAGE(G66:J66),2)</f>
        <v>22.78</v>
      </c>
      <c r="K86" s="38">
        <f t="shared" si="22"/>
        <v>24.47</v>
      </c>
      <c r="L86" s="38">
        <f t="shared" si="23"/>
        <v>20.76</v>
      </c>
      <c r="M86" s="38">
        <f t="shared" ref="M86:M91" si="30">ROUND(AVERAGE(B66:M66),2)</f>
        <v>22.84</v>
      </c>
    </row>
    <row r="87" spans="1:13" s="37" customFormat="1" ht="12.75" customHeight="1" x14ac:dyDescent="0.2">
      <c r="A87" s="65">
        <f t="shared" si="17"/>
        <v>2019</v>
      </c>
      <c r="C87" s="38">
        <f t="shared" si="24"/>
        <v>24.72</v>
      </c>
      <c r="D87" s="38">
        <f t="shared" si="25"/>
        <v>21.8</v>
      </c>
      <c r="E87" s="38">
        <f t="shared" si="28"/>
        <v>23.43</v>
      </c>
      <c r="G87" s="55">
        <f t="shared" si="26"/>
        <v>27.89</v>
      </c>
      <c r="H87" s="55">
        <f t="shared" si="27"/>
        <v>21.76</v>
      </c>
      <c r="I87" s="55">
        <f t="shared" si="29"/>
        <v>25.19</v>
      </c>
      <c r="K87" s="38">
        <f t="shared" si="22"/>
        <v>25.78</v>
      </c>
      <c r="L87" s="38">
        <f t="shared" si="23"/>
        <v>21.79</v>
      </c>
      <c r="M87" s="38">
        <f t="shared" si="30"/>
        <v>24.02</v>
      </c>
    </row>
    <row r="88" spans="1:13" s="37" customFormat="1" ht="12.75" customHeight="1" x14ac:dyDescent="0.2">
      <c r="A88" s="65">
        <f t="shared" si="17"/>
        <v>2020</v>
      </c>
      <c r="C88" s="38">
        <f t="shared" si="24"/>
        <v>27.09</v>
      </c>
      <c r="D88" s="38">
        <f t="shared" si="25"/>
        <v>23.9</v>
      </c>
      <c r="E88" s="38">
        <f t="shared" si="28"/>
        <v>25.69</v>
      </c>
      <c r="G88" s="55">
        <f t="shared" si="26"/>
        <v>28.32</v>
      </c>
      <c r="H88" s="55">
        <f t="shared" si="27"/>
        <v>21.71</v>
      </c>
      <c r="I88" s="55">
        <f t="shared" si="29"/>
        <v>25.41</v>
      </c>
      <c r="K88" s="38">
        <f t="shared" si="22"/>
        <v>27.5</v>
      </c>
      <c r="L88" s="38">
        <f t="shared" si="23"/>
        <v>23.17</v>
      </c>
      <c r="M88" s="38">
        <f t="shared" si="30"/>
        <v>25.6</v>
      </c>
    </row>
    <row r="89" spans="1:13" s="37" customFormat="1" ht="12.75" customHeight="1" x14ac:dyDescent="0.2">
      <c r="A89" s="65">
        <f t="shared" si="17"/>
        <v>2021</v>
      </c>
      <c r="C89" s="38">
        <f t="shared" si="24"/>
        <v>28.32</v>
      </c>
      <c r="D89" s="38">
        <f t="shared" si="25"/>
        <v>24.94</v>
      </c>
      <c r="E89" s="38">
        <f t="shared" si="28"/>
        <v>26.83</v>
      </c>
      <c r="G89" s="55">
        <f t="shared" si="26"/>
        <v>31.13</v>
      </c>
      <c r="H89" s="55">
        <f t="shared" si="27"/>
        <v>24.53</v>
      </c>
      <c r="I89" s="55">
        <f t="shared" si="29"/>
        <v>28.23</v>
      </c>
      <c r="K89" s="38">
        <f t="shared" si="22"/>
        <v>29.26</v>
      </c>
      <c r="L89" s="38">
        <f t="shared" si="23"/>
        <v>24.81</v>
      </c>
      <c r="M89" s="38">
        <f t="shared" si="30"/>
        <v>27.3</v>
      </c>
    </row>
    <row r="90" spans="1:13" s="37" customFormat="1" ht="12.75" customHeight="1" x14ac:dyDescent="0.2">
      <c r="A90" s="65">
        <f t="shared" si="17"/>
        <v>2022</v>
      </c>
      <c r="C90" s="38">
        <f t="shared" si="24"/>
        <v>30.09</v>
      </c>
      <c r="D90" s="38">
        <f t="shared" si="25"/>
        <v>26.65</v>
      </c>
      <c r="E90" s="38">
        <f t="shared" si="28"/>
        <v>28.58</v>
      </c>
      <c r="G90" s="55">
        <f t="shared" si="26"/>
        <v>34.950000000000003</v>
      </c>
      <c r="H90" s="55">
        <f t="shared" si="27"/>
        <v>28.49</v>
      </c>
      <c r="I90" s="55">
        <f t="shared" si="29"/>
        <v>32.11</v>
      </c>
      <c r="K90" s="38">
        <f t="shared" si="22"/>
        <v>31.71</v>
      </c>
      <c r="L90" s="38">
        <f t="shared" si="23"/>
        <v>27.27</v>
      </c>
      <c r="M90" s="38">
        <f t="shared" si="30"/>
        <v>29.75</v>
      </c>
    </row>
    <row r="91" spans="1:13" s="37" customFormat="1" ht="12.75" customHeight="1" x14ac:dyDescent="0.2">
      <c r="A91" s="65">
        <f t="shared" si="17"/>
        <v>2023</v>
      </c>
      <c r="C91" s="38">
        <f t="shared" si="24"/>
        <v>31.82</v>
      </c>
      <c r="D91" s="38">
        <f t="shared" si="25"/>
        <v>28.31</v>
      </c>
      <c r="E91" s="38">
        <f t="shared" si="28"/>
        <v>30.27</v>
      </c>
      <c r="G91" s="55">
        <f t="shared" si="26"/>
        <v>38.130000000000003</v>
      </c>
      <c r="H91" s="55">
        <f t="shared" si="27"/>
        <v>31.94</v>
      </c>
      <c r="I91" s="55">
        <f t="shared" si="29"/>
        <v>35.409999999999997</v>
      </c>
      <c r="K91" s="38">
        <f t="shared" si="22"/>
        <v>33.92</v>
      </c>
      <c r="L91" s="38">
        <f t="shared" si="23"/>
        <v>29.52</v>
      </c>
      <c r="M91" s="38">
        <f t="shared" si="30"/>
        <v>31.99</v>
      </c>
    </row>
    <row r="92" spans="1:13" s="37" customFormat="1" ht="12.75" customHeight="1" x14ac:dyDescent="0.2">
      <c r="A92" s="65">
        <f t="shared" si="17"/>
        <v>2024</v>
      </c>
      <c r="C92" s="38">
        <f t="shared" si="24"/>
        <v>36.44</v>
      </c>
      <c r="D92" s="38">
        <f t="shared" si="25"/>
        <v>32.35</v>
      </c>
      <c r="E92" s="38">
        <f t="shared" ref="E92:E94" si="31">ROUND(AVERAGE(B72:F72,K72:M72),2)</f>
        <v>34.64</v>
      </c>
      <c r="G92" s="55">
        <f t="shared" si="26"/>
        <v>41.48</v>
      </c>
      <c r="H92" s="55">
        <f t="shared" si="27"/>
        <v>34.590000000000003</v>
      </c>
      <c r="I92" s="55">
        <f t="shared" ref="I92:I94" si="32">ROUND(AVERAGE(G72:J72),2)</f>
        <v>38.450000000000003</v>
      </c>
      <c r="K92" s="38">
        <f t="shared" si="22"/>
        <v>38.119999999999997</v>
      </c>
      <c r="L92" s="38">
        <f t="shared" si="23"/>
        <v>33.1</v>
      </c>
      <c r="M92" s="38">
        <f t="shared" ref="M92:M94" si="33">ROUND(AVERAGE(B72:M72),2)</f>
        <v>35.909999999999997</v>
      </c>
    </row>
    <row r="93" spans="1:13" s="37" customFormat="1" ht="12.75" customHeight="1" x14ac:dyDescent="0.2">
      <c r="A93" s="65">
        <f t="shared" si="17"/>
        <v>2025</v>
      </c>
      <c r="C93" s="38">
        <f t="shared" si="24"/>
        <v>39.08</v>
      </c>
      <c r="D93" s="38">
        <f t="shared" si="25"/>
        <v>34.97</v>
      </c>
      <c r="E93" s="38">
        <f t="shared" si="31"/>
        <v>37.270000000000003</v>
      </c>
      <c r="G93" s="55">
        <f t="shared" si="26"/>
        <v>43.36</v>
      </c>
      <c r="H93" s="55">
        <f t="shared" si="27"/>
        <v>36.06</v>
      </c>
      <c r="I93" s="55">
        <f t="shared" si="32"/>
        <v>40.15</v>
      </c>
      <c r="K93" s="38">
        <f t="shared" si="22"/>
        <v>40.51</v>
      </c>
      <c r="L93" s="38">
        <f t="shared" si="23"/>
        <v>35.33</v>
      </c>
      <c r="M93" s="38">
        <f t="shared" si="33"/>
        <v>38.229999999999997</v>
      </c>
    </row>
    <row r="94" spans="1:13" s="37" customFormat="1" ht="12.75" customHeight="1" x14ac:dyDescent="0.2">
      <c r="A94" s="65">
        <f t="shared" si="17"/>
        <v>2026</v>
      </c>
      <c r="C94" s="38">
        <f t="shared" si="24"/>
        <v>39.1</v>
      </c>
      <c r="D94" s="38">
        <f t="shared" si="25"/>
        <v>34.909999999999997</v>
      </c>
      <c r="E94" s="38">
        <f t="shared" si="31"/>
        <v>37.26</v>
      </c>
      <c r="G94" s="55">
        <f t="shared" si="26"/>
        <v>45.01</v>
      </c>
      <c r="H94" s="55">
        <f t="shared" si="27"/>
        <v>37.96</v>
      </c>
      <c r="I94" s="55">
        <f t="shared" si="32"/>
        <v>41.91</v>
      </c>
      <c r="K94" s="38">
        <f t="shared" si="22"/>
        <v>41.07</v>
      </c>
      <c r="L94" s="38">
        <f t="shared" si="23"/>
        <v>35.93</v>
      </c>
      <c r="M94" s="38">
        <f t="shared" si="33"/>
        <v>38.81</v>
      </c>
    </row>
    <row r="95" spans="1:13" s="37" customFormat="1" ht="12.75" customHeight="1" x14ac:dyDescent="0.2">
      <c r="A95" s="65">
        <f t="shared" ref="A95" si="34">A39</f>
        <v>2027</v>
      </c>
      <c r="C95" s="38">
        <f t="shared" si="24"/>
        <v>41.69</v>
      </c>
      <c r="D95" s="38">
        <f t="shared" si="25"/>
        <v>37.26</v>
      </c>
      <c r="E95" s="38">
        <f t="shared" ref="E95" si="35">ROUND(AVERAGE(B75:F75,K75:M75),2)</f>
        <v>39.74</v>
      </c>
      <c r="G95" s="55">
        <f t="shared" si="26"/>
        <v>46.94</v>
      </c>
      <c r="H95" s="55">
        <f t="shared" si="27"/>
        <v>39.869999999999997</v>
      </c>
      <c r="I95" s="55">
        <f t="shared" ref="I95" si="36">ROUND(AVERAGE(G75:J75),2)</f>
        <v>43.83</v>
      </c>
      <c r="K95" s="38">
        <f t="shared" si="22"/>
        <v>43.44</v>
      </c>
      <c r="L95" s="38">
        <f t="shared" si="23"/>
        <v>38.130000000000003</v>
      </c>
      <c r="M95" s="38">
        <f t="shared" ref="M95" si="37">ROUND(AVERAGE(B75:M75),2)</f>
        <v>41.1</v>
      </c>
    </row>
    <row r="96" spans="1:13" s="37" customFormat="1" ht="12.75" customHeight="1" x14ac:dyDescent="0.2">
      <c r="A96" s="65"/>
      <c r="C96" s="38"/>
      <c r="D96" s="38"/>
      <c r="E96" s="38"/>
      <c r="G96" s="55"/>
      <c r="H96" s="55"/>
      <c r="I96" s="55"/>
      <c r="K96" s="38"/>
      <c r="L96" s="38"/>
      <c r="M96" s="38"/>
    </row>
    <row r="97" spans="1:13" s="37" customFormat="1" ht="12.75" customHeight="1" x14ac:dyDescent="0.2">
      <c r="A97" s="65"/>
      <c r="C97" s="38"/>
      <c r="D97" s="38"/>
      <c r="E97" s="38"/>
      <c r="G97" s="55"/>
      <c r="H97" s="55"/>
      <c r="I97" s="55"/>
      <c r="K97" s="38"/>
      <c r="L97" s="38"/>
      <c r="M97" s="38"/>
    </row>
    <row r="98" spans="1:13" s="37" customFormat="1" ht="12.75" hidden="1" customHeight="1" x14ac:dyDescent="0.2">
      <c r="A98" s="66"/>
      <c r="K98" s="61"/>
    </row>
    <row r="99" spans="1:13" s="37" customFormat="1" ht="12.75" hidden="1" customHeight="1" x14ac:dyDescent="0.2">
      <c r="A99" s="66"/>
      <c r="K99" s="61"/>
    </row>
    <row r="100" spans="1:13" s="37" customFormat="1" ht="12.75" customHeight="1" x14ac:dyDescent="0.2">
      <c r="A100" s="35" t="s">
        <v>80</v>
      </c>
      <c r="D100" s="38"/>
      <c r="E100" s="55"/>
      <c r="F100" s="55"/>
      <c r="G100" s="55"/>
      <c r="J100" s="55"/>
      <c r="K100" s="55"/>
    </row>
    <row r="101" spans="1:13" ht="12.75" customHeight="1" x14ac:dyDescent="0.2">
      <c r="A101" s="35" t="s">
        <v>297</v>
      </c>
      <c r="C101" s="67"/>
      <c r="D101" s="38"/>
      <c r="E101" s="55"/>
      <c r="F101" s="55"/>
      <c r="G101" s="55"/>
      <c r="H101" s="37"/>
    </row>
    <row r="102" spans="1:13" ht="12.75" customHeight="1" x14ac:dyDescent="0.2">
      <c r="A102" s="35" t="s">
        <v>298</v>
      </c>
      <c r="C102" s="67"/>
      <c r="D102" s="38"/>
      <c r="E102" s="55"/>
      <c r="F102" s="55"/>
      <c r="G102" s="55"/>
      <c r="H102" s="37"/>
    </row>
    <row r="103" spans="1:13" ht="12.75" customHeight="1" x14ac:dyDescent="0.2">
      <c r="A103" s="35" t="s">
        <v>296</v>
      </c>
      <c r="C103" s="67"/>
      <c r="D103" s="38"/>
      <c r="E103" s="55"/>
      <c r="F103" s="55"/>
      <c r="G103" s="55"/>
      <c r="H103" s="37"/>
    </row>
    <row r="104" spans="1:13" ht="12.75" customHeight="1" x14ac:dyDescent="0.2">
      <c r="A104" s="35" t="s">
        <v>299</v>
      </c>
      <c r="C104" s="67"/>
      <c r="D104" s="38"/>
      <c r="E104" s="55"/>
      <c r="F104" s="55"/>
      <c r="G104" s="55"/>
      <c r="H104" s="37"/>
    </row>
    <row r="105" spans="1:13" ht="12.75" customHeight="1" x14ac:dyDescent="0.2">
      <c r="A105" s="35" t="s">
        <v>300</v>
      </c>
      <c r="C105" s="67"/>
      <c r="D105" s="38"/>
      <c r="E105" s="55"/>
      <c r="F105" s="55"/>
      <c r="G105" s="55"/>
      <c r="H105" s="37"/>
    </row>
    <row r="106" spans="1:13" ht="12.75" customHeight="1" x14ac:dyDescent="0.2">
      <c r="A106" s="35" t="s">
        <v>296</v>
      </c>
      <c r="C106" s="67"/>
      <c r="D106" s="38"/>
      <c r="E106" s="55"/>
      <c r="F106" s="55"/>
      <c r="G106" s="55"/>
      <c r="H106" s="37"/>
    </row>
    <row r="107" spans="1:13" ht="12.75" customHeight="1" x14ac:dyDescent="0.2">
      <c r="A107" s="35" t="s">
        <v>301</v>
      </c>
      <c r="D107" s="37"/>
      <c r="E107" s="37"/>
      <c r="F107" s="37"/>
      <c r="G107" s="37"/>
    </row>
    <row r="108" spans="1:13" ht="3.75" customHeight="1" x14ac:dyDescent="0.2"/>
    <row r="109" spans="1:13" x14ac:dyDescent="0.2">
      <c r="C109" s="35" t="s">
        <v>129</v>
      </c>
    </row>
    <row r="110" spans="1:13" x14ac:dyDescent="0.2">
      <c r="C110" s="35" t="s">
        <v>140</v>
      </c>
      <c r="E110" s="133">
        <v>1</v>
      </c>
    </row>
    <row r="112" spans="1:13" x14ac:dyDescent="0.2">
      <c r="C112" s="275"/>
    </row>
    <row r="113" spans="3:3" x14ac:dyDescent="0.2">
      <c r="C113" s="213"/>
    </row>
    <row r="128" spans="3:3" ht="24.75" customHeight="1" x14ac:dyDescent="0.2"/>
  </sheetData>
  <phoneticPr fontId="8" type="noConversion"/>
  <printOptions horizontalCentered="1"/>
  <pageMargins left="0.25" right="0.25" top="0.75" bottom="0.75" header="0.3" footer="0.3"/>
  <pageSetup scale="57" fitToWidth="0" orientation="portrait" r:id="rId1"/>
  <headerFooter alignWithMargins="0">
    <oddFooter>&amp;L&amp;8NPC Group - &amp;F   ( &amp;A )&amp;C &amp;R &amp;8&amp;D  &amp;T</oddFooter>
  </headerFooter>
  <rowBreaks count="1" manualBreakCount="1">
    <brk id="61" max="1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X111"/>
  <sheetViews>
    <sheetView topLeftCell="A68" zoomScaleNormal="100" workbookViewId="0">
      <selection activeCell="E93" sqref="E93"/>
    </sheetView>
  </sheetViews>
  <sheetFormatPr defaultRowHeight="12.75" x14ac:dyDescent="0.2"/>
  <cols>
    <col min="1" max="1" width="9.33203125" style="35"/>
    <col min="2" max="10" width="8.5" style="35" customWidth="1"/>
    <col min="11" max="11" width="8.5" style="37" customWidth="1"/>
    <col min="12" max="13" width="8.5" style="35" customWidth="1"/>
    <col min="14" max="15" width="15.33203125" style="35" customWidth="1"/>
    <col min="16" max="16384" width="9.33203125" style="35"/>
  </cols>
  <sheetData>
    <row r="1" spans="1:13" s="5" customFormat="1" ht="15.75" x14ac:dyDescent="0.25">
      <c r="A1" s="1" t="s">
        <v>153</v>
      </c>
      <c r="B1" s="1"/>
      <c r="C1" s="1"/>
      <c r="D1" s="1"/>
      <c r="E1" s="6"/>
      <c r="F1" s="1"/>
      <c r="G1" s="1"/>
      <c r="H1" s="1"/>
      <c r="I1" s="1"/>
      <c r="J1" s="13"/>
      <c r="K1" s="14"/>
      <c r="L1" s="6"/>
      <c r="M1" s="6"/>
    </row>
    <row r="2" spans="1:13" s="7" customFormat="1" ht="15" x14ac:dyDescent="0.25">
      <c r="A2" s="3" t="s">
        <v>132</v>
      </c>
      <c r="B2" s="3"/>
      <c r="C2" s="3"/>
      <c r="D2" s="3"/>
      <c r="E2" s="3"/>
      <c r="F2" s="3"/>
      <c r="G2" s="3"/>
      <c r="H2" s="3"/>
      <c r="I2" s="3"/>
      <c r="J2" s="3"/>
      <c r="K2" s="15"/>
      <c r="L2" s="13"/>
      <c r="M2" s="13"/>
    </row>
    <row r="3" spans="1:13" s="7" customFormat="1" ht="15" x14ac:dyDescent="0.25">
      <c r="A3" s="3" t="str">
        <f>"Avoided Resource ("&amp;A10&amp;" through "&amp;MAX(A10:A27)&amp;")"</f>
        <v>Avoided Resource (2016 through 2027)</v>
      </c>
      <c r="B3" s="3"/>
      <c r="C3" s="3"/>
      <c r="D3" s="3"/>
      <c r="E3" s="3"/>
      <c r="F3" s="3"/>
      <c r="G3" s="3"/>
      <c r="H3" s="3"/>
      <c r="I3" s="3"/>
      <c r="J3" s="3"/>
      <c r="K3" s="15"/>
      <c r="L3" s="13"/>
      <c r="M3" s="13"/>
    </row>
    <row r="4" spans="1:13" ht="15" x14ac:dyDescent="0.25">
      <c r="A4" s="3" t="s">
        <v>36</v>
      </c>
      <c r="B4" s="3"/>
      <c r="C4" s="3"/>
      <c r="D4" s="3"/>
      <c r="E4" s="3"/>
      <c r="F4" s="3"/>
      <c r="G4" s="3"/>
      <c r="H4" s="3"/>
      <c r="I4" s="3"/>
      <c r="J4" s="3"/>
      <c r="K4" s="15"/>
      <c r="L4" s="13"/>
      <c r="M4" s="13"/>
    </row>
    <row r="5" spans="1:13" x14ac:dyDescent="0.2">
      <c r="B5" s="40"/>
      <c r="C5" s="40"/>
      <c r="D5" s="40"/>
      <c r="E5" s="4"/>
      <c r="F5" s="4"/>
      <c r="G5" s="4"/>
      <c r="H5" s="4"/>
      <c r="I5" s="4"/>
      <c r="J5" s="4"/>
      <c r="K5" s="16"/>
    </row>
    <row r="6" spans="1:13" x14ac:dyDescent="0.2">
      <c r="A6" s="41" t="s">
        <v>2</v>
      </c>
      <c r="B6" s="42" t="s">
        <v>56</v>
      </c>
      <c r="C6" s="43"/>
      <c r="D6" s="43"/>
      <c r="E6" s="42"/>
      <c r="F6" s="42"/>
      <c r="G6" s="42" t="s">
        <v>57</v>
      </c>
      <c r="H6" s="42"/>
      <c r="I6" s="42"/>
      <c r="J6" s="42"/>
      <c r="K6" s="42" t="s">
        <v>56</v>
      </c>
      <c r="L6" s="42"/>
      <c r="M6" s="42"/>
    </row>
    <row r="7" spans="1:13" x14ac:dyDescent="0.2">
      <c r="A7" s="44"/>
      <c r="B7" s="45" t="s">
        <v>44</v>
      </c>
      <c r="C7" s="45" t="s">
        <v>45</v>
      </c>
      <c r="D7" s="45" t="s">
        <v>46</v>
      </c>
      <c r="E7" s="45" t="s">
        <v>47</v>
      </c>
      <c r="F7" s="46" t="s">
        <v>48</v>
      </c>
      <c r="G7" s="45" t="s">
        <v>49</v>
      </c>
      <c r="H7" s="45" t="s">
        <v>50</v>
      </c>
      <c r="I7" s="45" t="s">
        <v>51</v>
      </c>
      <c r="J7" s="46" t="s">
        <v>52</v>
      </c>
      <c r="K7" s="45" t="s">
        <v>53</v>
      </c>
      <c r="L7" s="45" t="s">
        <v>54</v>
      </c>
      <c r="M7" s="46" t="s">
        <v>55</v>
      </c>
    </row>
    <row r="8" spans="1:13" x14ac:dyDescent="0.2"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</row>
    <row r="9" spans="1:13" ht="12.75" customHeight="1" x14ac:dyDescent="0.2">
      <c r="A9" s="12" t="str">
        <f>'Table 2A BaseLoad'!A27</f>
        <v>On-Peak (1)</v>
      </c>
      <c r="C9" s="40"/>
      <c r="D9" s="40"/>
      <c r="E9" s="40"/>
      <c r="F9" s="40"/>
      <c r="G9" s="40"/>
      <c r="H9" s="40"/>
      <c r="I9" s="40"/>
      <c r="J9" s="40"/>
      <c r="K9" s="48"/>
      <c r="L9" s="37"/>
      <c r="M9" s="37"/>
    </row>
    <row r="10" spans="1:13" ht="12.75" customHeight="1" x14ac:dyDescent="0.2">
      <c r="A10" s="49">
        <f>'Tables 3 to 5'!$B$13</f>
        <v>2016</v>
      </c>
      <c r="B10" s="50"/>
      <c r="C10" s="51"/>
      <c r="D10" s="51"/>
      <c r="E10" s="51"/>
      <c r="F10" s="52">
        <f>'Table 2A BaseLoad'!F28-INDEX('Table 10'!$E:$E,MATCH($A10,'Table 10'!$B:$B,0),1)</f>
        <v>13.687809598846481</v>
      </c>
      <c r="G10" s="51">
        <f>'Table 2A BaseLoad'!G28-INDEX('Table 10'!$E:$E,MATCH($A10,'Table 10'!$B:$B,0),1)</f>
        <v>14.398581565375068</v>
      </c>
      <c r="H10" s="51">
        <f>'Table 2A BaseLoad'!H28-INDEX('Table 10'!$E:$E,MATCH($A10,'Table 10'!$B:$B,0),1)</f>
        <v>23.878946356573369</v>
      </c>
      <c r="I10" s="51">
        <f>'Table 2A BaseLoad'!I28-INDEX('Table 10'!$E:$E,MATCH($A10,'Table 10'!$B:$B,0),1)</f>
        <v>23.537902629233368</v>
      </c>
      <c r="J10" s="52">
        <f>'Table 2A BaseLoad'!J28-INDEX('Table 10'!$E:$E,MATCH($A10,'Table 10'!$B:$B,0),1)</f>
        <v>21.97613307769673</v>
      </c>
      <c r="K10" s="51">
        <f>'Table 2A BaseLoad'!K28-INDEX('Table 10'!$E:$E,MATCH($A10,'Table 10'!$B:$B,0),1)</f>
        <v>16.878002390978413</v>
      </c>
      <c r="L10" s="51">
        <f>'Table 2A BaseLoad'!L28-INDEX('Table 10'!$E:$E,MATCH($A10,'Table 10'!$B:$B,0),1)</f>
        <v>16.793173404220571</v>
      </c>
      <c r="M10" s="52">
        <f>'Table 2A BaseLoad'!M28-INDEX('Table 10'!$E:$E,MATCH($A10,'Table 10'!$B:$B,0),1)</f>
        <v>22.458503418412324</v>
      </c>
    </row>
    <row r="11" spans="1:13" ht="12.75" customHeight="1" x14ac:dyDescent="0.2">
      <c r="A11" s="53">
        <f t="shared" ref="A11:A21" si="0">A10+1</f>
        <v>2017</v>
      </c>
      <c r="B11" s="54">
        <f>'Table 2A BaseLoad'!B29-INDEX('Table 10'!$E:$E,MATCH($A11,'Table 10'!$B:$B,0),1)</f>
        <v>20.627321386128081</v>
      </c>
      <c r="C11" s="55">
        <f>'Table 2A BaseLoad'!C29-INDEX('Table 10'!$E:$E,MATCH($A11,'Table 10'!$B:$B,0),1)</f>
        <v>21.518783034458906</v>
      </c>
      <c r="D11" s="55">
        <f>'Table 2A BaseLoad'!D29-INDEX('Table 10'!$E:$E,MATCH($A11,'Table 10'!$B:$B,0),1)</f>
        <v>19.766429372965444</v>
      </c>
      <c r="E11" s="55">
        <f>'Table 2A BaseLoad'!E29-INDEX('Table 10'!$E:$E,MATCH($A11,'Table 10'!$B:$B,0),1)</f>
        <v>19.136372388689512</v>
      </c>
      <c r="F11" s="56">
        <f>'Table 2A BaseLoad'!F29-INDEX('Table 10'!$E:$E,MATCH($A11,'Table 10'!$B:$B,0),1)</f>
        <v>17.04391254625062</v>
      </c>
      <c r="G11" s="55">
        <f>'Table 2A BaseLoad'!G29-INDEX('Table 10'!$E:$E,MATCH($A11,'Table 10'!$B:$B,0),1)</f>
        <v>16.851363339108744</v>
      </c>
      <c r="H11" s="55">
        <f>'Table 2A BaseLoad'!H29-INDEX('Table 10'!$E:$E,MATCH($A11,'Table 10'!$B:$B,0),1)</f>
        <v>26.123257446760292</v>
      </c>
      <c r="I11" s="55">
        <f>'Table 2A BaseLoad'!I29-INDEX('Table 10'!$E:$E,MATCH($A11,'Table 10'!$B:$B,0),1)</f>
        <v>24.310974634275777</v>
      </c>
      <c r="J11" s="56">
        <f>'Table 2A BaseLoad'!J29-INDEX('Table 10'!$E:$E,MATCH($A11,'Table 10'!$B:$B,0),1)</f>
        <v>20.035817122784874</v>
      </c>
      <c r="K11" s="55">
        <f>'Table 2A BaseLoad'!K29-INDEX('Table 10'!$E:$E,MATCH($A11,'Table 10'!$B:$B,0),1)</f>
        <v>17.922424865515577</v>
      </c>
      <c r="L11" s="55">
        <f>'Table 2A BaseLoad'!L29-INDEX('Table 10'!$E:$E,MATCH($A11,'Table 10'!$B:$B,0),1)</f>
        <v>20.609097143568384</v>
      </c>
      <c r="M11" s="56">
        <f>'Table 2A BaseLoad'!M29-INDEX('Table 10'!$E:$E,MATCH($A11,'Table 10'!$B:$B,0),1)</f>
        <v>24.040999734675982</v>
      </c>
    </row>
    <row r="12" spans="1:13" ht="12.75" customHeight="1" x14ac:dyDescent="0.2">
      <c r="A12" s="53">
        <f t="shared" si="0"/>
        <v>2018</v>
      </c>
      <c r="B12" s="54">
        <f>'Table 2A BaseLoad'!B30-INDEX('Table 10'!$E:$E,MATCH($A12,'Table 10'!$B:$B,0),1)</f>
        <v>24.578707963835672</v>
      </c>
      <c r="C12" s="55">
        <f>'Table 2A BaseLoad'!C30-INDEX('Table 10'!$E:$E,MATCH($A12,'Table 10'!$B:$B,0),1)</f>
        <v>23.078086579553922</v>
      </c>
      <c r="D12" s="55">
        <f>'Table 2A BaseLoad'!D30-INDEX('Table 10'!$E:$E,MATCH($A12,'Table 10'!$B:$B,0),1)</f>
        <v>21.080147563337366</v>
      </c>
      <c r="E12" s="55">
        <f>'Table 2A BaseLoad'!E30-INDEX('Table 10'!$E:$E,MATCH($A12,'Table 10'!$B:$B,0),1)</f>
        <v>21.852910244554767</v>
      </c>
      <c r="F12" s="56">
        <f>'Table 2A BaseLoad'!F30-INDEX('Table 10'!$E:$E,MATCH($A12,'Table 10'!$B:$B,0),1)</f>
        <v>19.076036251730365</v>
      </c>
      <c r="G12" s="55">
        <f>'Table 2A BaseLoad'!G30-INDEX('Table 10'!$E:$E,MATCH($A12,'Table 10'!$B:$B,0),1)</f>
        <v>19.360552331176699</v>
      </c>
      <c r="H12" s="55">
        <f>'Table 2A BaseLoad'!H30-INDEX('Table 10'!$E:$E,MATCH($A12,'Table 10'!$B:$B,0),1)</f>
        <v>28.430969948777076</v>
      </c>
      <c r="I12" s="55">
        <f>'Table 2A BaseLoad'!I30-INDEX('Table 10'!$E:$E,MATCH($A12,'Table 10'!$B:$B,0),1)</f>
        <v>25.967477226368207</v>
      </c>
      <c r="J12" s="56">
        <f>'Table 2A BaseLoad'!J30-INDEX('Table 10'!$E:$E,MATCH($A12,'Table 10'!$B:$B,0),1)</f>
        <v>20.920733096332235</v>
      </c>
      <c r="K12" s="55">
        <f>'Table 2A BaseLoad'!K30-INDEX('Table 10'!$E:$E,MATCH($A12,'Table 10'!$B:$B,0),1)</f>
        <v>19.889248512213449</v>
      </c>
      <c r="L12" s="55">
        <f>'Table 2A BaseLoad'!L30-INDEX('Table 10'!$E:$E,MATCH($A12,'Table 10'!$B:$B,0),1)</f>
        <v>23.917482386480973</v>
      </c>
      <c r="M12" s="56">
        <f>'Table 2A BaseLoad'!M30-INDEX('Table 10'!$E:$E,MATCH($A12,'Table 10'!$B:$B,0),1)</f>
        <v>26.225846127614055</v>
      </c>
    </row>
    <row r="13" spans="1:13" ht="12.75" customHeight="1" x14ac:dyDescent="0.2">
      <c r="A13" s="53">
        <f t="shared" si="0"/>
        <v>2019</v>
      </c>
      <c r="B13" s="54">
        <f>'Table 2A BaseLoad'!B31-INDEX('Table 10'!$E:$E,MATCH($A13,'Table 10'!$B:$B,0),1)</f>
        <v>25.224431271445873</v>
      </c>
      <c r="C13" s="55">
        <f>'Table 2A BaseLoad'!C31-INDEX('Table 10'!$E:$E,MATCH($A13,'Table 10'!$B:$B,0),1)</f>
        <v>24.214170950103291</v>
      </c>
      <c r="D13" s="55">
        <f>'Table 2A BaseLoad'!D31-INDEX('Table 10'!$E:$E,MATCH($A13,'Table 10'!$B:$B,0),1)</f>
        <v>21.837900450551011</v>
      </c>
      <c r="E13" s="55">
        <f>'Table 2A BaseLoad'!E31-INDEX('Table 10'!$E:$E,MATCH($A13,'Table 10'!$B:$B,0),1)</f>
        <v>20.155421148790683</v>
      </c>
      <c r="F13" s="56">
        <f>'Table 2A BaseLoad'!F31-INDEX('Table 10'!$E:$E,MATCH($A13,'Table 10'!$B:$B,0),1)</f>
        <v>20.24764570982115</v>
      </c>
      <c r="G13" s="55">
        <f>'Table 2A BaseLoad'!G31-INDEX('Table 10'!$E:$E,MATCH($A13,'Table 10'!$B:$B,0),1)</f>
        <v>20.65273758845569</v>
      </c>
      <c r="H13" s="55">
        <f>'Table 2A BaseLoad'!H31-INDEX('Table 10'!$E:$E,MATCH($A13,'Table 10'!$B:$B,0),1)</f>
        <v>29.347262218443745</v>
      </c>
      <c r="I13" s="55">
        <f>'Table 2A BaseLoad'!I31-INDEX('Table 10'!$E:$E,MATCH($A13,'Table 10'!$B:$B,0),1)</f>
        <v>28.64589984953491</v>
      </c>
      <c r="J13" s="56">
        <f>'Table 2A BaseLoad'!J31-INDEX('Table 10'!$E:$E,MATCH($A13,'Table 10'!$B:$B,0),1)</f>
        <v>26.081460563774769</v>
      </c>
      <c r="K13" s="55">
        <f>'Table 2A BaseLoad'!K31-INDEX('Table 10'!$E:$E,MATCH($A13,'Table 10'!$B:$B,0),1)</f>
        <v>21.042827084690725</v>
      </c>
      <c r="L13" s="55">
        <f>'Table 2A BaseLoad'!L31-INDEX('Table 10'!$E:$E,MATCH($A13,'Table 10'!$B:$B,0),1)</f>
        <v>24.498410818629996</v>
      </c>
      <c r="M13" s="56">
        <f>'Table 2A BaseLoad'!M31-INDEX('Table 10'!$E:$E,MATCH($A13,'Table 10'!$B:$B,0),1)</f>
        <v>26.849141923247892</v>
      </c>
    </row>
    <row r="14" spans="1:13" ht="12.75" customHeight="1" x14ac:dyDescent="0.2">
      <c r="A14" s="53">
        <f t="shared" si="0"/>
        <v>2020</v>
      </c>
      <c r="B14" s="54">
        <f>'Table 2A BaseLoad'!B32-INDEX('Table 10'!$E:$E,MATCH($A14,'Table 10'!$B:$B,0),1)</f>
        <v>26.698296292831404</v>
      </c>
      <c r="C14" s="55">
        <f>'Table 2A BaseLoad'!C32-INDEX('Table 10'!$E:$E,MATCH($A14,'Table 10'!$B:$B,0),1)</f>
        <v>25.121810197615474</v>
      </c>
      <c r="D14" s="55">
        <f>'Table 2A BaseLoad'!D32-INDEX('Table 10'!$E:$E,MATCH($A14,'Table 10'!$B:$B,0),1)</f>
        <v>28.510157762885108</v>
      </c>
      <c r="E14" s="55">
        <f>'Table 2A BaseLoad'!E32-INDEX('Table 10'!$E:$E,MATCH($A14,'Table 10'!$B:$B,0),1)</f>
        <v>23.318328908339375</v>
      </c>
      <c r="F14" s="56">
        <f>'Table 2A BaseLoad'!F32-INDEX('Table 10'!$E:$E,MATCH($A14,'Table 10'!$B:$B,0),1)</f>
        <v>21.375898279029837</v>
      </c>
      <c r="G14" s="55">
        <f>'Table 2A BaseLoad'!G32-INDEX('Table 10'!$E:$E,MATCH($A14,'Table 10'!$B:$B,0),1)</f>
        <v>21.774275919902571</v>
      </c>
      <c r="H14" s="55">
        <f>'Table 2A BaseLoad'!H32-INDEX('Table 10'!$E:$E,MATCH($A14,'Table 10'!$B:$B,0),1)</f>
        <v>31.433758618052394</v>
      </c>
      <c r="I14" s="55">
        <f>'Table 2A BaseLoad'!I32-INDEX('Table 10'!$E:$E,MATCH($A14,'Table 10'!$B:$B,0),1)</f>
        <v>28.643096914476288</v>
      </c>
      <c r="J14" s="56">
        <f>'Table 2A BaseLoad'!J32-INDEX('Table 10'!$E:$E,MATCH($A14,'Table 10'!$B:$B,0),1)</f>
        <v>25.040034830049642</v>
      </c>
      <c r="K14" s="55">
        <f>'Table 2A BaseLoad'!K32-INDEX('Table 10'!$E:$E,MATCH($A14,'Table 10'!$B:$B,0),1)</f>
        <v>24.050179748091416</v>
      </c>
      <c r="L14" s="55">
        <f>'Table 2A BaseLoad'!L32-INDEX('Table 10'!$E:$E,MATCH($A14,'Table 10'!$B:$B,0),1)</f>
        <v>26.670684092505503</v>
      </c>
      <c r="M14" s="56">
        <f>'Table 2A BaseLoad'!M32-INDEX('Table 10'!$E:$E,MATCH($A14,'Table 10'!$B:$B,0),1)</f>
        <v>28.195590234096841</v>
      </c>
    </row>
    <row r="15" spans="1:13" ht="12.75" customHeight="1" x14ac:dyDescent="0.2">
      <c r="A15" s="53">
        <f t="shared" si="0"/>
        <v>2021</v>
      </c>
      <c r="B15" s="54">
        <f>'Table 2A BaseLoad'!B33-INDEX('Table 10'!$E:$E,MATCH($A15,'Table 10'!$B:$B,0),1)</f>
        <v>28.739885914675597</v>
      </c>
      <c r="C15" s="55">
        <f>'Table 2A BaseLoad'!C33-INDEX('Table 10'!$E:$E,MATCH($A15,'Table 10'!$B:$B,0),1)</f>
        <v>27.751794269305044</v>
      </c>
      <c r="D15" s="55">
        <f>'Table 2A BaseLoad'!D33-INDEX('Table 10'!$E:$E,MATCH($A15,'Table 10'!$B:$B,0),1)</f>
        <v>25.553853473058666</v>
      </c>
      <c r="E15" s="55">
        <f>'Table 2A BaseLoad'!E33-INDEX('Table 10'!$E:$E,MATCH($A15,'Table 10'!$B:$B,0),1)</f>
        <v>24.660458826231558</v>
      </c>
      <c r="F15" s="56">
        <f>'Table 2A BaseLoad'!F33-INDEX('Table 10'!$E:$E,MATCH($A15,'Table 10'!$B:$B,0),1)</f>
        <v>21.597437773892178</v>
      </c>
      <c r="G15" s="55">
        <f>'Table 2A BaseLoad'!G33-INDEX('Table 10'!$E:$E,MATCH($A15,'Table 10'!$B:$B,0),1)</f>
        <v>21.358117581051797</v>
      </c>
      <c r="H15" s="55">
        <f>'Table 2A BaseLoad'!H33-INDEX('Table 10'!$E:$E,MATCH($A15,'Table 10'!$B:$B,0),1)</f>
        <v>33.349342129552674</v>
      </c>
      <c r="I15" s="55">
        <f>'Table 2A BaseLoad'!I33-INDEX('Table 10'!$E:$E,MATCH($A15,'Table 10'!$B:$B,0),1)</f>
        <v>32.916205020410935</v>
      </c>
      <c r="J15" s="56">
        <f>'Table 2A BaseLoad'!J33-INDEX('Table 10'!$E:$E,MATCH($A15,'Table 10'!$B:$B,0),1)</f>
        <v>30.632824358407952</v>
      </c>
      <c r="K15" s="55">
        <f>'Table 2A BaseLoad'!K33-INDEX('Table 10'!$E:$E,MATCH($A15,'Table 10'!$B:$B,0),1)</f>
        <v>25.938726702826141</v>
      </c>
      <c r="L15" s="55">
        <f>'Table 2A BaseLoad'!L33-INDEX('Table 10'!$E:$E,MATCH($A15,'Table 10'!$B:$B,0),1)</f>
        <v>28.895730541089812</v>
      </c>
      <c r="M15" s="56">
        <f>'Table 2A BaseLoad'!M33-INDEX('Table 10'!$E:$E,MATCH($A15,'Table 10'!$B:$B,0),1)</f>
        <v>30.870767235496537</v>
      </c>
    </row>
    <row r="16" spans="1:13" ht="12.75" customHeight="1" x14ac:dyDescent="0.2">
      <c r="A16" s="53">
        <f t="shared" si="0"/>
        <v>2022</v>
      </c>
      <c r="B16" s="54">
        <f>'Table 2A BaseLoad'!B34-INDEX('Table 10'!$E:$E,MATCH($A16,'Table 10'!$B:$B,0),1)</f>
        <v>30.711707406583834</v>
      </c>
      <c r="C16" s="55">
        <f>'Table 2A BaseLoad'!C34-INDEX('Table 10'!$E:$E,MATCH($A16,'Table 10'!$B:$B,0),1)</f>
        <v>29.733781472992675</v>
      </c>
      <c r="D16" s="55">
        <f>'Table 2A BaseLoad'!D34-INDEX('Table 10'!$E:$E,MATCH($A16,'Table 10'!$B:$B,0),1)</f>
        <v>27.57825315226777</v>
      </c>
      <c r="E16" s="55">
        <f>'Table 2A BaseLoad'!E34-INDEX('Table 10'!$E:$E,MATCH($A16,'Table 10'!$B:$B,0),1)</f>
        <v>24.84849284380951</v>
      </c>
      <c r="F16" s="56">
        <f>'Table 2A BaseLoad'!F34-INDEX('Table 10'!$E:$E,MATCH($A16,'Table 10'!$B:$B,0),1)</f>
        <v>24.066380577209685</v>
      </c>
      <c r="G16" s="55">
        <f>'Table 2A BaseLoad'!G34-INDEX('Table 10'!$E:$E,MATCH($A16,'Table 10'!$B:$B,0),1)</f>
        <v>26.288969692708072</v>
      </c>
      <c r="H16" s="55">
        <f>'Table 2A BaseLoad'!H34-INDEX('Table 10'!$E:$E,MATCH($A16,'Table 10'!$B:$B,0),1)</f>
        <v>35.822230242890647</v>
      </c>
      <c r="I16" s="55">
        <f>'Table 2A BaseLoad'!I34-INDEX('Table 10'!$E:$E,MATCH($A16,'Table 10'!$B:$B,0),1)</f>
        <v>36.263017495878472</v>
      </c>
      <c r="J16" s="56">
        <f>'Table 2A BaseLoad'!J34-INDEX('Table 10'!$E:$E,MATCH($A16,'Table 10'!$B:$B,0),1)</f>
        <v>34.735664134577888</v>
      </c>
      <c r="K16" s="55">
        <f>'Table 2A BaseLoad'!K34-INDEX('Table 10'!$E:$E,MATCH($A16,'Table 10'!$B:$B,0),1)</f>
        <v>28.660786380909457</v>
      </c>
      <c r="L16" s="55">
        <f>'Table 2A BaseLoad'!L34-INDEX('Table 10'!$E:$E,MATCH($A16,'Table 10'!$B:$B,0),1)</f>
        <v>29.983528009725553</v>
      </c>
      <c r="M16" s="56">
        <f>'Table 2A BaseLoad'!M34-INDEX('Table 10'!$E:$E,MATCH($A16,'Table 10'!$B:$B,0),1)</f>
        <v>31.763475961027495</v>
      </c>
    </row>
    <row r="17" spans="1:24" ht="12.75" customHeight="1" x14ac:dyDescent="0.2">
      <c r="A17" s="53">
        <f t="shared" si="0"/>
        <v>2023</v>
      </c>
      <c r="B17" s="54">
        <f>'Table 2A BaseLoad'!B35-INDEX('Table 10'!$E:$E,MATCH($A17,'Table 10'!$B:$B,0),1)</f>
        <v>33.416767456655009</v>
      </c>
      <c r="C17" s="55">
        <f>'Table 2A BaseLoad'!C35-INDEX('Table 10'!$E:$E,MATCH($A17,'Table 10'!$B:$B,0),1)</f>
        <v>24.569339039233146</v>
      </c>
      <c r="D17" s="55">
        <f>'Table 2A BaseLoad'!D35-INDEX('Table 10'!$E:$E,MATCH($A17,'Table 10'!$B:$B,0),1)</f>
        <v>30.126071157468395</v>
      </c>
      <c r="E17" s="55">
        <f>'Table 2A BaseLoad'!E35-INDEX('Table 10'!$E:$E,MATCH($A17,'Table 10'!$B:$B,0),1)</f>
        <v>26.321353456444147</v>
      </c>
      <c r="F17" s="56">
        <f>'Table 2A BaseLoad'!F35-INDEX('Table 10'!$E:$E,MATCH($A17,'Table 10'!$B:$B,0),1)</f>
        <v>25.73269527663761</v>
      </c>
      <c r="G17" s="55">
        <f>'Table 2A BaseLoad'!G35-INDEX('Table 10'!$E:$E,MATCH($A17,'Table 10'!$B:$B,0),1)</f>
        <v>29.022247908009497</v>
      </c>
      <c r="H17" s="55">
        <f>'Table 2A BaseLoad'!H35-INDEX('Table 10'!$E:$E,MATCH($A17,'Table 10'!$B:$B,0),1)</f>
        <v>38.705819707426713</v>
      </c>
      <c r="I17" s="55">
        <f>'Table 2A BaseLoad'!I35-INDEX('Table 10'!$E:$E,MATCH($A17,'Table 10'!$B:$B,0),1)</f>
        <v>39.273701078398076</v>
      </c>
      <c r="J17" s="56">
        <f>'Table 2A BaseLoad'!J35-INDEX('Table 10'!$E:$E,MATCH($A17,'Table 10'!$B:$B,0),1)</f>
        <v>37.803748744115424</v>
      </c>
      <c r="K17" s="55">
        <f>'Table 2A BaseLoad'!K35-INDEX('Table 10'!$E:$E,MATCH($A17,'Table 10'!$B:$B,0),1)</f>
        <v>30.321338280679093</v>
      </c>
      <c r="L17" s="55">
        <f>'Table 2A BaseLoad'!L35-INDEX('Table 10'!$E:$E,MATCH($A17,'Table 10'!$B:$B,0),1)</f>
        <v>32.983649509565822</v>
      </c>
      <c r="M17" s="56">
        <f>'Table 2A BaseLoad'!M35-INDEX('Table 10'!$E:$E,MATCH($A17,'Table 10'!$B:$B,0),1)</f>
        <v>35.662375514472942</v>
      </c>
    </row>
    <row r="18" spans="1:24" ht="12.75" customHeight="1" x14ac:dyDescent="0.2">
      <c r="A18" s="53">
        <f t="shared" si="0"/>
        <v>2024</v>
      </c>
      <c r="B18" s="54">
        <f>'Table 2A BaseLoad'!B36-INDEX('Table 10'!$E:$E,MATCH($A18,'Table 10'!$B:$B,0),1)</f>
        <v>36.82052519885486</v>
      </c>
      <c r="C18" s="55">
        <f>'Table 2A BaseLoad'!C36-INDEX('Table 10'!$E:$E,MATCH($A18,'Table 10'!$B:$B,0),1)</f>
        <v>35.01385016134391</v>
      </c>
      <c r="D18" s="55">
        <f>'Table 2A BaseLoad'!D36-INDEX('Table 10'!$E:$E,MATCH($A18,'Table 10'!$B:$B,0),1)</f>
        <v>31.829733731932361</v>
      </c>
      <c r="E18" s="55">
        <f>'Table 2A BaseLoad'!E36-INDEX('Table 10'!$E:$E,MATCH($A18,'Table 10'!$B:$B,0),1)</f>
        <v>28.536970862143583</v>
      </c>
      <c r="F18" s="56">
        <f>'Table 2A BaseLoad'!F36-INDEX('Table 10'!$E:$E,MATCH($A18,'Table 10'!$B:$B,0),1)</f>
        <v>27.768069024716457</v>
      </c>
      <c r="G18" s="55">
        <f>'Table 2A BaseLoad'!G36-INDEX('Table 10'!$E:$E,MATCH($A18,'Table 10'!$B:$B,0),1)</f>
        <v>31.623948143976531</v>
      </c>
      <c r="H18" s="55">
        <f>'Table 2A BaseLoad'!H36-INDEX('Table 10'!$E:$E,MATCH($A18,'Table 10'!$B:$B,0),1)</f>
        <v>42.63606640952797</v>
      </c>
      <c r="I18" s="55">
        <f>'Table 2A BaseLoad'!I36-INDEX('Table 10'!$E:$E,MATCH($A18,'Table 10'!$B:$B,0),1)</f>
        <v>43.603974825634594</v>
      </c>
      <c r="J18" s="56">
        <f>'Table 2A BaseLoad'!J36-INDEX('Table 10'!$E:$E,MATCH($A18,'Table 10'!$B:$B,0),1)</f>
        <v>40.131862063701789</v>
      </c>
      <c r="K18" s="55">
        <f>'Table 2A BaseLoad'!K36-INDEX('Table 10'!$E:$E,MATCH($A18,'Table 10'!$B:$B,0),1)</f>
        <v>34.885830498133025</v>
      </c>
      <c r="L18" s="55">
        <f>'Table 2A BaseLoad'!L36-INDEX('Table 10'!$E:$E,MATCH($A18,'Table 10'!$B:$B,0),1)</f>
        <v>38.662394618404669</v>
      </c>
      <c r="M18" s="56">
        <f>'Table 2A BaseLoad'!M36-INDEX('Table 10'!$E:$E,MATCH($A18,'Table 10'!$B:$B,0),1)</f>
        <v>42.154804199304856</v>
      </c>
    </row>
    <row r="19" spans="1:24" ht="12.75" customHeight="1" x14ac:dyDescent="0.2">
      <c r="A19" s="53">
        <f t="shared" si="0"/>
        <v>2025</v>
      </c>
      <c r="B19" s="54">
        <f>'Table 2A BaseLoad'!B37-INDEX('Table 10'!$E:$E,MATCH($A19,'Table 10'!$B:$B,0),1)</f>
        <v>38.281275978230468</v>
      </c>
      <c r="C19" s="55">
        <f>'Table 2A BaseLoad'!C37-INDEX('Table 10'!$E:$E,MATCH($A19,'Table 10'!$B:$B,0),1)</f>
        <v>51.098811398084429</v>
      </c>
      <c r="D19" s="55">
        <f>'Table 2A BaseLoad'!D37-INDEX('Table 10'!$E:$E,MATCH($A19,'Table 10'!$B:$B,0),1)</f>
        <v>30.853207713813987</v>
      </c>
      <c r="E19" s="55">
        <f>'Table 2A BaseLoad'!E37-INDEX('Table 10'!$E:$E,MATCH($A19,'Table 10'!$B:$B,0),1)</f>
        <v>32.601152939030271</v>
      </c>
      <c r="F19" s="56">
        <f>'Table 2A BaseLoad'!F37-INDEX('Table 10'!$E:$E,MATCH($A19,'Table 10'!$B:$B,0),1)</f>
        <v>29.733677110525957</v>
      </c>
      <c r="G19" s="55">
        <f>'Table 2A BaseLoad'!G37-INDEX('Table 10'!$E:$E,MATCH($A19,'Table 10'!$B:$B,0),1)</f>
        <v>34.341865356942236</v>
      </c>
      <c r="H19" s="55">
        <f>'Table 2A BaseLoad'!H37-INDEX('Table 10'!$E:$E,MATCH($A19,'Table 10'!$B:$B,0),1)</f>
        <v>46.044029294712537</v>
      </c>
      <c r="I19" s="55">
        <f>'Table 2A BaseLoad'!I37-INDEX('Table 10'!$E:$E,MATCH($A19,'Table 10'!$B:$B,0),1)</f>
        <v>45.861409715891064</v>
      </c>
      <c r="J19" s="56">
        <f>'Table 2A BaseLoad'!J37-INDEX('Table 10'!$E:$E,MATCH($A19,'Table 10'!$B:$B,0),1)</f>
        <v>39.013313157948609</v>
      </c>
      <c r="K19" s="55">
        <f>'Table 2A BaseLoad'!K37-INDEX('Table 10'!$E:$E,MATCH($A19,'Table 10'!$B:$B,0),1)</f>
        <v>36.200468601838196</v>
      </c>
      <c r="L19" s="55">
        <f>'Table 2A BaseLoad'!L37-INDEX('Table 10'!$E:$E,MATCH($A19,'Table 10'!$B:$B,0),1)</f>
        <v>37.066734893876898</v>
      </c>
      <c r="M19" s="56">
        <f>'Table 2A BaseLoad'!M37-INDEX('Table 10'!$E:$E,MATCH($A19,'Table 10'!$B:$B,0),1)</f>
        <v>40.51081852950572</v>
      </c>
    </row>
    <row r="20" spans="1:24" ht="12.75" customHeight="1" x14ac:dyDescent="0.2">
      <c r="A20" s="53">
        <f t="shared" si="0"/>
        <v>2026</v>
      </c>
      <c r="B20" s="54">
        <f>'Table 2A BaseLoad'!B38-INDEX('Table 10'!$E:$E,MATCH($A20,'Table 10'!$B:$B,0),1)</f>
        <v>39.488015297034941</v>
      </c>
      <c r="C20" s="55">
        <f>'Table 2A BaseLoad'!C38-INDEX('Table 10'!$E:$E,MATCH($A20,'Table 10'!$B:$B,0),1)</f>
        <v>39.335964193777542</v>
      </c>
      <c r="D20" s="55">
        <f>'Table 2A BaseLoad'!D38-INDEX('Table 10'!$E:$E,MATCH($A20,'Table 10'!$B:$B,0),1)</f>
        <v>35.475445656588803</v>
      </c>
      <c r="E20" s="55">
        <f>'Table 2A BaseLoad'!E38-INDEX('Table 10'!$E:$E,MATCH($A20,'Table 10'!$B:$B,0),1)</f>
        <v>31.747893788371837</v>
      </c>
      <c r="F20" s="56">
        <f>'Table 2A BaseLoad'!F38-INDEX('Table 10'!$E:$E,MATCH($A20,'Table 10'!$B:$B,0),1)</f>
        <v>31.683038026488081</v>
      </c>
      <c r="G20" s="55">
        <f>'Table 2A BaseLoad'!G38-INDEX('Table 10'!$E:$E,MATCH($A20,'Table 10'!$B:$B,0),1)</f>
        <v>35.427607272220079</v>
      </c>
      <c r="H20" s="55">
        <f>'Table 2A BaseLoad'!H38-INDEX('Table 10'!$E:$E,MATCH($A20,'Table 10'!$B:$B,0),1)</f>
        <v>47.735268156169589</v>
      </c>
      <c r="I20" s="55">
        <f>'Table 2A BaseLoad'!I38-INDEX('Table 10'!$E:$E,MATCH($A20,'Table 10'!$B:$B,0),1)</f>
        <v>47.592015394543438</v>
      </c>
      <c r="J20" s="56">
        <f>'Table 2A BaseLoad'!J38-INDEX('Table 10'!$E:$E,MATCH($A20,'Table 10'!$B:$B,0),1)</f>
        <v>40.380048308213084</v>
      </c>
      <c r="K20" s="55">
        <f>'Table 2A BaseLoad'!K38-INDEX('Table 10'!$E:$E,MATCH($A20,'Table 10'!$B:$B,0),1)</f>
        <v>36.524492884027062</v>
      </c>
      <c r="L20" s="55">
        <f>'Table 2A BaseLoad'!L38-INDEX('Table 10'!$E:$E,MATCH($A20,'Table 10'!$B:$B,0),1)</f>
        <v>38.837603996241029</v>
      </c>
      <c r="M20" s="56">
        <f>'Table 2A BaseLoad'!M38-INDEX('Table 10'!$E:$E,MATCH($A20,'Table 10'!$B:$B,0),1)</f>
        <v>41.8564235697905</v>
      </c>
    </row>
    <row r="21" spans="1:24" ht="12.75" customHeight="1" x14ac:dyDescent="0.2">
      <c r="A21" s="53">
        <f t="shared" si="0"/>
        <v>2027</v>
      </c>
      <c r="B21" s="54">
        <f>'Table 2A BaseLoad'!B39-INDEX('Table 10'!$E:$E,MATCH($A21,'Table 10'!$B:$B,0),1)</f>
        <v>40.673503977406369</v>
      </c>
      <c r="C21" s="55">
        <f>'Table 2A BaseLoad'!C39-INDEX('Table 10'!$E:$E,MATCH($A21,'Table 10'!$B:$B,0),1)</f>
        <v>41.665266917286168</v>
      </c>
      <c r="D21" s="55">
        <f>'Table 2A BaseLoad'!D39-INDEX('Table 10'!$E:$E,MATCH($A21,'Table 10'!$B:$B,0),1)</f>
        <v>37.70313153096911</v>
      </c>
      <c r="E21" s="55">
        <f>'Table 2A BaseLoad'!E39-INDEX('Table 10'!$E:$E,MATCH($A21,'Table 10'!$B:$B,0),1)</f>
        <v>34.875831686545176</v>
      </c>
      <c r="F21" s="56">
        <f>'Table 2A BaseLoad'!F39-INDEX('Table 10'!$E:$E,MATCH($A21,'Table 10'!$B:$B,0),1)</f>
        <v>32.498434908861249</v>
      </c>
      <c r="G21" s="55">
        <f>'Table 2A BaseLoad'!G39-INDEX('Table 10'!$E:$E,MATCH($A21,'Table 10'!$B:$B,0),1)</f>
        <v>37.023724453409272</v>
      </c>
      <c r="H21" s="55">
        <f>'Table 2A BaseLoad'!H39-INDEX('Table 10'!$E:$E,MATCH($A21,'Table 10'!$B:$B,0),1)</f>
        <v>49.292888796937817</v>
      </c>
      <c r="I21" s="55">
        <f>'Table 2A BaseLoad'!I39-INDEX('Table 10'!$E:$E,MATCH($A21,'Table 10'!$B:$B,0),1)</f>
        <v>49.80293664990873</v>
      </c>
      <c r="J21" s="56">
        <f>'Table 2A BaseLoad'!J39-INDEX('Table 10'!$E:$E,MATCH($A21,'Table 10'!$B:$B,0),1)</f>
        <v>42.87334625259809</v>
      </c>
      <c r="K21" s="55">
        <f>'Table 2A BaseLoad'!K39-INDEX('Table 10'!$E:$E,MATCH($A21,'Table 10'!$B:$B,0),1)</f>
        <v>40.377940974752782</v>
      </c>
      <c r="L21" s="55">
        <f>'Table 2A BaseLoad'!L39-INDEX('Table 10'!$E:$E,MATCH($A21,'Table 10'!$B:$B,0),1)</f>
        <v>42.401161075267154</v>
      </c>
      <c r="M21" s="56">
        <f>'Table 2A BaseLoad'!M39-INDEX('Table 10'!$E:$E,MATCH($A21,'Table 10'!$B:$B,0),1)</f>
        <v>45.779769495955208</v>
      </c>
    </row>
    <row r="22" spans="1:24" ht="12.75" customHeight="1" x14ac:dyDescent="0.2">
      <c r="A22" s="53"/>
      <c r="B22" s="54"/>
      <c r="C22" s="55"/>
      <c r="D22" s="55"/>
      <c r="E22" s="55"/>
      <c r="F22" s="56"/>
      <c r="G22" s="55"/>
      <c r="H22" s="55"/>
      <c r="I22" s="55"/>
      <c r="J22" s="56"/>
      <c r="K22" s="55"/>
      <c r="L22" s="55"/>
      <c r="M22" s="56"/>
    </row>
    <row r="23" spans="1:24" ht="12.75" hidden="1" customHeight="1" x14ac:dyDescent="0.2">
      <c r="A23" s="53"/>
      <c r="B23" s="54"/>
      <c r="C23" s="55"/>
      <c r="D23" s="55"/>
      <c r="E23" s="55"/>
      <c r="F23" s="56"/>
      <c r="G23" s="55"/>
      <c r="H23" s="55"/>
      <c r="I23" s="55"/>
      <c r="J23" s="56"/>
      <c r="K23" s="55"/>
      <c r="L23" s="55"/>
      <c r="M23" s="56"/>
    </row>
    <row r="24" spans="1:24" ht="12.75" hidden="1" customHeight="1" x14ac:dyDescent="0.2">
      <c r="A24" s="53"/>
      <c r="B24" s="54"/>
      <c r="C24" s="55"/>
      <c r="D24" s="55"/>
      <c r="E24" s="55"/>
      <c r="F24" s="56"/>
      <c r="G24" s="55"/>
      <c r="H24" s="55"/>
      <c r="I24" s="55"/>
      <c r="J24" s="56"/>
      <c r="K24" s="55"/>
      <c r="L24" s="55"/>
      <c r="M24" s="56"/>
    </row>
    <row r="25" spans="1:24" ht="12.75" hidden="1" customHeight="1" x14ac:dyDescent="0.2">
      <c r="A25" s="57"/>
      <c r="B25" s="58"/>
      <c r="C25" s="59"/>
      <c r="D25" s="59"/>
      <c r="E25" s="59"/>
      <c r="F25" s="60"/>
      <c r="G25" s="59"/>
      <c r="H25" s="59"/>
      <c r="I25" s="59"/>
      <c r="J25" s="60"/>
      <c r="K25" s="59"/>
      <c r="L25" s="59"/>
      <c r="M25" s="60"/>
    </row>
    <row r="26" spans="1:24" ht="12.75" customHeight="1" x14ac:dyDescent="0.2">
      <c r="A26" s="111"/>
      <c r="B26" s="109"/>
      <c r="C26" s="109"/>
      <c r="D26" s="109"/>
      <c r="E26" s="109"/>
      <c r="F26" s="108"/>
      <c r="G26" s="108"/>
      <c r="H26" s="108"/>
      <c r="I26" s="108"/>
      <c r="J26" s="110"/>
      <c r="K26" s="108"/>
      <c r="L26" s="108"/>
      <c r="M26" s="108"/>
    </row>
    <row r="27" spans="1:24" ht="12.75" customHeight="1" x14ac:dyDescent="0.2">
      <c r="A27" s="12" t="s">
        <v>227</v>
      </c>
      <c r="C27" s="40"/>
      <c r="D27" s="40"/>
      <c r="E27" s="40"/>
      <c r="G27" s="40"/>
      <c r="H27" s="40"/>
      <c r="I27" s="40"/>
      <c r="J27" s="48"/>
      <c r="L27" s="40"/>
      <c r="M27" s="37"/>
    </row>
    <row r="28" spans="1:24" ht="12.75" customHeight="1" x14ac:dyDescent="0.2">
      <c r="A28" s="49">
        <f>'Tables 3 to 5'!$B$13</f>
        <v>2016</v>
      </c>
      <c r="B28" s="50"/>
      <c r="C28" s="51"/>
      <c r="D28" s="51"/>
      <c r="E28" s="51"/>
      <c r="F28" s="52">
        <f>'Table 2A BaseLoad'!F46-INDEX('Table 10'!$E:$E,MATCH($A10,'Table 10'!$B:$B,0),1)</f>
        <v>10.990248497333237</v>
      </c>
      <c r="G28" s="51">
        <f>'Table 2A BaseLoad'!G46-INDEX('Table 10'!$E:$E,MATCH($A10,'Table 10'!$B:$B,0),1)</f>
        <v>10.887804840353969</v>
      </c>
      <c r="H28" s="51">
        <f>'Table 2A BaseLoad'!H46-INDEX('Table 10'!$E:$E,MATCH($A10,'Table 10'!$B:$B,0),1)</f>
        <v>15.941993073804131</v>
      </c>
      <c r="I28" s="51">
        <f>'Table 2A BaseLoad'!I46-INDEX('Table 10'!$E:$E,MATCH($A10,'Table 10'!$B:$B,0),1)</f>
        <v>16.789452466515748</v>
      </c>
      <c r="J28" s="52">
        <f>'Table 2A BaseLoad'!J46-INDEX('Table 10'!$E:$E,MATCH($A10,'Table 10'!$B:$B,0),1)</f>
        <v>17.910492270825408</v>
      </c>
      <c r="K28" s="50">
        <f>'Table 2A BaseLoad'!K46-INDEX('Table 10'!$E:$E,MATCH($A10,'Table 10'!$B:$B,0),1)</f>
        <v>14.283851230047119</v>
      </c>
      <c r="L28" s="51">
        <f>'Table 2A BaseLoad'!L46-INDEX('Table 10'!$E:$E,MATCH($A10,'Table 10'!$B:$B,0),1)</f>
        <v>15.138691326711985</v>
      </c>
      <c r="M28" s="52">
        <f>'Table 2A BaseLoad'!M46-INDEX('Table 10'!$E:$E,MATCH($A10,'Table 10'!$B:$B,0),1)</f>
        <v>18.407918644499151</v>
      </c>
    </row>
    <row r="29" spans="1:24" ht="12.75" customHeight="1" x14ac:dyDescent="0.2">
      <c r="A29" s="53">
        <f t="shared" ref="A29:A39" si="1">A28+1</f>
        <v>2017</v>
      </c>
      <c r="B29" s="54">
        <f>'Table 2A BaseLoad'!B47-INDEX('Table 10'!$E:$E,MATCH($A11,'Table 10'!$B:$B,0),1)</f>
        <v>18.144444101539275</v>
      </c>
      <c r="C29" s="55">
        <f>'Table 2A BaseLoad'!C47-INDEX('Table 10'!$E:$E,MATCH($A11,'Table 10'!$B:$B,0),1)</f>
        <v>18.677281386205323</v>
      </c>
      <c r="D29" s="55">
        <f>'Table 2A BaseLoad'!D47-INDEX('Table 10'!$E:$E,MATCH($A11,'Table 10'!$B:$B,0),1)</f>
        <v>16.64052861763043</v>
      </c>
      <c r="E29" s="55">
        <f>'Table 2A BaseLoad'!E47-INDEX('Table 10'!$E:$E,MATCH($A11,'Table 10'!$B:$B,0),1)</f>
        <v>17.159187738878295</v>
      </c>
      <c r="F29" s="55">
        <f>'Table 2A BaseLoad'!F47-INDEX('Table 10'!$E:$E,MATCH($A11,'Table 10'!$B:$B,0),1)</f>
        <v>13.490592218495809</v>
      </c>
      <c r="G29" s="54">
        <f>'Table 2A BaseLoad'!G47-INDEX('Table 10'!$E:$E,MATCH($A11,'Table 10'!$B:$B,0),1)</f>
        <v>13.467598025233379</v>
      </c>
      <c r="H29" s="55">
        <f>'Table 2A BaseLoad'!H47-INDEX('Table 10'!$E:$E,MATCH($A11,'Table 10'!$B:$B,0),1)</f>
        <v>18.75013575702345</v>
      </c>
      <c r="I29" s="55">
        <f>'Table 2A BaseLoad'!I47-INDEX('Table 10'!$E:$E,MATCH($A11,'Table 10'!$B:$B,0),1)</f>
        <v>18.242305305602301</v>
      </c>
      <c r="J29" s="56">
        <f>'Table 2A BaseLoad'!J47-INDEX('Table 10'!$E:$E,MATCH($A11,'Table 10'!$B:$B,0),1)</f>
        <v>18.544946776929468</v>
      </c>
      <c r="K29" s="54">
        <f>'Table 2A BaseLoad'!K47-INDEX('Table 10'!$E:$E,MATCH($A11,'Table 10'!$B:$B,0),1)</f>
        <v>15.106402817317495</v>
      </c>
      <c r="L29" s="55">
        <f>'Table 2A BaseLoad'!L47-INDEX('Table 10'!$E:$E,MATCH($A11,'Table 10'!$B:$B,0),1)</f>
        <v>18.631263852777359</v>
      </c>
      <c r="M29" s="56">
        <f>'Table 2A BaseLoad'!M47-INDEX('Table 10'!$E:$E,MATCH($A11,'Table 10'!$B:$B,0),1)</f>
        <v>21.937399883800353</v>
      </c>
    </row>
    <row r="30" spans="1:24" ht="12.75" customHeight="1" x14ac:dyDescent="0.2">
      <c r="A30" s="53">
        <f t="shared" si="1"/>
        <v>2018</v>
      </c>
      <c r="B30" s="54">
        <f>'Table 2A BaseLoad'!B48-INDEX('Table 10'!$E:$E,MATCH($A12,'Table 10'!$B:$B,0),1)</f>
        <v>22.403171316229077</v>
      </c>
      <c r="C30" s="55">
        <f>'Table 2A BaseLoad'!C48-INDEX('Table 10'!$E:$E,MATCH($A12,'Table 10'!$B:$B,0),1)</f>
        <v>20.866854775390514</v>
      </c>
      <c r="D30" s="55">
        <f>'Table 2A BaseLoad'!D48-INDEX('Table 10'!$E:$E,MATCH($A12,'Table 10'!$B:$B,0),1)</f>
        <v>19.443943035131092</v>
      </c>
      <c r="E30" s="55">
        <f>'Table 2A BaseLoad'!E48-INDEX('Table 10'!$E:$E,MATCH($A12,'Table 10'!$B:$B,0),1)</f>
        <v>17.190792442657379</v>
      </c>
      <c r="F30" s="55">
        <f>'Table 2A BaseLoad'!F48-INDEX('Table 10'!$E:$E,MATCH($A12,'Table 10'!$B:$B,0),1)</f>
        <v>14.291241855035279</v>
      </c>
      <c r="G30" s="54">
        <f>'Table 2A BaseLoad'!G48-INDEX('Table 10'!$E:$E,MATCH($A12,'Table 10'!$B:$B,0),1)</f>
        <v>13.718556080001118</v>
      </c>
      <c r="H30" s="55">
        <f>'Table 2A BaseLoad'!H48-INDEX('Table 10'!$E:$E,MATCH($A12,'Table 10'!$B:$B,0),1)</f>
        <v>19.757045302055474</v>
      </c>
      <c r="I30" s="55">
        <f>'Table 2A BaseLoad'!I48-INDEX('Table 10'!$E:$E,MATCH($A12,'Table 10'!$B:$B,0),1)</f>
        <v>20.160399307302253</v>
      </c>
      <c r="J30" s="56">
        <f>'Table 2A BaseLoad'!J48-INDEX('Table 10'!$E:$E,MATCH($A12,'Table 10'!$B:$B,0),1)</f>
        <v>18.336617797194023</v>
      </c>
      <c r="K30" s="54">
        <f>'Table 2A BaseLoad'!K48-INDEX('Table 10'!$E:$E,MATCH($A12,'Table 10'!$B:$B,0),1)</f>
        <v>17.673468795859073</v>
      </c>
      <c r="L30" s="55">
        <f>'Table 2A BaseLoad'!L48-INDEX('Table 10'!$E:$E,MATCH($A12,'Table 10'!$B:$B,0),1)</f>
        <v>21.945120356974634</v>
      </c>
      <c r="M30" s="56">
        <f>'Table 2A BaseLoad'!M48-INDEX('Table 10'!$E:$E,MATCH($A12,'Table 10'!$B:$B,0),1)</f>
        <v>24.060122682208267</v>
      </c>
      <c r="N30" s="133"/>
      <c r="O30" s="133"/>
      <c r="P30" s="133"/>
      <c r="Q30" s="133"/>
      <c r="R30" s="133"/>
      <c r="S30" s="133"/>
      <c r="T30" s="133"/>
    </row>
    <row r="31" spans="1:24" ht="12.75" customHeight="1" x14ac:dyDescent="0.2">
      <c r="A31" s="53">
        <f t="shared" si="1"/>
        <v>2019</v>
      </c>
      <c r="B31" s="54">
        <f>'Table 2A BaseLoad'!B49-INDEX('Table 10'!$E:$E,MATCH($A13,'Table 10'!$B:$B,0),1)</f>
        <v>23.156737557678312</v>
      </c>
      <c r="C31" s="55">
        <f>'Table 2A BaseLoad'!C49-INDEX('Table 10'!$E:$E,MATCH($A13,'Table 10'!$B:$B,0),1)</f>
        <v>22.00828391039013</v>
      </c>
      <c r="D31" s="55">
        <f>'Table 2A BaseLoad'!D49-INDEX('Table 10'!$E:$E,MATCH($A13,'Table 10'!$B:$B,0),1)</f>
        <v>20.239774242688132</v>
      </c>
      <c r="E31" s="55">
        <f>'Table 2A BaseLoad'!E49-INDEX('Table 10'!$E:$E,MATCH($A13,'Table 10'!$B:$B,0),1)</f>
        <v>14.687867887609404</v>
      </c>
      <c r="F31" s="55">
        <f>'Table 2A BaseLoad'!F49-INDEX('Table 10'!$E:$E,MATCH($A13,'Table 10'!$B:$B,0),1)</f>
        <v>14.111286720331051</v>
      </c>
      <c r="G31" s="54">
        <f>'Table 2A BaseLoad'!G49-INDEX('Table 10'!$E:$E,MATCH($A13,'Table 10'!$B:$B,0),1)</f>
        <v>13.701574265549681</v>
      </c>
      <c r="H31" s="55">
        <f>'Table 2A BaseLoad'!H49-INDEX('Table 10'!$E:$E,MATCH($A13,'Table 10'!$B:$B,0),1)</f>
        <v>20.766811222012908</v>
      </c>
      <c r="I31" s="55">
        <f>'Table 2A BaseLoad'!I49-INDEX('Table 10'!$E:$E,MATCH($A13,'Table 10'!$B:$B,0),1)</f>
        <v>22.574719879627928</v>
      </c>
      <c r="J31" s="56">
        <f>'Table 2A BaseLoad'!J49-INDEX('Table 10'!$E:$E,MATCH($A13,'Table 10'!$B:$B,0),1)</f>
        <v>23.146901734507761</v>
      </c>
      <c r="K31" s="54">
        <f>'Table 2A BaseLoad'!K49-INDEX('Table 10'!$E:$E,MATCH($A13,'Table 10'!$B:$B,0),1)</f>
        <v>18.916639104531583</v>
      </c>
      <c r="L31" s="55">
        <f>'Table 2A BaseLoad'!L49-INDEX('Table 10'!$E:$E,MATCH($A13,'Table 10'!$B:$B,0),1)</f>
        <v>22.716338012171104</v>
      </c>
      <c r="M31" s="56">
        <f>'Table 2A BaseLoad'!M49-INDEX('Table 10'!$E:$E,MATCH($A13,'Table 10'!$B:$B,0),1)</f>
        <v>24.882728223834597</v>
      </c>
      <c r="N31" s="133"/>
      <c r="O31" s="133"/>
      <c r="P31" s="133"/>
      <c r="Q31" s="133"/>
      <c r="R31" s="133"/>
      <c r="S31" s="133"/>
      <c r="T31" s="133"/>
      <c r="U31" s="133"/>
      <c r="V31" s="133"/>
      <c r="W31" s="133"/>
      <c r="X31" s="133"/>
    </row>
    <row r="32" spans="1:24" ht="12.75" customHeight="1" x14ac:dyDescent="0.2">
      <c r="A32" s="53">
        <f t="shared" si="1"/>
        <v>2020</v>
      </c>
      <c r="B32" s="54">
        <f>'Table 2A BaseLoad'!B50-INDEX('Table 10'!$E:$E,MATCH($A14,'Table 10'!$B:$B,0),1)</f>
        <v>24.483647017740253</v>
      </c>
      <c r="C32" s="55">
        <f>'Table 2A BaseLoad'!C50-INDEX('Table 10'!$E:$E,MATCH($A14,'Table 10'!$B:$B,0),1)</f>
        <v>22.817300276396054</v>
      </c>
      <c r="D32" s="55">
        <f>'Table 2A BaseLoad'!D50-INDEX('Table 10'!$E:$E,MATCH($A14,'Table 10'!$B:$B,0),1)</f>
        <v>26.404830109279686</v>
      </c>
      <c r="E32" s="55">
        <f>'Table 2A BaseLoad'!E50-INDEX('Table 10'!$E:$E,MATCH($A14,'Table 10'!$B:$B,0),1)</f>
        <v>17.693272661908949</v>
      </c>
      <c r="F32" s="55">
        <f>'Table 2A BaseLoad'!F50-INDEX('Table 10'!$E:$E,MATCH($A14,'Table 10'!$B:$B,0),1)</f>
        <v>15.535352305552509</v>
      </c>
      <c r="G32" s="54">
        <f>'Table 2A BaseLoad'!G50-INDEX('Table 10'!$E:$E,MATCH($A14,'Table 10'!$B:$B,0),1)</f>
        <v>15.082446926704657</v>
      </c>
      <c r="H32" s="55">
        <f>'Table 2A BaseLoad'!H50-INDEX('Table 10'!$E:$E,MATCH($A14,'Table 10'!$B:$B,0),1)</f>
        <v>21.785731990208092</v>
      </c>
      <c r="I32" s="55">
        <f>'Table 2A BaseLoad'!I50-INDEX('Table 10'!$E:$E,MATCH($A14,'Table 10'!$B:$B,0),1)</f>
        <v>22.022424516230714</v>
      </c>
      <c r="J32" s="56">
        <f>'Table 2A BaseLoad'!J50-INDEX('Table 10'!$E:$E,MATCH($A14,'Table 10'!$B:$B,0),1)</f>
        <v>21.549560975151795</v>
      </c>
      <c r="K32" s="54">
        <f>'Table 2A BaseLoad'!K50-INDEX('Table 10'!$E:$E,MATCH($A14,'Table 10'!$B:$B,0),1)</f>
        <v>21.351646920371149</v>
      </c>
      <c r="L32" s="55">
        <f>'Table 2A BaseLoad'!L50-INDEX('Table 10'!$E:$E,MATCH($A14,'Table 10'!$B:$B,0),1)</f>
        <v>24.369176827601784</v>
      </c>
      <c r="M32" s="56">
        <f>'Table 2A BaseLoad'!M50-INDEX('Table 10'!$E:$E,MATCH($A14,'Table 10'!$B:$B,0),1)</f>
        <v>25.759294450818718</v>
      </c>
      <c r="N32" s="133"/>
      <c r="O32" s="133"/>
      <c r="P32" s="133"/>
      <c r="Q32" s="133"/>
      <c r="R32" s="133"/>
      <c r="S32" s="133"/>
      <c r="T32" s="133"/>
    </row>
    <row r="33" spans="1:20" ht="12.75" customHeight="1" x14ac:dyDescent="0.2">
      <c r="A33" s="53">
        <f t="shared" si="1"/>
        <v>2021</v>
      </c>
      <c r="B33" s="54">
        <f>'Table 2A BaseLoad'!B51-INDEX('Table 10'!$E:$E,MATCH($A15,'Table 10'!$B:$B,0),1)</f>
        <v>25.524642697586909</v>
      </c>
      <c r="C33" s="55">
        <f>'Table 2A BaseLoad'!C51-INDEX('Table 10'!$E:$E,MATCH($A15,'Table 10'!$B:$B,0),1)</f>
        <v>24.407524760751873</v>
      </c>
      <c r="D33" s="55">
        <f>'Table 2A BaseLoad'!D51-INDEX('Table 10'!$E:$E,MATCH($A15,'Table 10'!$B:$B,0),1)</f>
        <v>22.823549808016672</v>
      </c>
      <c r="E33" s="55">
        <f>'Table 2A BaseLoad'!E51-INDEX('Table 10'!$E:$E,MATCH($A15,'Table 10'!$B:$B,0),1)</f>
        <v>20.864276720494029</v>
      </c>
      <c r="F33" s="55">
        <f>'Table 2A BaseLoad'!F51-INDEX('Table 10'!$E:$E,MATCH($A15,'Table 10'!$B:$B,0),1)</f>
        <v>17.58389027610087</v>
      </c>
      <c r="G33" s="54">
        <f>'Table 2A BaseLoad'!G51-INDEX('Table 10'!$E:$E,MATCH($A15,'Table 10'!$B:$B,0),1)</f>
        <v>16.54108772880199</v>
      </c>
      <c r="H33" s="55">
        <f>'Table 2A BaseLoad'!H51-INDEX('Table 10'!$E:$E,MATCH($A15,'Table 10'!$B:$B,0),1)</f>
        <v>23.405513843441778</v>
      </c>
      <c r="I33" s="55">
        <f>'Table 2A BaseLoad'!I51-INDEX('Table 10'!$E:$E,MATCH($A15,'Table 10'!$B:$B,0),1)</f>
        <v>25.498933940624145</v>
      </c>
      <c r="J33" s="56">
        <f>'Table 2A BaseLoad'!J51-INDEX('Table 10'!$E:$E,MATCH($A15,'Table 10'!$B:$B,0),1)</f>
        <v>26.396619487450714</v>
      </c>
      <c r="K33" s="54">
        <f>'Table 2A BaseLoad'!K51-INDEX('Table 10'!$E:$E,MATCH($A15,'Table 10'!$B:$B,0),1)</f>
        <v>22.500646875648727</v>
      </c>
      <c r="L33" s="55">
        <f>'Table 2A BaseLoad'!L51-INDEX('Table 10'!$E:$E,MATCH($A15,'Table 10'!$B:$B,0),1)</f>
        <v>25.746055773618668</v>
      </c>
      <c r="M33" s="56">
        <f>'Table 2A BaseLoad'!M51-INDEX('Table 10'!$E:$E,MATCH($A15,'Table 10'!$B:$B,0),1)</f>
        <v>27.529239409531463</v>
      </c>
      <c r="N33" s="133"/>
      <c r="O33" s="133"/>
      <c r="P33" s="133"/>
      <c r="Q33" s="133"/>
      <c r="R33" s="133"/>
      <c r="S33" s="133"/>
      <c r="T33" s="133"/>
    </row>
    <row r="34" spans="1:20" ht="12.75" customHeight="1" x14ac:dyDescent="0.2">
      <c r="A34" s="53">
        <f t="shared" si="1"/>
        <v>2022</v>
      </c>
      <c r="B34" s="54">
        <f>'Table 2A BaseLoad'!B52-INDEX('Table 10'!$E:$E,MATCH($A16,'Table 10'!$B:$B,0),1)</f>
        <v>27.436422961161462</v>
      </c>
      <c r="C34" s="55">
        <f>'Table 2A BaseLoad'!C52-INDEX('Table 10'!$E:$E,MATCH($A16,'Table 10'!$B:$B,0),1)</f>
        <v>26.323901782870635</v>
      </c>
      <c r="D34" s="55">
        <f>'Table 2A BaseLoad'!D52-INDEX('Table 10'!$E:$E,MATCH($A16,'Table 10'!$B:$B,0),1)</f>
        <v>24.780298648545795</v>
      </c>
      <c r="E34" s="55">
        <f>'Table 2A BaseLoad'!E52-INDEX('Table 10'!$E:$E,MATCH($A16,'Table 10'!$B:$B,0),1)</f>
        <v>21.24674858999208</v>
      </c>
      <c r="F34" s="55">
        <f>'Table 2A BaseLoad'!F52-INDEX('Table 10'!$E:$E,MATCH($A16,'Table 10'!$B:$B,0),1)</f>
        <v>20.763073768860785</v>
      </c>
      <c r="G34" s="54">
        <f>'Table 2A BaseLoad'!G52-INDEX('Table 10'!$E:$E,MATCH($A16,'Table 10'!$B:$B,0),1)</f>
        <v>21.349576602584236</v>
      </c>
      <c r="H34" s="55">
        <f>'Table 2A BaseLoad'!H52-INDEX('Table 10'!$E:$E,MATCH($A16,'Table 10'!$B:$B,0),1)</f>
        <v>27.370891010178454</v>
      </c>
      <c r="I34" s="55">
        <f>'Table 2A BaseLoad'!I52-INDEX('Table 10'!$E:$E,MATCH($A16,'Table 10'!$B:$B,0),1)</f>
        <v>28.614089548307497</v>
      </c>
      <c r="J34" s="56">
        <f>'Table 2A BaseLoad'!J52-INDEX('Table 10'!$E:$E,MATCH($A16,'Table 10'!$B:$B,0),1)</f>
        <v>29.965293254525122</v>
      </c>
      <c r="K34" s="54">
        <f>'Table 2A BaseLoad'!K52-INDEX('Table 10'!$E:$E,MATCH($A16,'Table 10'!$B:$B,0),1)</f>
        <v>25.166268189599691</v>
      </c>
      <c r="L34" s="55">
        <f>'Table 2A BaseLoad'!L52-INDEX('Table 10'!$E:$E,MATCH($A16,'Table 10'!$B:$B,0),1)</f>
        <v>26.11957222671122</v>
      </c>
      <c r="M34" s="56">
        <f>'Table 2A BaseLoad'!M52-INDEX('Table 10'!$E:$E,MATCH($A16,'Table 10'!$B:$B,0),1)</f>
        <v>28.021284253757209</v>
      </c>
      <c r="N34" s="133"/>
      <c r="O34" s="133"/>
      <c r="P34" s="133"/>
      <c r="Q34" s="133"/>
      <c r="R34" s="133"/>
      <c r="S34" s="133"/>
      <c r="T34" s="133"/>
    </row>
    <row r="35" spans="1:20" ht="12.75" customHeight="1" x14ac:dyDescent="0.2">
      <c r="A35" s="53">
        <f t="shared" si="1"/>
        <v>2023</v>
      </c>
      <c r="B35" s="54">
        <f>'Table 2A BaseLoad'!B53-INDEX('Table 10'!$E:$E,MATCH($A17,'Table 10'!$B:$B,0),1)</f>
        <v>29.503175686507959</v>
      </c>
      <c r="C35" s="55">
        <f>'Table 2A BaseLoad'!C53-INDEX('Table 10'!$E:$E,MATCH($A17,'Table 10'!$B:$B,0),1)</f>
        <v>21.541833225953575</v>
      </c>
      <c r="D35" s="55">
        <f>'Table 2A BaseLoad'!D53-INDEX('Table 10'!$E:$E,MATCH($A17,'Table 10'!$B:$B,0),1)</f>
        <v>27.089336863899319</v>
      </c>
      <c r="E35" s="55">
        <f>'Table 2A BaseLoad'!E53-INDEX('Table 10'!$E:$E,MATCH($A17,'Table 10'!$B:$B,0),1)</f>
        <v>23.477369191680296</v>
      </c>
      <c r="F35" s="55">
        <f>'Table 2A BaseLoad'!F53-INDEX('Table 10'!$E:$E,MATCH($A17,'Table 10'!$B:$B,0),1)</f>
        <v>23.101972919735267</v>
      </c>
      <c r="G35" s="54">
        <f>'Table 2A BaseLoad'!G53-INDEX('Table 10'!$E:$E,MATCH($A17,'Table 10'!$B:$B,0),1)</f>
        <v>24.311900563504562</v>
      </c>
      <c r="H35" s="55">
        <f>'Table 2A BaseLoad'!H53-INDEX('Table 10'!$E:$E,MATCH($A17,'Table 10'!$B:$B,0),1)</f>
        <v>31.698838961541661</v>
      </c>
      <c r="I35" s="55">
        <f>'Table 2A BaseLoad'!I53-INDEX('Table 10'!$E:$E,MATCH($A17,'Table 10'!$B:$B,0),1)</f>
        <v>31.432494742484081</v>
      </c>
      <c r="J35" s="56">
        <f>'Table 2A BaseLoad'!J53-INDEX('Table 10'!$E:$E,MATCH($A17,'Table 10'!$B:$B,0),1)</f>
        <v>32.614156525712218</v>
      </c>
      <c r="K35" s="54">
        <f>'Table 2A BaseLoad'!K53-INDEX('Table 10'!$E:$E,MATCH($A17,'Table 10'!$B:$B,0),1)</f>
        <v>26.871888247376162</v>
      </c>
      <c r="L35" s="55">
        <f>'Table 2A BaseLoad'!L53-INDEX('Table 10'!$E:$E,MATCH($A17,'Table 10'!$B:$B,0),1)</f>
        <v>28.226016406983213</v>
      </c>
      <c r="M35" s="56">
        <f>'Table 2A BaseLoad'!M53-INDEX('Table 10'!$E:$E,MATCH($A17,'Table 10'!$B:$B,0),1)</f>
        <v>31.196860777060046</v>
      </c>
      <c r="N35" s="133"/>
      <c r="O35" s="133"/>
      <c r="P35" s="133"/>
      <c r="Q35" s="133"/>
      <c r="R35" s="133"/>
      <c r="S35" s="133"/>
      <c r="T35" s="133"/>
    </row>
    <row r="36" spans="1:20" ht="12.75" customHeight="1" x14ac:dyDescent="0.2">
      <c r="A36" s="53">
        <f t="shared" si="1"/>
        <v>2024</v>
      </c>
      <c r="B36" s="54">
        <f>'Table 2A BaseLoad'!B54-INDEX('Table 10'!$E:$E,MATCH($A18,'Table 10'!$B:$B,0),1)</f>
        <v>32.245882562395927</v>
      </c>
      <c r="C36" s="55">
        <f>'Table 2A BaseLoad'!C54-INDEX('Table 10'!$E:$E,MATCH($A18,'Table 10'!$B:$B,0),1)</f>
        <v>30.634420938582327</v>
      </c>
      <c r="D36" s="55">
        <f>'Table 2A BaseLoad'!D54-INDEX('Table 10'!$E:$E,MATCH($A18,'Table 10'!$B:$B,0),1)</f>
        <v>28.650482149449186</v>
      </c>
      <c r="E36" s="55">
        <f>'Table 2A BaseLoad'!E54-INDEX('Table 10'!$E:$E,MATCH($A18,'Table 10'!$B:$B,0),1)</f>
        <v>26.203590395278276</v>
      </c>
      <c r="F36" s="55">
        <f>'Table 2A BaseLoad'!F54-INDEX('Table 10'!$E:$E,MATCH($A18,'Table 10'!$B:$B,0),1)</f>
        <v>25.019754282868455</v>
      </c>
      <c r="G36" s="54">
        <f>'Table 2A BaseLoad'!G54-INDEX('Table 10'!$E:$E,MATCH($A18,'Table 10'!$B:$B,0),1)</f>
        <v>27.182850708902372</v>
      </c>
      <c r="H36" s="55">
        <f>'Table 2A BaseLoad'!H54-INDEX('Table 10'!$E:$E,MATCH($A18,'Table 10'!$B:$B,0),1)</f>
        <v>34.676184782257529</v>
      </c>
      <c r="I36" s="55">
        <f>'Table 2A BaseLoad'!I54-INDEX('Table 10'!$E:$E,MATCH($A18,'Table 10'!$B:$B,0),1)</f>
        <v>34.979400852909642</v>
      </c>
      <c r="J36" s="56">
        <f>'Table 2A BaseLoad'!J54-INDEX('Table 10'!$E:$E,MATCH($A18,'Table 10'!$B:$B,0),1)</f>
        <v>33.613873280163794</v>
      </c>
      <c r="K36" s="54">
        <f>'Table 2A BaseLoad'!K54-INDEX('Table 10'!$E:$E,MATCH($A18,'Table 10'!$B:$B,0),1)</f>
        <v>30.119729265865548</v>
      </c>
      <c r="L36" s="55">
        <f>'Table 2A BaseLoad'!L54-INDEX('Table 10'!$E:$E,MATCH($A18,'Table 10'!$B:$B,0),1)</f>
        <v>33.024984179896961</v>
      </c>
      <c r="M36" s="56">
        <f>'Table 2A BaseLoad'!M54-INDEX('Table 10'!$E:$E,MATCH($A18,'Table 10'!$B:$B,0),1)</f>
        <v>37.096979286842597</v>
      </c>
      <c r="N36" s="133"/>
      <c r="O36" s="133"/>
      <c r="P36" s="133"/>
      <c r="Q36" s="133"/>
      <c r="R36" s="133"/>
      <c r="S36" s="133"/>
      <c r="T36" s="133"/>
    </row>
    <row r="37" spans="1:20" ht="12.75" customHeight="1" x14ac:dyDescent="0.2">
      <c r="A37" s="53">
        <f t="shared" si="1"/>
        <v>2025</v>
      </c>
      <c r="B37" s="54">
        <f>'Table 2A BaseLoad'!B55-INDEX('Table 10'!$E:$E,MATCH($A19,'Table 10'!$B:$B,0),1)</f>
        <v>33.964887892692623</v>
      </c>
      <c r="C37" s="55">
        <f>'Table 2A BaseLoad'!C55-INDEX('Table 10'!$E:$E,MATCH($A19,'Table 10'!$B:$B,0),1)</f>
        <v>45.758134603656224</v>
      </c>
      <c r="D37" s="55">
        <f>'Table 2A BaseLoad'!D55-INDEX('Table 10'!$E:$E,MATCH($A19,'Table 10'!$B:$B,0),1)</f>
        <v>28.152571265115853</v>
      </c>
      <c r="E37" s="55">
        <f>'Table 2A BaseLoad'!E55-INDEX('Table 10'!$E:$E,MATCH($A19,'Table 10'!$B:$B,0),1)</f>
        <v>29.774641552435625</v>
      </c>
      <c r="F37" s="55">
        <f>'Table 2A BaseLoad'!F55-INDEX('Table 10'!$E:$E,MATCH($A19,'Table 10'!$B:$B,0),1)</f>
        <v>27.006565125095634</v>
      </c>
      <c r="G37" s="54">
        <f>'Table 2A BaseLoad'!G55-INDEX('Table 10'!$E:$E,MATCH($A19,'Table 10'!$B:$B,0),1)</f>
        <v>29.267072007491297</v>
      </c>
      <c r="H37" s="55">
        <f>'Table 2A BaseLoad'!H55-INDEX('Table 10'!$E:$E,MATCH($A19,'Table 10'!$B:$B,0),1)</f>
        <v>37.432588309748958</v>
      </c>
      <c r="I37" s="55">
        <f>'Table 2A BaseLoad'!I55-INDEX('Table 10'!$E:$E,MATCH($A19,'Table 10'!$B:$B,0),1)</f>
        <v>37.107389775209448</v>
      </c>
      <c r="J37" s="56">
        <f>'Table 2A BaseLoad'!J55-INDEX('Table 10'!$E:$E,MATCH($A19,'Table 10'!$B:$B,0),1)</f>
        <v>32.291313997336047</v>
      </c>
      <c r="K37" s="54">
        <f>'Table 2A BaseLoad'!K55-INDEX('Table 10'!$E:$E,MATCH($A19,'Table 10'!$B:$B,0),1)</f>
        <v>31.186200941161239</v>
      </c>
      <c r="L37" s="55">
        <f>'Table 2A BaseLoad'!L55-INDEX('Table 10'!$E:$E,MATCH($A19,'Table 10'!$B:$B,0),1)</f>
        <v>32.255921744952779</v>
      </c>
      <c r="M37" s="56">
        <f>'Table 2A BaseLoad'!M55-INDEX('Table 10'!$E:$E,MATCH($A19,'Table 10'!$B:$B,0),1)</f>
        <v>35.306405989037223</v>
      </c>
      <c r="N37" s="133"/>
      <c r="O37" s="133"/>
      <c r="P37" s="133"/>
      <c r="Q37" s="133"/>
      <c r="R37" s="133"/>
      <c r="S37" s="133"/>
      <c r="T37" s="133"/>
    </row>
    <row r="38" spans="1:20" ht="12.75" customHeight="1" x14ac:dyDescent="0.2">
      <c r="A38" s="53">
        <f t="shared" si="1"/>
        <v>2026</v>
      </c>
      <c r="B38" s="54">
        <f>'Table 2A BaseLoad'!B56-INDEX('Table 10'!$E:$E,MATCH($A20,'Table 10'!$B:$B,0),1)</f>
        <v>34.915034042784299</v>
      </c>
      <c r="C38" s="55">
        <f>'Table 2A BaseLoad'!C56-INDEX('Table 10'!$E:$E,MATCH($A20,'Table 10'!$B:$B,0),1)</f>
        <v>35.061051887002193</v>
      </c>
      <c r="D38" s="55">
        <f>'Table 2A BaseLoad'!D56-INDEX('Table 10'!$E:$E,MATCH($A20,'Table 10'!$B:$B,0),1)</f>
        <v>32.003281827070836</v>
      </c>
      <c r="E38" s="55">
        <f>'Table 2A BaseLoad'!E56-INDEX('Table 10'!$E:$E,MATCH($A20,'Table 10'!$B:$B,0),1)</f>
        <v>28.957933387238686</v>
      </c>
      <c r="F38" s="55">
        <f>'Table 2A BaseLoad'!F56-INDEX('Table 10'!$E:$E,MATCH($A20,'Table 10'!$B:$B,0),1)</f>
        <v>28.508861012338947</v>
      </c>
      <c r="G38" s="54">
        <f>'Table 2A BaseLoad'!G56-INDEX('Table 10'!$E:$E,MATCH($A20,'Table 10'!$B:$B,0),1)</f>
        <v>30.313931940546919</v>
      </c>
      <c r="H38" s="55">
        <f>'Table 2A BaseLoad'!H56-INDEX('Table 10'!$E:$E,MATCH($A20,'Table 10'!$B:$B,0),1)</f>
        <v>39.323229890626521</v>
      </c>
      <c r="I38" s="55">
        <f>'Table 2A BaseLoad'!I56-INDEX('Table 10'!$E:$E,MATCH($A20,'Table 10'!$B:$B,0),1)</f>
        <v>38.984396011901076</v>
      </c>
      <c r="J38" s="55">
        <f>'Table 2A BaseLoad'!J56-INDEX('Table 10'!$E:$E,MATCH($A20,'Table 10'!$B:$B,0),1)</f>
        <v>34.30199269249475</v>
      </c>
      <c r="K38" s="54">
        <f>'Table 2A BaseLoad'!K56-INDEX('Table 10'!$E:$E,MATCH($A20,'Table 10'!$B:$B,0),1)</f>
        <v>31.90208816377034</v>
      </c>
      <c r="L38" s="55">
        <f>'Table 2A BaseLoad'!L56-INDEX('Table 10'!$E:$E,MATCH($A20,'Table 10'!$B:$B,0),1)</f>
        <v>33.598527458622129</v>
      </c>
      <c r="M38" s="56">
        <f>'Table 2A BaseLoad'!M56-INDEX('Table 10'!$E:$E,MATCH($A20,'Table 10'!$B:$B,0),1)</f>
        <v>36.486158259512365</v>
      </c>
      <c r="N38" s="134"/>
      <c r="O38" s="134"/>
      <c r="P38" s="134"/>
      <c r="Q38" s="134"/>
      <c r="R38" s="134"/>
      <c r="S38" s="134"/>
      <c r="T38" s="134"/>
    </row>
    <row r="39" spans="1:20" ht="12.75" customHeight="1" x14ac:dyDescent="0.2">
      <c r="A39" s="53">
        <f t="shared" si="1"/>
        <v>2027</v>
      </c>
      <c r="B39" s="54">
        <f>'Table 2A BaseLoad'!B57-INDEX('Table 10'!$E:$E,MATCH($A21,'Table 10'!$B:$B,0),1)</f>
        <v>36.027607490757802</v>
      </c>
      <c r="C39" s="55">
        <f>'Table 2A BaseLoad'!C57-INDEX('Table 10'!$E:$E,MATCH($A21,'Table 10'!$B:$B,0),1)</f>
        <v>37.038498356511568</v>
      </c>
      <c r="D39" s="55">
        <f>'Table 2A BaseLoad'!D57-INDEX('Table 10'!$E:$E,MATCH($A21,'Table 10'!$B:$B,0),1)</f>
        <v>34.298718673632749</v>
      </c>
      <c r="E39" s="55">
        <f>'Table 2A BaseLoad'!E57-INDEX('Table 10'!$E:$E,MATCH($A21,'Table 10'!$B:$B,0),1)</f>
        <v>31.914965310500254</v>
      </c>
      <c r="F39" s="55">
        <f>'Table 2A BaseLoad'!F57-INDEX('Table 10'!$E:$E,MATCH($A21,'Table 10'!$B:$B,0),1)</f>
        <v>29.423264127073566</v>
      </c>
      <c r="G39" s="54">
        <f>'Table 2A BaseLoad'!G57-INDEX('Table 10'!$E:$E,MATCH($A21,'Table 10'!$B:$B,0),1)</f>
        <v>31.774376315486084</v>
      </c>
      <c r="H39" s="55">
        <f>'Table 2A BaseLoad'!H57-INDEX('Table 10'!$E:$E,MATCH($A21,'Table 10'!$B:$B,0),1)</f>
        <v>41.109420699507062</v>
      </c>
      <c r="I39" s="55">
        <f>'Table 2A BaseLoad'!I57-INDEX('Table 10'!$E:$E,MATCH($A21,'Table 10'!$B:$B,0),1)</f>
        <v>40.996032985535827</v>
      </c>
      <c r="J39" s="55">
        <f>'Table 2A BaseLoad'!J57-INDEX('Table 10'!$E:$E,MATCH($A21,'Table 10'!$B:$B,0),1)</f>
        <v>36.839593601897093</v>
      </c>
      <c r="K39" s="54">
        <f>'Table 2A BaseLoad'!K57-INDEX('Table 10'!$E:$E,MATCH($A21,'Table 10'!$B:$B,0),1)</f>
        <v>35.375322148062104</v>
      </c>
      <c r="L39" s="55">
        <f>'Table 2A BaseLoad'!L57-INDEX('Table 10'!$E:$E,MATCH($A21,'Table 10'!$B:$B,0),1)</f>
        <v>36.549126736445373</v>
      </c>
      <c r="M39" s="56">
        <f>'Table 2A BaseLoad'!M57-INDEX('Table 10'!$E:$E,MATCH($A21,'Table 10'!$B:$B,0),1)</f>
        <v>39.959291117270865</v>
      </c>
    </row>
    <row r="40" spans="1:20" ht="12.75" customHeight="1" x14ac:dyDescent="0.2">
      <c r="A40" s="53"/>
      <c r="B40" s="54"/>
      <c r="C40" s="55"/>
      <c r="D40" s="55"/>
      <c r="E40" s="55"/>
      <c r="F40" s="55"/>
      <c r="G40" s="54"/>
      <c r="H40" s="55"/>
      <c r="I40" s="55"/>
      <c r="J40" s="55"/>
      <c r="K40" s="54"/>
      <c r="L40" s="55"/>
      <c r="M40" s="56"/>
    </row>
    <row r="41" spans="1:20" ht="12.75" hidden="1" customHeight="1" x14ac:dyDescent="0.2">
      <c r="A41" s="53"/>
      <c r="B41" s="54"/>
      <c r="C41" s="55"/>
      <c r="D41" s="55"/>
      <c r="E41" s="55"/>
      <c r="F41" s="55"/>
      <c r="G41" s="54"/>
      <c r="H41" s="55"/>
      <c r="I41" s="55"/>
      <c r="J41" s="55"/>
      <c r="K41" s="54"/>
      <c r="L41" s="55"/>
      <c r="M41" s="56"/>
    </row>
    <row r="42" spans="1:20" ht="12.75" hidden="1" customHeight="1" x14ac:dyDescent="0.2">
      <c r="A42" s="53"/>
      <c r="B42" s="54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6"/>
    </row>
    <row r="43" spans="1:20" ht="12.75" hidden="1" customHeight="1" x14ac:dyDescent="0.2">
      <c r="A43" s="57"/>
      <c r="B43" s="58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60"/>
    </row>
    <row r="44" spans="1:20" ht="12.75" customHeight="1" x14ac:dyDescent="0.2">
      <c r="A44" s="111"/>
      <c r="B44" s="109"/>
      <c r="C44" s="109"/>
      <c r="D44" s="109"/>
      <c r="E44" s="109"/>
      <c r="F44" s="108"/>
      <c r="G44" s="108"/>
      <c r="H44" s="108"/>
      <c r="I44" s="108"/>
      <c r="J44" s="110"/>
      <c r="K44" s="108"/>
      <c r="L44" s="108"/>
      <c r="M44" s="108"/>
    </row>
    <row r="45" spans="1:20" ht="12.75" customHeight="1" x14ac:dyDescent="0.2">
      <c r="A45" s="12" t="s">
        <v>228</v>
      </c>
      <c r="C45" s="40"/>
      <c r="D45" s="40"/>
      <c r="E45" s="40"/>
      <c r="G45" s="40"/>
      <c r="H45" s="40"/>
      <c r="I45" s="40"/>
      <c r="J45" s="48"/>
      <c r="L45" s="40"/>
      <c r="M45" s="37"/>
    </row>
    <row r="46" spans="1:20" ht="12.75" customHeight="1" x14ac:dyDescent="0.2">
      <c r="A46" s="49">
        <f>'Tables 3 to 5'!$B$13</f>
        <v>2016</v>
      </c>
      <c r="B46" s="50"/>
      <c r="C46" s="51"/>
      <c r="D46" s="51"/>
      <c r="E46" s="51"/>
      <c r="F46" s="51">
        <f t="shared" ref="F46:G46" si="2">F10*0.56+F28*0.44</f>
        <v>12.500882714180655</v>
      </c>
      <c r="G46" s="50">
        <f t="shared" si="2"/>
        <v>12.853839806365785</v>
      </c>
      <c r="H46" s="51">
        <f t="shared" ref="H46:M57" si="3">H10*0.56+H28*0.44</f>
        <v>20.386686912154907</v>
      </c>
      <c r="I46" s="51">
        <f t="shared" si="3"/>
        <v>20.568584557637617</v>
      </c>
      <c r="J46" s="51">
        <f t="shared" si="3"/>
        <v>20.187251122673349</v>
      </c>
      <c r="K46" s="50">
        <f t="shared" si="3"/>
        <v>15.736575880168644</v>
      </c>
      <c r="L46" s="51">
        <f t="shared" si="3"/>
        <v>16.065201290116796</v>
      </c>
      <c r="M46" s="52">
        <f t="shared" si="3"/>
        <v>20.676246117890528</v>
      </c>
    </row>
    <row r="47" spans="1:20" ht="12.75" customHeight="1" x14ac:dyDescent="0.2">
      <c r="A47" s="53">
        <f t="shared" ref="A47:A57" si="4">A46+1</f>
        <v>2017</v>
      </c>
      <c r="B47" s="54">
        <f t="shared" ref="B47:G57" si="5">B11*0.56+B29*0.44</f>
        <v>19.534855380909008</v>
      </c>
      <c r="C47" s="55">
        <f t="shared" si="5"/>
        <v>20.268522309227329</v>
      </c>
      <c r="D47" s="55">
        <f t="shared" si="5"/>
        <v>18.391033040618041</v>
      </c>
      <c r="E47" s="55">
        <f t="shared" si="5"/>
        <v>18.266411142772576</v>
      </c>
      <c r="F47" s="55">
        <f t="shared" si="5"/>
        <v>15.480451602038505</v>
      </c>
      <c r="G47" s="54">
        <f t="shared" si="5"/>
        <v>15.362506601003584</v>
      </c>
      <c r="H47" s="55">
        <f t="shared" si="3"/>
        <v>22.879083903276083</v>
      </c>
      <c r="I47" s="55">
        <f t="shared" si="3"/>
        <v>21.640760129659448</v>
      </c>
      <c r="J47" s="55">
        <f t="shared" si="3"/>
        <v>19.379834170608497</v>
      </c>
      <c r="K47" s="54">
        <f t="shared" si="3"/>
        <v>16.683375164308423</v>
      </c>
      <c r="L47" s="55">
        <f t="shared" si="3"/>
        <v>19.738850495620333</v>
      </c>
      <c r="M47" s="56">
        <f t="shared" si="3"/>
        <v>23.115415800290705</v>
      </c>
    </row>
    <row r="48" spans="1:20" ht="12.75" customHeight="1" x14ac:dyDescent="0.2">
      <c r="A48" s="53">
        <f t="shared" si="4"/>
        <v>2018</v>
      </c>
      <c r="B48" s="54">
        <f t="shared" si="5"/>
        <v>23.621471838888773</v>
      </c>
      <c r="C48" s="55">
        <f t="shared" si="5"/>
        <v>22.105144585722023</v>
      </c>
      <c r="D48" s="55">
        <f t="shared" si="5"/>
        <v>20.360217570926608</v>
      </c>
      <c r="E48" s="55">
        <f t="shared" si="5"/>
        <v>19.801578411719916</v>
      </c>
      <c r="F48" s="55">
        <f t="shared" si="5"/>
        <v>16.97072671718453</v>
      </c>
      <c r="G48" s="54">
        <f t="shared" si="5"/>
        <v>16.878073980659444</v>
      </c>
      <c r="H48" s="55">
        <f t="shared" si="3"/>
        <v>24.614443104219571</v>
      </c>
      <c r="I48" s="55">
        <f t="shared" si="3"/>
        <v>23.41236294197919</v>
      </c>
      <c r="J48" s="55">
        <f t="shared" si="3"/>
        <v>19.783722364711423</v>
      </c>
      <c r="K48" s="54">
        <f t="shared" si="3"/>
        <v>18.914305437017525</v>
      </c>
      <c r="L48" s="55">
        <f t="shared" si="3"/>
        <v>23.049643093498187</v>
      </c>
      <c r="M48" s="56">
        <f t="shared" si="3"/>
        <v>25.272927811635508</v>
      </c>
    </row>
    <row r="49" spans="1:13" ht="12.75" customHeight="1" x14ac:dyDescent="0.2">
      <c r="A49" s="53">
        <f t="shared" si="4"/>
        <v>2019</v>
      </c>
      <c r="B49" s="54">
        <f t="shared" si="5"/>
        <v>24.314646037388147</v>
      </c>
      <c r="C49" s="55">
        <f t="shared" si="5"/>
        <v>23.243580652629504</v>
      </c>
      <c r="D49" s="55">
        <f t="shared" si="5"/>
        <v>21.134724919091347</v>
      </c>
      <c r="E49" s="55">
        <f t="shared" si="5"/>
        <v>17.749697713870923</v>
      </c>
      <c r="F49" s="55">
        <f t="shared" si="5"/>
        <v>17.547647754445507</v>
      </c>
      <c r="G49" s="54">
        <f t="shared" si="5"/>
        <v>17.594225726377047</v>
      </c>
      <c r="H49" s="55">
        <f t="shared" si="3"/>
        <v>25.57186378001418</v>
      </c>
      <c r="I49" s="55">
        <f t="shared" si="3"/>
        <v>25.974580662775839</v>
      </c>
      <c r="J49" s="55">
        <f t="shared" si="3"/>
        <v>24.790254678897284</v>
      </c>
      <c r="K49" s="54">
        <f t="shared" si="3"/>
        <v>20.107304373420703</v>
      </c>
      <c r="L49" s="55">
        <f t="shared" si="3"/>
        <v>23.714298783788085</v>
      </c>
      <c r="M49" s="56">
        <f t="shared" si="3"/>
        <v>25.983919895506045</v>
      </c>
    </row>
    <row r="50" spans="1:13" ht="12.75" customHeight="1" x14ac:dyDescent="0.2">
      <c r="A50" s="53">
        <f t="shared" si="4"/>
        <v>2020</v>
      </c>
      <c r="B50" s="54">
        <f t="shared" si="5"/>
        <v>25.723850611791299</v>
      </c>
      <c r="C50" s="55">
        <f t="shared" si="5"/>
        <v>24.10782583227893</v>
      </c>
      <c r="D50" s="55">
        <f t="shared" si="5"/>
        <v>27.583813595298725</v>
      </c>
      <c r="E50" s="55">
        <f t="shared" si="5"/>
        <v>20.843304159909991</v>
      </c>
      <c r="F50" s="55">
        <f t="shared" si="5"/>
        <v>18.806058050699814</v>
      </c>
      <c r="G50" s="54">
        <f t="shared" si="5"/>
        <v>18.82987116289549</v>
      </c>
      <c r="H50" s="55">
        <f t="shared" si="3"/>
        <v>27.188626901800902</v>
      </c>
      <c r="I50" s="55">
        <f t="shared" si="3"/>
        <v>25.730001059248238</v>
      </c>
      <c r="J50" s="55">
        <f t="shared" si="3"/>
        <v>23.504226333894589</v>
      </c>
      <c r="K50" s="54">
        <f t="shared" si="3"/>
        <v>22.8628253038945</v>
      </c>
      <c r="L50" s="55">
        <f t="shared" si="3"/>
        <v>25.658020895947871</v>
      </c>
      <c r="M50" s="56">
        <f t="shared" si="3"/>
        <v>27.123620089454469</v>
      </c>
    </row>
    <row r="51" spans="1:13" ht="12.75" customHeight="1" x14ac:dyDescent="0.2">
      <c r="A51" s="53">
        <f t="shared" si="4"/>
        <v>2021</v>
      </c>
      <c r="B51" s="54">
        <f t="shared" si="5"/>
        <v>27.325178899156576</v>
      </c>
      <c r="C51" s="55">
        <f t="shared" si="5"/>
        <v>26.280315685541652</v>
      </c>
      <c r="D51" s="55">
        <f t="shared" si="5"/>
        <v>24.352519860440189</v>
      </c>
      <c r="E51" s="55">
        <f t="shared" si="5"/>
        <v>22.990138699707046</v>
      </c>
      <c r="F51" s="55">
        <f t="shared" si="5"/>
        <v>19.831476874864006</v>
      </c>
      <c r="G51" s="54">
        <f t="shared" si="5"/>
        <v>19.238624446061884</v>
      </c>
      <c r="H51" s="55">
        <f t="shared" si="3"/>
        <v>28.974057683663883</v>
      </c>
      <c r="I51" s="55">
        <f t="shared" si="3"/>
        <v>29.652605745304747</v>
      </c>
      <c r="J51" s="55">
        <f t="shared" si="3"/>
        <v>28.768894215186769</v>
      </c>
      <c r="K51" s="54">
        <f t="shared" si="3"/>
        <v>24.425971578868079</v>
      </c>
      <c r="L51" s="55">
        <f t="shared" si="3"/>
        <v>27.509873643402507</v>
      </c>
      <c r="M51" s="56">
        <f t="shared" si="3"/>
        <v>29.400494992071906</v>
      </c>
    </row>
    <row r="52" spans="1:13" ht="12.75" customHeight="1" x14ac:dyDescent="0.2">
      <c r="A52" s="53">
        <f t="shared" si="4"/>
        <v>2022</v>
      </c>
      <c r="B52" s="54">
        <f t="shared" si="5"/>
        <v>29.27058225059799</v>
      </c>
      <c r="C52" s="55">
        <f t="shared" si="5"/>
        <v>28.233434409338976</v>
      </c>
      <c r="D52" s="55">
        <f t="shared" si="5"/>
        <v>26.347153170630101</v>
      </c>
      <c r="E52" s="55">
        <f t="shared" si="5"/>
        <v>23.263725372129841</v>
      </c>
      <c r="F52" s="55">
        <f t="shared" si="5"/>
        <v>22.612925581536167</v>
      </c>
      <c r="G52" s="54">
        <f t="shared" si="5"/>
        <v>24.115636733053584</v>
      </c>
      <c r="H52" s="55">
        <f t="shared" si="3"/>
        <v>32.103640980497289</v>
      </c>
      <c r="I52" s="55">
        <f t="shared" si="3"/>
        <v>32.897489198947248</v>
      </c>
      <c r="J52" s="55">
        <f t="shared" si="3"/>
        <v>32.636700947354669</v>
      </c>
      <c r="K52" s="54">
        <f t="shared" si="3"/>
        <v>27.123198376733164</v>
      </c>
      <c r="L52" s="55">
        <f t="shared" si="3"/>
        <v>28.283387465199247</v>
      </c>
      <c r="M52" s="56">
        <f t="shared" si="3"/>
        <v>30.11691160982857</v>
      </c>
    </row>
    <row r="53" spans="1:13" ht="12.75" customHeight="1" x14ac:dyDescent="0.2">
      <c r="A53" s="53">
        <f t="shared" si="4"/>
        <v>2023</v>
      </c>
      <c r="B53" s="54">
        <f t="shared" si="5"/>
        <v>31.694787077790309</v>
      </c>
      <c r="C53" s="55">
        <f t="shared" si="5"/>
        <v>23.237236481390134</v>
      </c>
      <c r="D53" s="55">
        <f t="shared" si="5"/>
        <v>28.789908068298004</v>
      </c>
      <c r="E53" s="55">
        <f t="shared" si="5"/>
        <v>25.070000379948056</v>
      </c>
      <c r="F53" s="55">
        <f t="shared" si="5"/>
        <v>24.57517743960058</v>
      </c>
      <c r="G53" s="54">
        <f t="shared" si="5"/>
        <v>26.949695076427325</v>
      </c>
      <c r="H53" s="55">
        <f t="shared" si="3"/>
        <v>35.622748179237291</v>
      </c>
      <c r="I53" s="55">
        <f t="shared" si="3"/>
        <v>35.823570290595917</v>
      </c>
      <c r="J53" s="55">
        <f t="shared" si="3"/>
        <v>35.520328168018011</v>
      </c>
      <c r="K53" s="54">
        <f t="shared" si="3"/>
        <v>28.803580266025804</v>
      </c>
      <c r="L53" s="55">
        <f t="shared" si="3"/>
        <v>30.890290944429474</v>
      </c>
      <c r="M53" s="56">
        <f t="shared" si="3"/>
        <v>33.697549030011274</v>
      </c>
    </row>
    <row r="54" spans="1:13" ht="12.75" customHeight="1" x14ac:dyDescent="0.2">
      <c r="A54" s="53">
        <f t="shared" si="4"/>
        <v>2024</v>
      </c>
      <c r="B54" s="54">
        <f t="shared" si="5"/>
        <v>34.807682438812932</v>
      </c>
      <c r="C54" s="55">
        <f t="shared" si="5"/>
        <v>33.086901303328816</v>
      </c>
      <c r="D54" s="55">
        <f t="shared" si="5"/>
        <v>30.430863035639767</v>
      </c>
      <c r="E54" s="55">
        <f t="shared" si="5"/>
        <v>27.510283456722849</v>
      </c>
      <c r="F54" s="55">
        <f t="shared" si="5"/>
        <v>26.558810538303337</v>
      </c>
      <c r="G54" s="54">
        <f t="shared" si="5"/>
        <v>29.669865272543902</v>
      </c>
      <c r="H54" s="55">
        <f t="shared" si="3"/>
        <v>39.133718493528981</v>
      </c>
      <c r="I54" s="55">
        <f t="shared" si="3"/>
        <v>39.809162277635615</v>
      </c>
      <c r="J54" s="55">
        <f t="shared" si="3"/>
        <v>37.263946998945073</v>
      </c>
      <c r="K54" s="54">
        <f t="shared" si="3"/>
        <v>32.78874595593534</v>
      </c>
      <c r="L54" s="55">
        <f t="shared" si="3"/>
        <v>36.181934025461274</v>
      </c>
      <c r="M54" s="56">
        <f t="shared" si="3"/>
        <v>39.929361237821468</v>
      </c>
    </row>
    <row r="55" spans="1:13" ht="12.75" customHeight="1" x14ac:dyDescent="0.2">
      <c r="A55" s="53">
        <f t="shared" si="4"/>
        <v>2025</v>
      </c>
      <c r="B55" s="54">
        <f t="shared" si="5"/>
        <v>36.382065220593816</v>
      </c>
      <c r="C55" s="55">
        <f t="shared" si="5"/>
        <v>48.748913608536022</v>
      </c>
      <c r="D55" s="55">
        <f t="shared" si="5"/>
        <v>29.66492767638681</v>
      </c>
      <c r="E55" s="55">
        <f t="shared" si="5"/>
        <v>31.357487928928627</v>
      </c>
      <c r="F55" s="55">
        <f t="shared" si="5"/>
        <v>28.533747836936612</v>
      </c>
      <c r="G55" s="54">
        <f t="shared" si="5"/>
        <v>32.108956283183829</v>
      </c>
      <c r="H55" s="55">
        <f t="shared" si="3"/>
        <v>42.25499526132856</v>
      </c>
      <c r="I55" s="55">
        <f t="shared" si="3"/>
        <v>42.009640941991151</v>
      </c>
      <c r="J55" s="55">
        <f t="shared" si="3"/>
        <v>36.055633527279085</v>
      </c>
      <c r="K55" s="54">
        <f t="shared" si="3"/>
        <v>33.994190831140337</v>
      </c>
      <c r="L55" s="55">
        <f t="shared" si="3"/>
        <v>34.949977108350289</v>
      </c>
      <c r="M55" s="56">
        <f t="shared" si="3"/>
        <v>38.220877011699585</v>
      </c>
    </row>
    <row r="56" spans="1:13" ht="12.75" customHeight="1" x14ac:dyDescent="0.2">
      <c r="A56" s="53">
        <f t="shared" si="4"/>
        <v>2026</v>
      </c>
      <c r="B56" s="54">
        <f t="shared" si="5"/>
        <v>37.475903545164662</v>
      </c>
      <c r="C56" s="55">
        <f t="shared" si="5"/>
        <v>37.455002778796391</v>
      </c>
      <c r="D56" s="55">
        <f t="shared" si="5"/>
        <v>33.947693571600901</v>
      </c>
      <c r="E56" s="55">
        <f t="shared" si="5"/>
        <v>30.520311211873256</v>
      </c>
      <c r="F56" s="55">
        <f t="shared" si="5"/>
        <v>30.286400140262465</v>
      </c>
      <c r="G56" s="54">
        <f t="shared" si="5"/>
        <v>33.177590126283889</v>
      </c>
      <c r="H56" s="55">
        <f t="shared" si="3"/>
        <v>44.033971319330647</v>
      </c>
      <c r="I56" s="55">
        <f t="shared" si="3"/>
        <v>43.804662866180799</v>
      </c>
      <c r="J56" s="55">
        <f t="shared" si="3"/>
        <v>37.705703837297023</v>
      </c>
      <c r="K56" s="54">
        <f t="shared" si="3"/>
        <v>34.490634807114105</v>
      </c>
      <c r="L56" s="55">
        <f t="shared" si="3"/>
        <v>36.532410319688715</v>
      </c>
      <c r="M56" s="56">
        <f t="shared" si="3"/>
        <v>39.493506833268128</v>
      </c>
    </row>
    <row r="57" spans="1:13" ht="12.75" customHeight="1" x14ac:dyDescent="0.2">
      <c r="A57" s="53">
        <f t="shared" si="4"/>
        <v>2027</v>
      </c>
      <c r="B57" s="54">
        <f t="shared" si="5"/>
        <v>38.629309523281002</v>
      </c>
      <c r="C57" s="55">
        <f t="shared" si="5"/>
        <v>39.629488750545349</v>
      </c>
      <c r="D57" s="55">
        <f t="shared" si="5"/>
        <v>36.205189873741112</v>
      </c>
      <c r="E57" s="55">
        <f t="shared" si="5"/>
        <v>33.57305048108541</v>
      </c>
      <c r="F57" s="55">
        <f t="shared" si="5"/>
        <v>31.145359764874669</v>
      </c>
      <c r="G57" s="54">
        <f t="shared" si="5"/>
        <v>34.71401127272307</v>
      </c>
      <c r="H57" s="55">
        <f t="shared" si="3"/>
        <v>45.692162834068284</v>
      </c>
      <c r="I57" s="55">
        <f t="shared" si="3"/>
        <v>45.927899037584652</v>
      </c>
      <c r="J57" s="55">
        <f t="shared" si="3"/>
        <v>40.21849508628965</v>
      </c>
      <c r="K57" s="54">
        <f t="shared" si="3"/>
        <v>38.176788691008888</v>
      </c>
      <c r="L57" s="55">
        <f t="shared" si="3"/>
        <v>39.826265966185574</v>
      </c>
      <c r="M57" s="56">
        <f t="shared" si="3"/>
        <v>43.2187590093341</v>
      </c>
    </row>
    <row r="58" spans="1:13" ht="12.75" customHeight="1" x14ac:dyDescent="0.2">
      <c r="A58" s="53"/>
      <c r="B58" s="54"/>
      <c r="C58" s="55"/>
      <c r="D58" s="55"/>
      <c r="E58" s="55"/>
      <c r="F58" s="55"/>
      <c r="G58" s="54"/>
      <c r="H58" s="55"/>
      <c r="I58" s="55"/>
      <c r="J58" s="55"/>
      <c r="K58" s="54"/>
      <c r="L58" s="55"/>
      <c r="M58" s="56"/>
    </row>
    <row r="59" spans="1:13" ht="12.75" hidden="1" customHeight="1" x14ac:dyDescent="0.2">
      <c r="A59" s="53"/>
      <c r="B59" s="54"/>
      <c r="C59" s="55"/>
      <c r="D59" s="55"/>
      <c r="E59" s="55"/>
      <c r="F59" s="55"/>
      <c r="G59" s="54"/>
      <c r="H59" s="55"/>
      <c r="I59" s="55"/>
      <c r="J59" s="55"/>
      <c r="K59" s="54"/>
      <c r="L59" s="55"/>
      <c r="M59" s="56"/>
    </row>
    <row r="60" spans="1:13" ht="12.75" hidden="1" customHeight="1" x14ac:dyDescent="0.2">
      <c r="A60" s="53"/>
      <c r="B60" s="54"/>
      <c r="C60" s="55"/>
      <c r="D60" s="55"/>
      <c r="E60" s="55"/>
      <c r="F60" s="55"/>
      <c r="G60" s="54"/>
      <c r="H60" s="55"/>
      <c r="I60" s="55"/>
      <c r="J60" s="55"/>
      <c r="K60" s="54"/>
      <c r="L60" s="55"/>
      <c r="M60" s="56"/>
    </row>
    <row r="61" spans="1:13" ht="12.75" hidden="1" customHeight="1" x14ac:dyDescent="0.2">
      <c r="A61" s="57"/>
      <c r="B61" s="58"/>
      <c r="C61" s="59"/>
      <c r="D61" s="59"/>
      <c r="E61" s="59"/>
      <c r="F61" s="59"/>
      <c r="G61" s="58"/>
      <c r="H61" s="59"/>
      <c r="I61" s="59"/>
      <c r="J61" s="59"/>
      <c r="K61" s="58"/>
      <c r="L61" s="59"/>
      <c r="M61" s="60"/>
    </row>
    <row r="62" spans="1:13" ht="12.75" customHeight="1" x14ac:dyDescent="0.2">
      <c r="A62" s="108"/>
      <c r="B62" s="109"/>
      <c r="C62" s="109"/>
      <c r="D62" s="109"/>
      <c r="E62" s="108"/>
      <c r="F62" s="108"/>
      <c r="G62" s="108"/>
      <c r="H62" s="108"/>
      <c r="I62" s="108"/>
      <c r="J62" s="108"/>
      <c r="K62" s="110"/>
      <c r="L62" s="108"/>
      <c r="M62" s="108"/>
    </row>
    <row r="63" spans="1:13" ht="12.75" customHeight="1" x14ac:dyDescent="0.2">
      <c r="A63" s="12" t="s">
        <v>66</v>
      </c>
      <c r="C63" s="62"/>
      <c r="D63" s="62"/>
      <c r="K63" s="61"/>
    </row>
    <row r="64" spans="1:13" ht="12.75" customHeight="1" x14ac:dyDescent="0.2">
      <c r="A64" s="63" t="s">
        <v>2</v>
      </c>
      <c r="C64" s="64" t="s">
        <v>56</v>
      </c>
      <c r="D64" s="33"/>
      <c r="E64" s="34"/>
      <c r="F64" s="37"/>
      <c r="G64" s="64" t="s">
        <v>57</v>
      </c>
      <c r="H64" s="33"/>
      <c r="I64" s="34"/>
      <c r="J64" s="37"/>
      <c r="K64" s="64" t="s">
        <v>67</v>
      </c>
      <c r="L64" s="33"/>
      <c r="M64" s="34"/>
    </row>
    <row r="65" spans="1:13" s="37" customFormat="1" ht="12.75" customHeight="1" x14ac:dyDescent="0.2">
      <c r="A65" s="47"/>
      <c r="C65" s="17" t="s">
        <v>79</v>
      </c>
      <c r="D65" s="18" t="s">
        <v>1</v>
      </c>
      <c r="E65" s="18" t="s">
        <v>10</v>
      </c>
      <c r="F65" s="47"/>
      <c r="G65" s="17" t="s">
        <v>79</v>
      </c>
      <c r="H65" s="18" t="s">
        <v>1</v>
      </c>
      <c r="I65" s="18" t="s">
        <v>10</v>
      </c>
      <c r="J65" s="47"/>
      <c r="K65" s="17" t="s">
        <v>79</v>
      </c>
      <c r="L65" s="18" t="s">
        <v>1</v>
      </c>
      <c r="M65" s="18" t="s">
        <v>10</v>
      </c>
    </row>
    <row r="66" spans="1:13" s="37" customFormat="1" ht="12.75" customHeight="1" x14ac:dyDescent="0.2">
      <c r="A66" s="65">
        <f t="shared" ref="A66:A77" si="6">A10</f>
        <v>2016</v>
      </c>
      <c r="C66" s="38">
        <f t="shared" ref="C66:C77" si="7">ROUND(AVERAGE(B10:F10,K10:M10),2)</f>
        <v>17.45</v>
      </c>
      <c r="D66" s="38">
        <f t="shared" ref="D66:D77" si="8">ROUND(AVERAGE(B28:F28,K28:M28),2)</f>
        <v>14.71</v>
      </c>
      <c r="E66" s="38">
        <f t="shared" ref="E66:E77" si="9">ROUND(AVERAGE(B46:F46,K46:M46),2)</f>
        <v>16.239999999999998</v>
      </c>
      <c r="G66" s="55">
        <f t="shared" ref="G66:G77" si="10">ROUND(AVERAGE(G10:J10),2)</f>
        <v>20.95</v>
      </c>
      <c r="H66" s="55">
        <f t="shared" ref="H66:H77" si="11">ROUND(AVERAGE(G28:J28),2)</f>
        <v>15.38</v>
      </c>
      <c r="I66" s="55">
        <f t="shared" ref="I66:I77" si="12">ROUND(AVERAGE(G46:J46),2)</f>
        <v>18.5</v>
      </c>
      <c r="K66" s="38">
        <f t="shared" ref="K66:K77" si="13">ROUND(AVERAGE(B10:M10),2)</f>
        <v>19.2</v>
      </c>
      <c r="L66" s="38">
        <f t="shared" ref="L66:L77" si="14">ROUND(AVERAGE(B28:M28),2)</f>
        <v>15.04</v>
      </c>
      <c r="M66" s="38">
        <f t="shared" ref="M66:M77" si="15">ROUND(AVERAGE(B46:M46),2)</f>
        <v>17.37</v>
      </c>
    </row>
    <row r="67" spans="1:13" s="37" customFormat="1" ht="12.75" customHeight="1" x14ac:dyDescent="0.2">
      <c r="A67" s="65">
        <f t="shared" si="6"/>
        <v>2017</v>
      </c>
      <c r="C67" s="38">
        <f t="shared" si="7"/>
        <v>20.079999999999998</v>
      </c>
      <c r="D67" s="38">
        <f t="shared" si="8"/>
        <v>17.47</v>
      </c>
      <c r="E67" s="38">
        <f t="shared" si="9"/>
        <v>18.93</v>
      </c>
      <c r="G67" s="55">
        <f t="shared" si="10"/>
        <v>21.83</v>
      </c>
      <c r="H67" s="55">
        <f t="shared" si="11"/>
        <v>17.25</v>
      </c>
      <c r="I67" s="55">
        <f t="shared" si="12"/>
        <v>19.82</v>
      </c>
      <c r="K67" s="38">
        <f t="shared" si="13"/>
        <v>20.67</v>
      </c>
      <c r="L67" s="38">
        <f t="shared" si="14"/>
        <v>17.399999999999999</v>
      </c>
      <c r="M67" s="38">
        <f t="shared" si="15"/>
        <v>19.23</v>
      </c>
    </row>
    <row r="68" spans="1:13" s="37" customFormat="1" ht="12.75" customHeight="1" x14ac:dyDescent="0.2">
      <c r="A68" s="65">
        <f t="shared" si="6"/>
        <v>2018</v>
      </c>
      <c r="C68" s="38">
        <f t="shared" si="7"/>
        <v>22.46</v>
      </c>
      <c r="D68" s="38">
        <f t="shared" si="8"/>
        <v>19.73</v>
      </c>
      <c r="E68" s="38">
        <f t="shared" si="9"/>
        <v>21.26</v>
      </c>
      <c r="G68" s="55">
        <f t="shared" si="10"/>
        <v>23.67</v>
      </c>
      <c r="H68" s="55">
        <f t="shared" si="11"/>
        <v>17.989999999999998</v>
      </c>
      <c r="I68" s="55">
        <f t="shared" si="12"/>
        <v>21.17</v>
      </c>
      <c r="K68" s="38">
        <f t="shared" si="13"/>
        <v>22.86</v>
      </c>
      <c r="L68" s="38">
        <f t="shared" si="14"/>
        <v>19.149999999999999</v>
      </c>
      <c r="M68" s="38">
        <f t="shared" si="15"/>
        <v>21.23</v>
      </c>
    </row>
    <row r="69" spans="1:13" s="37" customFormat="1" ht="12.75" customHeight="1" x14ac:dyDescent="0.2">
      <c r="A69" s="65">
        <f t="shared" si="6"/>
        <v>2019</v>
      </c>
      <c r="C69" s="38">
        <f t="shared" si="7"/>
        <v>23.01</v>
      </c>
      <c r="D69" s="38">
        <f t="shared" si="8"/>
        <v>20.09</v>
      </c>
      <c r="E69" s="38">
        <f t="shared" si="9"/>
        <v>21.72</v>
      </c>
      <c r="G69" s="55">
        <f t="shared" si="10"/>
        <v>26.18</v>
      </c>
      <c r="H69" s="55">
        <f t="shared" si="11"/>
        <v>20.05</v>
      </c>
      <c r="I69" s="55">
        <f t="shared" si="12"/>
        <v>23.48</v>
      </c>
      <c r="K69" s="38">
        <f t="shared" si="13"/>
        <v>24.07</v>
      </c>
      <c r="L69" s="38">
        <f t="shared" si="14"/>
        <v>20.079999999999998</v>
      </c>
      <c r="M69" s="38">
        <f t="shared" si="15"/>
        <v>22.31</v>
      </c>
    </row>
    <row r="70" spans="1:13" s="37" customFormat="1" ht="12.75" customHeight="1" x14ac:dyDescent="0.2">
      <c r="A70" s="65">
        <f t="shared" si="6"/>
        <v>2020</v>
      </c>
      <c r="C70" s="38">
        <f t="shared" si="7"/>
        <v>25.49</v>
      </c>
      <c r="D70" s="38">
        <f t="shared" si="8"/>
        <v>22.3</v>
      </c>
      <c r="E70" s="38">
        <f t="shared" si="9"/>
        <v>24.09</v>
      </c>
      <c r="G70" s="55">
        <f t="shared" si="10"/>
        <v>26.72</v>
      </c>
      <c r="H70" s="55">
        <f t="shared" si="11"/>
        <v>20.11</v>
      </c>
      <c r="I70" s="55">
        <f t="shared" si="12"/>
        <v>23.81</v>
      </c>
      <c r="K70" s="38">
        <f t="shared" si="13"/>
        <v>25.9</v>
      </c>
      <c r="L70" s="38">
        <f t="shared" si="14"/>
        <v>21.57</v>
      </c>
      <c r="M70" s="38">
        <f t="shared" si="15"/>
        <v>24</v>
      </c>
    </row>
    <row r="71" spans="1:13" s="37" customFormat="1" ht="12.75" customHeight="1" x14ac:dyDescent="0.2">
      <c r="A71" s="65">
        <f t="shared" si="6"/>
        <v>2021</v>
      </c>
      <c r="C71" s="38">
        <f t="shared" si="7"/>
        <v>26.75</v>
      </c>
      <c r="D71" s="38">
        <f t="shared" si="8"/>
        <v>23.37</v>
      </c>
      <c r="E71" s="38">
        <f t="shared" si="9"/>
        <v>25.26</v>
      </c>
      <c r="G71" s="55">
        <f t="shared" si="10"/>
        <v>29.56</v>
      </c>
      <c r="H71" s="55">
        <f t="shared" si="11"/>
        <v>22.96</v>
      </c>
      <c r="I71" s="55">
        <f t="shared" si="12"/>
        <v>26.66</v>
      </c>
      <c r="K71" s="38">
        <f t="shared" si="13"/>
        <v>27.69</v>
      </c>
      <c r="L71" s="38">
        <f t="shared" si="14"/>
        <v>23.24</v>
      </c>
      <c r="M71" s="38">
        <f t="shared" si="15"/>
        <v>25.73</v>
      </c>
    </row>
    <row r="72" spans="1:13" s="37" customFormat="1" ht="12.75" customHeight="1" x14ac:dyDescent="0.2">
      <c r="A72" s="65">
        <f t="shared" si="6"/>
        <v>2022</v>
      </c>
      <c r="C72" s="38">
        <f t="shared" si="7"/>
        <v>28.42</v>
      </c>
      <c r="D72" s="38">
        <f t="shared" si="8"/>
        <v>24.98</v>
      </c>
      <c r="E72" s="38">
        <f t="shared" si="9"/>
        <v>26.91</v>
      </c>
      <c r="G72" s="55">
        <f t="shared" si="10"/>
        <v>33.28</v>
      </c>
      <c r="H72" s="55">
        <f t="shared" si="11"/>
        <v>26.82</v>
      </c>
      <c r="I72" s="55">
        <f t="shared" si="12"/>
        <v>30.44</v>
      </c>
      <c r="K72" s="38">
        <f t="shared" si="13"/>
        <v>30.04</v>
      </c>
      <c r="L72" s="38">
        <f t="shared" si="14"/>
        <v>25.6</v>
      </c>
      <c r="M72" s="38">
        <f t="shared" si="15"/>
        <v>28.08</v>
      </c>
    </row>
    <row r="73" spans="1:13" s="37" customFormat="1" ht="12.75" customHeight="1" x14ac:dyDescent="0.2">
      <c r="A73" s="65">
        <f t="shared" si="6"/>
        <v>2023</v>
      </c>
      <c r="C73" s="38">
        <f t="shared" si="7"/>
        <v>29.89</v>
      </c>
      <c r="D73" s="38">
        <f t="shared" si="8"/>
        <v>26.38</v>
      </c>
      <c r="E73" s="38">
        <f t="shared" si="9"/>
        <v>28.34</v>
      </c>
      <c r="G73" s="55">
        <f t="shared" si="10"/>
        <v>36.200000000000003</v>
      </c>
      <c r="H73" s="55">
        <f t="shared" si="11"/>
        <v>30.01</v>
      </c>
      <c r="I73" s="55">
        <f t="shared" si="12"/>
        <v>33.479999999999997</v>
      </c>
      <c r="K73" s="38">
        <f t="shared" si="13"/>
        <v>31.99</v>
      </c>
      <c r="L73" s="38">
        <f t="shared" si="14"/>
        <v>27.59</v>
      </c>
      <c r="M73" s="38">
        <f t="shared" si="15"/>
        <v>30.06</v>
      </c>
    </row>
    <row r="74" spans="1:13" s="37" customFormat="1" ht="12.75" customHeight="1" x14ac:dyDescent="0.2">
      <c r="A74" s="65">
        <f t="shared" si="6"/>
        <v>2024</v>
      </c>
      <c r="C74" s="38">
        <f t="shared" si="7"/>
        <v>34.46</v>
      </c>
      <c r="D74" s="38">
        <f t="shared" si="8"/>
        <v>30.37</v>
      </c>
      <c r="E74" s="38">
        <f t="shared" si="9"/>
        <v>32.659999999999997</v>
      </c>
      <c r="G74" s="55">
        <f t="shared" si="10"/>
        <v>39.5</v>
      </c>
      <c r="H74" s="55">
        <f t="shared" si="11"/>
        <v>32.61</v>
      </c>
      <c r="I74" s="55">
        <f t="shared" si="12"/>
        <v>36.47</v>
      </c>
      <c r="K74" s="38">
        <f t="shared" si="13"/>
        <v>36.14</v>
      </c>
      <c r="L74" s="38">
        <f t="shared" si="14"/>
        <v>31.12</v>
      </c>
      <c r="M74" s="38">
        <f t="shared" si="15"/>
        <v>33.93</v>
      </c>
    </row>
    <row r="75" spans="1:13" s="37" customFormat="1" ht="12.75" customHeight="1" x14ac:dyDescent="0.2">
      <c r="A75" s="65">
        <f t="shared" si="6"/>
        <v>2025</v>
      </c>
      <c r="C75" s="38">
        <f t="shared" si="7"/>
        <v>37.04</v>
      </c>
      <c r="D75" s="38">
        <f t="shared" si="8"/>
        <v>32.93</v>
      </c>
      <c r="E75" s="38">
        <f t="shared" si="9"/>
        <v>35.229999999999997</v>
      </c>
      <c r="G75" s="55">
        <f t="shared" si="10"/>
        <v>41.32</v>
      </c>
      <c r="H75" s="55">
        <f t="shared" si="11"/>
        <v>34.020000000000003</v>
      </c>
      <c r="I75" s="55">
        <f t="shared" si="12"/>
        <v>38.11</v>
      </c>
      <c r="K75" s="38">
        <f t="shared" si="13"/>
        <v>38.47</v>
      </c>
      <c r="L75" s="38">
        <f t="shared" si="14"/>
        <v>33.29</v>
      </c>
      <c r="M75" s="38">
        <f t="shared" si="15"/>
        <v>36.19</v>
      </c>
    </row>
    <row r="76" spans="1:13" s="37" customFormat="1" ht="12.75" customHeight="1" x14ac:dyDescent="0.2">
      <c r="A76" s="65">
        <f t="shared" si="6"/>
        <v>2026</v>
      </c>
      <c r="C76" s="38">
        <f t="shared" si="7"/>
        <v>36.869999999999997</v>
      </c>
      <c r="D76" s="38">
        <f t="shared" si="8"/>
        <v>32.68</v>
      </c>
      <c r="E76" s="38">
        <f t="shared" si="9"/>
        <v>35.03</v>
      </c>
      <c r="G76" s="55">
        <f t="shared" si="10"/>
        <v>42.78</v>
      </c>
      <c r="H76" s="55">
        <f t="shared" si="11"/>
        <v>35.729999999999997</v>
      </c>
      <c r="I76" s="55">
        <f t="shared" si="12"/>
        <v>39.68</v>
      </c>
      <c r="K76" s="38">
        <f t="shared" si="13"/>
        <v>38.840000000000003</v>
      </c>
      <c r="L76" s="38">
        <f t="shared" si="14"/>
        <v>33.700000000000003</v>
      </c>
      <c r="M76" s="38">
        <f t="shared" si="15"/>
        <v>36.58</v>
      </c>
    </row>
    <row r="77" spans="1:13" s="37" customFormat="1" ht="12.75" customHeight="1" x14ac:dyDescent="0.2">
      <c r="A77" s="65">
        <f t="shared" si="6"/>
        <v>2027</v>
      </c>
      <c r="C77" s="38">
        <f t="shared" si="7"/>
        <v>39.5</v>
      </c>
      <c r="D77" s="38">
        <f t="shared" si="8"/>
        <v>35.07</v>
      </c>
      <c r="E77" s="38">
        <f t="shared" si="9"/>
        <v>37.549999999999997</v>
      </c>
      <c r="G77" s="55">
        <f t="shared" si="10"/>
        <v>44.75</v>
      </c>
      <c r="H77" s="55">
        <f t="shared" si="11"/>
        <v>37.68</v>
      </c>
      <c r="I77" s="55">
        <f t="shared" si="12"/>
        <v>41.64</v>
      </c>
      <c r="K77" s="38">
        <f t="shared" si="13"/>
        <v>41.25</v>
      </c>
      <c r="L77" s="38">
        <f t="shared" si="14"/>
        <v>35.94</v>
      </c>
      <c r="M77" s="38">
        <f t="shared" si="15"/>
        <v>38.909999999999997</v>
      </c>
    </row>
    <row r="78" spans="1:13" s="37" customFormat="1" ht="12.75" customHeight="1" x14ac:dyDescent="0.2">
      <c r="A78" s="65"/>
      <c r="C78" s="38"/>
      <c r="D78" s="38"/>
      <c r="E78" s="38"/>
      <c r="G78" s="55"/>
      <c r="H78" s="55"/>
      <c r="I78" s="55"/>
      <c r="K78" s="38"/>
      <c r="L78" s="38"/>
      <c r="M78" s="38"/>
    </row>
    <row r="79" spans="1:13" s="37" customFormat="1" ht="12.75" customHeight="1" x14ac:dyDescent="0.2">
      <c r="A79" s="65"/>
      <c r="C79" s="38"/>
      <c r="D79" s="38"/>
      <c r="E79" s="38"/>
      <c r="G79" s="55"/>
      <c r="H79" s="55"/>
      <c r="I79" s="55"/>
      <c r="K79" s="38"/>
      <c r="L79" s="38"/>
      <c r="M79" s="38"/>
    </row>
    <row r="80" spans="1:13" s="37" customFormat="1" ht="12.75" hidden="1" customHeight="1" x14ac:dyDescent="0.2">
      <c r="A80" s="66"/>
      <c r="K80" s="61"/>
    </row>
    <row r="81" spans="1:11" s="37" customFormat="1" ht="12.75" hidden="1" customHeight="1" x14ac:dyDescent="0.2">
      <c r="A81" s="66"/>
      <c r="K81" s="61"/>
    </row>
    <row r="82" spans="1:11" s="37" customFormat="1" ht="12.75" customHeight="1" x14ac:dyDescent="0.2">
      <c r="A82" s="35" t="s">
        <v>80</v>
      </c>
      <c r="D82" s="38"/>
      <c r="E82" s="55"/>
      <c r="F82" s="55"/>
      <c r="G82" s="55"/>
      <c r="J82" s="55"/>
      <c r="K82" s="55"/>
    </row>
    <row r="83" spans="1:11" ht="12.75" customHeight="1" x14ac:dyDescent="0.2">
      <c r="A83" s="275" t="s">
        <v>304</v>
      </c>
      <c r="C83" s="67"/>
      <c r="D83" s="38"/>
      <c r="E83" s="55"/>
      <c r="F83" s="55"/>
      <c r="G83" s="55"/>
      <c r="H83" s="37"/>
    </row>
    <row r="84" spans="1:11" ht="12.75" customHeight="1" x14ac:dyDescent="0.2">
      <c r="A84" s="275" t="s">
        <v>305</v>
      </c>
      <c r="C84" s="67"/>
      <c r="D84" s="38"/>
      <c r="E84" s="55"/>
      <c r="F84" s="55"/>
      <c r="G84" s="55"/>
      <c r="H84" s="37"/>
    </row>
    <row r="85" spans="1:11" ht="12.75" customHeight="1" x14ac:dyDescent="0.2">
      <c r="A85" s="213" t="s">
        <v>298</v>
      </c>
      <c r="C85" s="67"/>
      <c r="D85" s="38"/>
      <c r="E85" s="55"/>
      <c r="F85" s="55"/>
      <c r="G85" s="55"/>
      <c r="H85" s="37"/>
    </row>
    <row r="86" spans="1:11" ht="12.75" customHeight="1" x14ac:dyDescent="0.2">
      <c r="A86" s="213" t="s">
        <v>307</v>
      </c>
      <c r="C86" s="67"/>
      <c r="D86" s="38"/>
      <c r="E86" s="55"/>
      <c r="F86" s="55"/>
      <c r="G86" s="55"/>
      <c r="H86" s="37"/>
    </row>
    <row r="87" spans="1:11" ht="12.75" customHeight="1" x14ac:dyDescent="0.2">
      <c r="A87" s="213" t="s">
        <v>299</v>
      </c>
      <c r="C87" s="67"/>
      <c r="D87" s="38"/>
      <c r="E87" s="55"/>
      <c r="F87" s="55"/>
      <c r="G87" s="55"/>
      <c r="H87" s="37"/>
    </row>
    <row r="88" spans="1:11" ht="12.75" customHeight="1" x14ac:dyDescent="0.2">
      <c r="A88" s="213" t="s">
        <v>300</v>
      </c>
      <c r="C88" s="67"/>
      <c r="D88" s="38"/>
      <c r="E88" s="55"/>
      <c r="F88" s="55"/>
      <c r="G88" s="55"/>
      <c r="H88" s="37"/>
    </row>
    <row r="89" spans="1:11" ht="12.75" customHeight="1" x14ac:dyDescent="0.2">
      <c r="A89" s="213" t="s">
        <v>307</v>
      </c>
      <c r="C89" s="67"/>
      <c r="D89" s="38"/>
      <c r="E89" s="55"/>
      <c r="F89" s="55"/>
      <c r="G89" s="55"/>
      <c r="H89" s="37"/>
    </row>
    <row r="90" spans="1:11" ht="12.75" customHeight="1" x14ac:dyDescent="0.2">
      <c r="A90" s="35" t="s">
        <v>301</v>
      </c>
      <c r="D90" s="37"/>
      <c r="E90" s="37"/>
      <c r="F90" s="37"/>
      <c r="G90" s="37"/>
    </row>
    <row r="91" spans="1:11" ht="7.5" customHeight="1" x14ac:dyDescent="0.2"/>
    <row r="92" spans="1:11" x14ac:dyDescent="0.2">
      <c r="C92" s="35" t="s">
        <v>129</v>
      </c>
      <c r="D92" s="133"/>
      <c r="H92" s="35" t="s">
        <v>303</v>
      </c>
    </row>
    <row r="93" spans="1:11" x14ac:dyDescent="0.2">
      <c r="C93" s="35" t="s">
        <v>141</v>
      </c>
      <c r="E93" s="36">
        <v>0.14499999999999999</v>
      </c>
      <c r="H93" s="35" t="str">
        <f>"  "&amp;'Table 10'!$B$1&amp;"  Column "&amp;"(c)"</f>
        <v xml:space="preserve">  Table 10  Column (c)</v>
      </c>
    </row>
    <row r="111" ht="24.75" customHeight="1" x14ac:dyDescent="0.2"/>
  </sheetData>
  <printOptions horizontalCentered="1"/>
  <pageMargins left="0.25" right="0.25" top="0.75" bottom="0.75" header="0.3" footer="0.3"/>
  <pageSetup scale="63" fitToWidth="0" orientation="portrait" r:id="rId1"/>
  <headerFooter alignWithMargins="0">
    <oddFooter>&amp;L&amp;8NPC Group - &amp;F   ( &amp;A )&amp;C &amp;R &amp;8&amp;D  &amp;T</oddFooter>
  </headerFooter>
  <rowBreaks count="1" manualBreakCount="1">
    <brk id="44" max="18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X111"/>
  <sheetViews>
    <sheetView topLeftCell="A53" zoomScaleNormal="100" workbookViewId="0">
      <selection activeCell="F93" sqref="F93"/>
    </sheetView>
  </sheetViews>
  <sheetFormatPr defaultRowHeight="12.75" x14ac:dyDescent="0.2"/>
  <cols>
    <col min="1" max="1" width="9.33203125" style="35"/>
    <col min="2" max="10" width="8.5" style="35" customWidth="1"/>
    <col min="11" max="11" width="8.5" style="37" customWidth="1"/>
    <col min="12" max="13" width="8.5" style="35" customWidth="1"/>
    <col min="14" max="15" width="15.33203125" style="35" customWidth="1"/>
    <col min="16" max="16384" width="9.33203125" style="35"/>
  </cols>
  <sheetData>
    <row r="1" spans="1:13" s="5" customFormat="1" ht="15.75" x14ac:dyDescent="0.25">
      <c r="A1" s="1" t="s">
        <v>154</v>
      </c>
      <c r="B1" s="1"/>
      <c r="C1" s="1"/>
      <c r="D1" s="1"/>
      <c r="E1" s="6"/>
      <c r="F1" s="1"/>
      <c r="G1" s="1"/>
      <c r="H1" s="1"/>
      <c r="I1" s="1"/>
      <c r="J1" s="13"/>
      <c r="K1" s="14"/>
      <c r="L1" s="6"/>
      <c r="M1" s="6"/>
    </row>
    <row r="2" spans="1:13" s="7" customFormat="1" ht="15" x14ac:dyDescent="0.25">
      <c r="A2" s="3" t="s">
        <v>185</v>
      </c>
      <c r="B2" s="3"/>
      <c r="C2" s="3"/>
      <c r="D2" s="3"/>
      <c r="E2" s="3"/>
      <c r="F2" s="3"/>
      <c r="G2" s="3"/>
      <c r="H2" s="3"/>
      <c r="I2" s="3"/>
      <c r="J2" s="3"/>
      <c r="K2" s="15"/>
      <c r="L2" s="13"/>
      <c r="M2" s="13"/>
    </row>
    <row r="3" spans="1:13" s="7" customFormat="1" ht="15" x14ac:dyDescent="0.25">
      <c r="A3" s="3" t="str">
        <f>"Avoided Resource ("&amp;A10&amp;" through "&amp;MAX(A10:A27)&amp;")"</f>
        <v>Avoided Resource (2016 through 2027)</v>
      </c>
      <c r="B3" s="3"/>
      <c r="C3" s="3"/>
      <c r="D3" s="3"/>
      <c r="E3" s="3"/>
      <c r="F3" s="3"/>
      <c r="G3" s="3"/>
      <c r="H3" s="3"/>
      <c r="I3" s="3"/>
      <c r="J3" s="3"/>
      <c r="K3" s="15"/>
      <c r="L3" s="13"/>
      <c r="M3" s="13"/>
    </row>
    <row r="4" spans="1:13" ht="15" x14ac:dyDescent="0.25">
      <c r="A4" s="3" t="s">
        <v>36</v>
      </c>
      <c r="B4" s="3"/>
      <c r="C4" s="3"/>
      <c r="D4" s="3"/>
      <c r="E4" s="3"/>
      <c r="F4" s="3"/>
      <c r="G4" s="3"/>
      <c r="H4" s="3"/>
      <c r="I4" s="3"/>
      <c r="J4" s="3"/>
      <c r="K4" s="15"/>
      <c r="L4" s="13"/>
      <c r="M4" s="13"/>
    </row>
    <row r="5" spans="1:13" x14ac:dyDescent="0.2">
      <c r="B5" s="40"/>
      <c r="C5" s="40"/>
      <c r="D5" s="40"/>
      <c r="E5" s="4"/>
      <c r="F5" s="4"/>
      <c r="G5" s="4"/>
      <c r="H5" s="4"/>
      <c r="I5" s="4"/>
      <c r="J5" s="4"/>
      <c r="K5" s="16"/>
    </row>
    <row r="6" spans="1:13" x14ac:dyDescent="0.2">
      <c r="A6" s="41" t="s">
        <v>2</v>
      </c>
      <c r="B6" s="42" t="s">
        <v>56</v>
      </c>
      <c r="C6" s="43"/>
      <c r="D6" s="43"/>
      <c r="E6" s="42"/>
      <c r="F6" s="42"/>
      <c r="G6" s="42" t="s">
        <v>57</v>
      </c>
      <c r="H6" s="42"/>
      <c r="I6" s="42"/>
      <c r="J6" s="42"/>
      <c r="K6" s="42" t="s">
        <v>56</v>
      </c>
      <c r="L6" s="42"/>
      <c r="M6" s="42"/>
    </row>
    <row r="7" spans="1:13" x14ac:dyDescent="0.2">
      <c r="A7" s="44"/>
      <c r="B7" s="45" t="s">
        <v>44</v>
      </c>
      <c r="C7" s="45" t="s">
        <v>45</v>
      </c>
      <c r="D7" s="45" t="s">
        <v>46</v>
      </c>
      <c r="E7" s="45" t="s">
        <v>47</v>
      </c>
      <c r="F7" s="46" t="s">
        <v>48</v>
      </c>
      <c r="G7" s="45" t="s">
        <v>49</v>
      </c>
      <c r="H7" s="45" t="s">
        <v>50</v>
      </c>
      <c r="I7" s="45" t="s">
        <v>51</v>
      </c>
      <c r="J7" s="46" t="s">
        <v>52</v>
      </c>
      <c r="K7" s="45" t="s">
        <v>53</v>
      </c>
      <c r="L7" s="45" t="s">
        <v>54</v>
      </c>
      <c r="M7" s="46" t="s">
        <v>55</v>
      </c>
    </row>
    <row r="8" spans="1:13" x14ac:dyDescent="0.2"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</row>
    <row r="9" spans="1:13" ht="12.75" customHeight="1" x14ac:dyDescent="0.2">
      <c r="A9" s="12" t="str">
        <f>'Table 2A BaseLoad'!A27</f>
        <v>On-Peak (1)</v>
      </c>
      <c r="C9" s="40"/>
      <c r="D9" s="40"/>
      <c r="E9" s="40"/>
      <c r="F9" s="40"/>
      <c r="G9" s="40"/>
      <c r="H9" s="40"/>
      <c r="I9" s="40"/>
      <c r="J9" s="40"/>
      <c r="K9" s="48"/>
      <c r="L9" s="37"/>
      <c r="M9" s="37"/>
    </row>
    <row r="10" spans="1:13" ht="12.75" customHeight="1" x14ac:dyDescent="0.2">
      <c r="A10" s="49">
        <f>'Tables 3 to 5'!$B$13</f>
        <v>2016</v>
      </c>
      <c r="B10" s="50"/>
      <c r="C10" s="51"/>
      <c r="D10" s="51"/>
      <c r="E10" s="51"/>
      <c r="F10" s="52">
        <f>'Table 2A BaseLoad'!F28-Solar_Fixed_integr_cost</f>
        <v>12.64780959884648</v>
      </c>
      <c r="G10" s="51">
        <f>'Table 2A BaseLoad'!G28-Solar_Fixed_integr_cost</f>
        <v>13.358581565375067</v>
      </c>
      <c r="H10" s="51">
        <f>'Table 2A BaseLoad'!H28-Solar_Fixed_integr_cost</f>
        <v>22.838946356573366</v>
      </c>
      <c r="I10" s="51">
        <f>'Table 2A BaseLoad'!I28-Solar_Fixed_integr_cost</f>
        <v>22.497902629233366</v>
      </c>
      <c r="J10" s="52">
        <f>'Table 2A BaseLoad'!J28-Solar_Fixed_integr_cost</f>
        <v>20.936133077696731</v>
      </c>
      <c r="K10" s="51">
        <f>'Table 2A BaseLoad'!K28-Solar_Fixed_integr_cost</f>
        <v>15.838002390978412</v>
      </c>
      <c r="L10" s="51">
        <f>'Table 2A BaseLoad'!L28-Solar_Fixed_integr_cost</f>
        <v>15.75317340422057</v>
      </c>
      <c r="M10" s="52">
        <f>'Table 2A BaseLoad'!M28-Solar_Fixed_integr_cost</f>
        <v>21.418503418412321</v>
      </c>
    </row>
    <row r="11" spans="1:13" ht="12.75" customHeight="1" x14ac:dyDescent="0.2">
      <c r="A11" s="53">
        <f t="shared" ref="A11:A21" si="0">A10+1</f>
        <v>2017</v>
      </c>
      <c r="B11" s="54">
        <f>'Table 2A BaseLoad'!B29-Solar_Fixed_integr_cost</f>
        <v>19.177321386128078</v>
      </c>
      <c r="C11" s="55">
        <f>'Table 2A BaseLoad'!C29-Solar_Fixed_integr_cost</f>
        <v>20.068783034458903</v>
      </c>
      <c r="D11" s="55">
        <f>'Table 2A BaseLoad'!D29-Solar_Fixed_integr_cost</f>
        <v>18.316429372965445</v>
      </c>
      <c r="E11" s="55">
        <f>'Table 2A BaseLoad'!E29-Solar_Fixed_integr_cost</f>
        <v>17.686372388689513</v>
      </c>
      <c r="F11" s="56">
        <f>'Table 2A BaseLoad'!F29-Solar_Fixed_integr_cost</f>
        <v>15.593912546250619</v>
      </c>
      <c r="G11" s="55">
        <f>'Table 2A BaseLoad'!G29-Solar_Fixed_integr_cost</f>
        <v>15.401363339108743</v>
      </c>
      <c r="H11" s="55">
        <f>'Table 2A BaseLoad'!H29-Solar_Fixed_integr_cost</f>
        <v>24.673257446760289</v>
      </c>
      <c r="I11" s="55">
        <f>'Table 2A BaseLoad'!I29-Solar_Fixed_integr_cost</f>
        <v>22.860974634275777</v>
      </c>
      <c r="J11" s="56">
        <f>'Table 2A BaseLoad'!J29-Solar_Fixed_integr_cost</f>
        <v>18.585817122784874</v>
      </c>
      <c r="K11" s="55">
        <f>'Table 2A BaseLoad'!K29-Solar_Fixed_integr_cost</f>
        <v>16.472424865515578</v>
      </c>
      <c r="L11" s="55">
        <f>'Table 2A BaseLoad'!L29-Solar_Fixed_integr_cost</f>
        <v>19.159097143568381</v>
      </c>
      <c r="M11" s="56">
        <f>'Table 2A BaseLoad'!M29-Solar_Fixed_integr_cost</f>
        <v>22.590999734675982</v>
      </c>
    </row>
    <row r="12" spans="1:13" ht="12.75" customHeight="1" x14ac:dyDescent="0.2">
      <c r="A12" s="53">
        <f t="shared" si="0"/>
        <v>2018</v>
      </c>
      <c r="B12" s="54">
        <f>'Table 2A BaseLoad'!B30-Solar_Fixed_integr_cost</f>
        <v>23.35870796383567</v>
      </c>
      <c r="C12" s="55">
        <f>'Table 2A BaseLoad'!C30-Solar_Fixed_integr_cost</f>
        <v>21.85808657955392</v>
      </c>
      <c r="D12" s="55">
        <f>'Table 2A BaseLoad'!D30-Solar_Fixed_integr_cost</f>
        <v>19.860147563337364</v>
      </c>
      <c r="E12" s="55">
        <f>'Table 2A BaseLoad'!E30-Solar_Fixed_integr_cost</f>
        <v>20.632910244554765</v>
      </c>
      <c r="F12" s="56">
        <f>'Table 2A BaseLoad'!F30-Solar_Fixed_integr_cost</f>
        <v>17.856036251730366</v>
      </c>
      <c r="G12" s="55">
        <f>'Table 2A BaseLoad'!G30-Solar_Fixed_integr_cost</f>
        <v>18.1405523311767</v>
      </c>
      <c r="H12" s="55">
        <f>'Table 2A BaseLoad'!H30-Solar_Fixed_integr_cost</f>
        <v>27.210969948777077</v>
      </c>
      <c r="I12" s="55">
        <f>'Table 2A BaseLoad'!I30-Solar_Fixed_integr_cost</f>
        <v>24.747477226368204</v>
      </c>
      <c r="J12" s="56">
        <f>'Table 2A BaseLoad'!J30-Solar_Fixed_integr_cost</f>
        <v>19.700733096332236</v>
      </c>
      <c r="K12" s="55">
        <f>'Table 2A BaseLoad'!K30-Solar_Fixed_integr_cost</f>
        <v>18.66924851221345</v>
      </c>
      <c r="L12" s="55">
        <f>'Table 2A BaseLoad'!L30-Solar_Fixed_integr_cost</f>
        <v>22.697482386480971</v>
      </c>
      <c r="M12" s="56">
        <f>'Table 2A BaseLoad'!M30-Solar_Fixed_integr_cost</f>
        <v>25.005846127614056</v>
      </c>
    </row>
    <row r="13" spans="1:13" ht="12.75" customHeight="1" x14ac:dyDescent="0.2">
      <c r="A13" s="53">
        <f t="shared" si="0"/>
        <v>2019</v>
      </c>
      <c r="B13" s="54">
        <f>'Table 2A BaseLoad'!B31-Solar_Fixed_integr_cost</f>
        <v>24.104431271445875</v>
      </c>
      <c r="C13" s="55">
        <f>'Table 2A BaseLoad'!C31-Solar_Fixed_integr_cost</f>
        <v>23.09417095010329</v>
      </c>
      <c r="D13" s="55">
        <f>'Table 2A BaseLoad'!D31-Solar_Fixed_integr_cost</f>
        <v>20.717900450551014</v>
      </c>
      <c r="E13" s="55">
        <f>'Table 2A BaseLoad'!E31-Solar_Fixed_integr_cost</f>
        <v>19.035421148790682</v>
      </c>
      <c r="F13" s="56">
        <f>'Table 2A BaseLoad'!F31-Solar_Fixed_integr_cost</f>
        <v>19.127645709821152</v>
      </c>
      <c r="G13" s="55">
        <f>'Table 2A BaseLoad'!G31-Solar_Fixed_integr_cost</f>
        <v>19.532737588455689</v>
      </c>
      <c r="H13" s="55">
        <f>'Table 2A BaseLoad'!H31-Solar_Fixed_integr_cost</f>
        <v>28.227262218443748</v>
      </c>
      <c r="I13" s="55">
        <f>'Table 2A BaseLoad'!I31-Solar_Fixed_integr_cost</f>
        <v>27.525899849534909</v>
      </c>
      <c r="J13" s="56">
        <f>'Table 2A BaseLoad'!J31-Solar_Fixed_integr_cost</f>
        <v>24.961460563774772</v>
      </c>
      <c r="K13" s="55">
        <f>'Table 2A BaseLoad'!K31-Solar_Fixed_integr_cost</f>
        <v>19.922827084690724</v>
      </c>
      <c r="L13" s="55">
        <f>'Table 2A BaseLoad'!L31-Solar_Fixed_integr_cost</f>
        <v>23.378410818629995</v>
      </c>
      <c r="M13" s="56">
        <f>'Table 2A BaseLoad'!M31-Solar_Fixed_integr_cost</f>
        <v>25.729141923247894</v>
      </c>
    </row>
    <row r="14" spans="1:13" ht="12.75" customHeight="1" x14ac:dyDescent="0.2">
      <c r="A14" s="53">
        <f t="shared" si="0"/>
        <v>2020</v>
      </c>
      <c r="B14" s="54">
        <f>'Table 2A BaseLoad'!B32-Solar_Fixed_integr_cost</f>
        <v>25.468296292831404</v>
      </c>
      <c r="C14" s="55">
        <f>'Table 2A BaseLoad'!C32-Solar_Fixed_integr_cost</f>
        <v>23.891810197615477</v>
      </c>
      <c r="D14" s="55">
        <f>'Table 2A BaseLoad'!D32-Solar_Fixed_integr_cost</f>
        <v>27.280157762885111</v>
      </c>
      <c r="E14" s="55">
        <f>'Table 2A BaseLoad'!E32-Solar_Fixed_integr_cost</f>
        <v>22.088328908339378</v>
      </c>
      <c r="F14" s="56">
        <f>'Table 2A BaseLoad'!F32-Solar_Fixed_integr_cost</f>
        <v>20.145898279029836</v>
      </c>
      <c r="G14" s="55">
        <f>'Table 2A BaseLoad'!G32-Solar_Fixed_integr_cost</f>
        <v>20.544275919902574</v>
      </c>
      <c r="H14" s="55">
        <f>'Table 2A BaseLoad'!H32-Solar_Fixed_integr_cost</f>
        <v>30.203758618052397</v>
      </c>
      <c r="I14" s="55">
        <f>'Table 2A BaseLoad'!I32-Solar_Fixed_integr_cost</f>
        <v>27.413096914476291</v>
      </c>
      <c r="J14" s="56">
        <f>'Table 2A BaseLoad'!J32-Solar_Fixed_integr_cost</f>
        <v>23.810034830049645</v>
      </c>
      <c r="K14" s="55">
        <f>'Table 2A BaseLoad'!K32-Solar_Fixed_integr_cost</f>
        <v>22.820179748091419</v>
      </c>
      <c r="L14" s="55">
        <f>'Table 2A BaseLoad'!L32-Solar_Fixed_integr_cost</f>
        <v>25.440684092505506</v>
      </c>
      <c r="M14" s="56">
        <f>'Table 2A BaseLoad'!M32-Solar_Fixed_integr_cost</f>
        <v>26.965590234096844</v>
      </c>
    </row>
    <row r="15" spans="1:13" ht="12.75" customHeight="1" x14ac:dyDescent="0.2">
      <c r="A15" s="53">
        <f t="shared" si="0"/>
        <v>2021</v>
      </c>
      <c r="B15" s="54">
        <f>'Table 2A BaseLoad'!B33-Solar_Fixed_integr_cost</f>
        <v>27.479885914675599</v>
      </c>
      <c r="C15" s="55">
        <f>'Table 2A BaseLoad'!C33-Solar_Fixed_integr_cost</f>
        <v>26.491794269305046</v>
      </c>
      <c r="D15" s="55">
        <f>'Table 2A BaseLoad'!D33-Solar_Fixed_integr_cost</f>
        <v>24.293853473058668</v>
      </c>
      <c r="E15" s="55">
        <f>'Table 2A BaseLoad'!E33-Solar_Fixed_integr_cost</f>
        <v>23.400458826231556</v>
      </c>
      <c r="F15" s="56">
        <f>'Table 2A BaseLoad'!F33-Solar_Fixed_integr_cost</f>
        <v>20.337437773892177</v>
      </c>
      <c r="G15" s="55">
        <f>'Table 2A BaseLoad'!G33-Solar_Fixed_integr_cost</f>
        <v>20.098117581051795</v>
      </c>
      <c r="H15" s="55">
        <f>'Table 2A BaseLoad'!H33-Solar_Fixed_integr_cost</f>
        <v>32.089342129552676</v>
      </c>
      <c r="I15" s="55">
        <f>'Table 2A BaseLoad'!I33-Solar_Fixed_integr_cost</f>
        <v>31.656205020410937</v>
      </c>
      <c r="J15" s="56">
        <f>'Table 2A BaseLoad'!J33-Solar_Fixed_integr_cost</f>
        <v>29.372824358407954</v>
      </c>
      <c r="K15" s="55">
        <f>'Table 2A BaseLoad'!K33-Solar_Fixed_integr_cost</f>
        <v>24.67872670282614</v>
      </c>
      <c r="L15" s="55">
        <f>'Table 2A BaseLoad'!L33-Solar_Fixed_integr_cost</f>
        <v>27.635730541089814</v>
      </c>
      <c r="M15" s="56">
        <f>'Table 2A BaseLoad'!M33-Solar_Fixed_integr_cost</f>
        <v>29.610767235496539</v>
      </c>
    </row>
    <row r="16" spans="1:13" ht="12.75" customHeight="1" x14ac:dyDescent="0.2">
      <c r="A16" s="53">
        <f t="shared" si="0"/>
        <v>2022</v>
      </c>
      <c r="B16" s="54">
        <f>'Table 2A BaseLoad'!B34-Solar_Fixed_integr_cost</f>
        <v>29.551707406583837</v>
      </c>
      <c r="C16" s="55">
        <f>'Table 2A BaseLoad'!C34-Solar_Fixed_integr_cost</f>
        <v>28.573781472992678</v>
      </c>
      <c r="D16" s="55">
        <f>'Table 2A BaseLoad'!D34-Solar_Fixed_integr_cost</f>
        <v>26.418253152267766</v>
      </c>
      <c r="E16" s="55">
        <f>'Table 2A BaseLoad'!E34-Solar_Fixed_integr_cost</f>
        <v>23.688492843809506</v>
      </c>
      <c r="F16" s="56">
        <f>'Table 2A BaseLoad'!F34-Solar_Fixed_integr_cost</f>
        <v>22.906380577209681</v>
      </c>
      <c r="G16" s="55">
        <f>'Table 2A BaseLoad'!G34-Solar_Fixed_integr_cost</f>
        <v>25.128969692708068</v>
      </c>
      <c r="H16" s="55">
        <f>'Table 2A BaseLoad'!H34-Solar_Fixed_integr_cost</f>
        <v>34.662230242890651</v>
      </c>
      <c r="I16" s="55">
        <f>'Table 2A BaseLoad'!I34-Solar_Fixed_integr_cost</f>
        <v>35.103017495878476</v>
      </c>
      <c r="J16" s="56">
        <f>'Table 2A BaseLoad'!J34-Solar_Fixed_integr_cost</f>
        <v>33.575664134577892</v>
      </c>
      <c r="K16" s="55">
        <f>'Table 2A BaseLoad'!K34-Solar_Fixed_integr_cost</f>
        <v>27.50078638090946</v>
      </c>
      <c r="L16" s="55">
        <f>'Table 2A BaseLoad'!L34-Solar_Fixed_integr_cost</f>
        <v>28.82352800972555</v>
      </c>
      <c r="M16" s="56">
        <f>'Table 2A BaseLoad'!M34-Solar_Fixed_integr_cost</f>
        <v>30.603475961027499</v>
      </c>
    </row>
    <row r="17" spans="1:24" ht="12.75" customHeight="1" x14ac:dyDescent="0.2">
      <c r="A17" s="53">
        <f t="shared" si="0"/>
        <v>2023</v>
      </c>
      <c r="B17" s="54">
        <f>'Table 2A BaseLoad'!B35-Solar_Fixed_integr_cost</f>
        <v>32.51676745665501</v>
      </c>
      <c r="C17" s="55">
        <f>'Table 2A BaseLoad'!C35-Solar_Fixed_integr_cost</f>
        <v>23.669339039233144</v>
      </c>
      <c r="D17" s="55">
        <f>'Table 2A BaseLoad'!D35-Solar_Fixed_integr_cost</f>
        <v>29.226071157468397</v>
      </c>
      <c r="E17" s="55">
        <f>'Table 2A BaseLoad'!E35-Solar_Fixed_integr_cost</f>
        <v>25.421353456444145</v>
      </c>
      <c r="F17" s="56">
        <f>'Table 2A BaseLoad'!F35-Solar_Fixed_integr_cost</f>
        <v>24.832695276637608</v>
      </c>
      <c r="G17" s="55">
        <f>'Table 2A BaseLoad'!G35-Solar_Fixed_integr_cost</f>
        <v>28.122247908009498</v>
      </c>
      <c r="H17" s="55">
        <f>'Table 2A BaseLoad'!H35-Solar_Fixed_integr_cost</f>
        <v>37.805819707426714</v>
      </c>
      <c r="I17" s="55">
        <f>'Table 2A BaseLoad'!I35-Solar_Fixed_integr_cost</f>
        <v>38.373701078398078</v>
      </c>
      <c r="J17" s="56">
        <f>'Table 2A BaseLoad'!J35-Solar_Fixed_integr_cost</f>
        <v>36.903748744115425</v>
      </c>
      <c r="K17" s="55">
        <f>'Table 2A BaseLoad'!K35-Solar_Fixed_integr_cost</f>
        <v>29.421338280679095</v>
      </c>
      <c r="L17" s="55">
        <f>'Table 2A BaseLoad'!L35-Solar_Fixed_integr_cost</f>
        <v>32.083649509565824</v>
      </c>
      <c r="M17" s="56">
        <f>'Table 2A BaseLoad'!M35-Solar_Fixed_integr_cost</f>
        <v>34.762375514472943</v>
      </c>
    </row>
    <row r="18" spans="1:24" ht="12.75" customHeight="1" x14ac:dyDescent="0.2">
      <c r="A18" s="53">
        <f t="shared" si="0"/>
        <v>2024</v>
      </c>
      <c r="B18" s="54">
        <f>'Table 2A BaseLoad'!B36-Solar_Fixed_integr_cost</f>
        <v>35.970525198854858</v>
      </c>
      <c r="C18" s="55">
        <f>'Table 2A BaseLoad'!C36-Solar_Fixed_integr_cost</f>
        <v>34.163850161343909</v>
      </c>
      <c r="D18" s="55">
        <f>'Table 2A BaseLoad'!D36-Solar_Fixed_integr_cost</f>
        <v>30.979733731932363</v>
      </c>
      <c r="E18" s="55">
        <f>'Table 2A BaseLoad'!E36-Solar_Fixed_integr_cost</f>
        <v>27.686970862143582</v>
      </c>
      <c r="F18" s="56">
        <f>'Table 2A BaseLoad'!F36-Solar_Fixed_integr_cost</f>
        <v>26.918069024716459</v>
      </c>
      <c r="G18" s="55">
        <f>'Table 2A BaseLoad'!G36-Solar_Fixed_integr_cost</f>
        <v>30.773948143976533</v>
      </c>
      <c r="H18" s="55">
        <f>'Table 2A BaseLoad'!H36-Solar_Fixed_integr_cost</f>
        <v>41.786066409527969</v>
      </c>
      <c r="I18" s="55">
        <f>'Table 2A BaseLoad'!I36-Solar_Fixed_integr_cost</f>
        <v>42.753974825634593</v>
      </c>
      <c r="J18" s="56">
        <f>'Table 2A BaseLoad'!J36-Solar_Fixed_integr_cost</f>
        <v>39.281862063701787</v>
      </c>
      <c r="K18" s="55">
        <f>'Table 2A BaseLoad'!K36-Solar_Fixed_integr_cost</f>
        <v>34.035830498133024</v>
      </c>
      <c r="L18" s="55">
        <f>'Table 2A BaseLoad'!L36-Solar_Fixed_integr_cost</f>
        <v>37.812394618404667</v>
      </c>
      <c r="M18" s="56">
        <f>'Table 2A BaseLoad'!M36-Solar_Fixed_integr_cost</f>
        <v>41.304804199304854</v>
      </c>
    </row>
    <row r="19" spans="1:24" ht="12.75" customHeight="1" x14ac:dyDescent="0.2">
      <c r="A19" s="53">
        <f t="shared" si="0"/>
        <v>2025</v>
      </c>
      <c r="B19" s="54">
        <f>'Table 2A BaseLoad'!B37-Solar_Fixed_integr_cost</f>
        <v>37.491275978230469</v>
      </c>
      <c r="C19" s="55">
        <f>'Table 2A BaseLoad'!C37-Solar_Fixed_integr_cost</f>
        <v>50.30881139808443</v>
      </c>
      <c r="D19" s="55">
        <f>'Table 2A BaseLoad'!D37-Solar_Fixed_integr_cost</f>
        <v>30.063207713813988</v>
      </c>
      <c r="E19" s="55">
        <f>'Table 2A BaseLoad'!E37-Solar_Fixed_integr_cost</f>
        <v>31.811152939030272</v>
      </c>
      <c r="F19" s="56">
        <f>'Table 2A BaseLoad'!F37-Solar_Fixed_integr_cost</f>
        <v>28.943677110525954</v>
      </c>
      <c r="G19" s="55">
        <f>'Table 2A BaseLoad'!G37-Solar_Fixed_integr_cost</f>
        <v>33.551865356942237</v>
      </c>
      <c r="H19" s="55">
        <f>'Table 2A BaseLoad'!H37-Solar_Fixed_integr_cost</f>
        <v>45.254029294712538</v>
      </c>
      <c r="I19" s="55">
        <f>'Table 2A BaseLoad'!I37-Solar_Fixed_integr_cost</f>
        <v>45.071409715891065</v>
      </c>
      <c r="J19" s="56">
        <f>'Table 2A BaseLoad'!J37-Solar_Fixed_integr_cost</f>
        <v>38.22331315794861</v>
      </c>
      <c r="K19" s="55">
        <f>'Table 2A BaseLoad'!K37-Solar_Fixed_integr_cost</f>
        <v>35.410468601838197</v>
      </c>
      <c r="L19" s="55">
        <f>'Table 2A BaseLoad'!L37-Solar_Fixed_integr_cost</f>
        <v>36.276734893876899</v>
      </c>
      <c r="M19" s="56">
        <f>'Table 2A BaseLoad'!M37-Solar_Fixed_integr_cost</f>
        <v>39.720818529505721</v>
      </c>
    </row>
    <row r="20" spans="1:24" ht="16.5" customHeight="1" x14ac:dyDescent="0.2">
      <c r="A20" s="53">
        <f t="shared" si="0"/>
        <v>2026</v>
      </c>
      <c r="B20" s="54">
        <f>'Table 2A BaseLoad'!B38-Solar_Fixed_integr_cost</f>
        <v>38.88801529703494</v>
      </c>
      <c r="C20" s="55">
        <f>'Table 2A BaseLoad'!C38-Solar_Fixed_integr_cost</f>
        <v>38.735964193777541</v>
      </c>
      <c r="D20" s="55">
        <f>'Table 2A BaseLoad'!D38-Solar_Fixed_integr_cost</f>
        <v>34.875445656588802</v>
      </c>
      <c r="E20" s="55">
        <f>'Table 2A BaseLoad'!E38-Solar_Fixed_integr_cost</f>
        <v>31.147893788371839</v>
      </c>
      <c r="F20" s="56">
        <f>'Table 2A BaseLoad'!F38-Solar_Fixed_integr_cost</f>
        <v>31.083038026488083</v>
      </c>
      <c r="G20" s="55">
        <f>'Table 2A BaseLoad'!G38-Solar_Fixed_integr_cost</f>
        <v>34.827607272220078</v>
      </c>
      <c r="H20" s="55">
        <f>'Table 2A BaseLoad'!H38-Solar_Fixed_integr_cost</f>
        <v>47.135268156169587</v>
      </c>
      <c r="I20" s="55">
        <f>'Table 2A BaseLoad'!I38-Solar_Fixed_integr_cost</f>
        <v>46.992015394543436</v>
      </c>
      <c r="J20" s="56">
        <f>'Table 2A BaseLoad'!J38-Solar_Fixed_integr_cost</f>
        <v>39.780048308213082</v>
      </c>
      <c r="K20" s="55">
        <f>'Table 2A BaseLoad'!K38-Solar_Fixed_integr_cost</f>
        <v>35.92449288402706</v>
      </c>
      <c r="L20" s="55">
        <f>'Table 2A BaseLoad'!L38-Solar_Fixed_integr_cost</f>
        <v>38.237603996241027</v>
      </c>
      <c r="M20" s="56">
        <f>'Table 2A BaseLoad'!M38-Solar_Fixed_integr_cost</f>
        <v>41.256423569790499</v>
      </c>
    </row>
    <row r="21" spans="1:24" ht="12.75" customHeight="1" x14ac:dyDescent="0.2">
      <c r="A21" s="53">
        <f t="shared" si="0"/>
        <v>2027</v>
      </c>
      <c r="B21" s="54">
        <f>'Table 2A BaseLoad'!B39-Solar_Fixed_integr_cost</f>
        <v>40.033503977406369</v>
      </c>
      <c r="C21" s="55">
        <f>'Table 2A BaseLoad'!C39-Solar_Fixed_integr_cost</f>
        <v>41.025266917286167</v>
      </c>
      <c r="D21" s="55">
        <f>'Table 2A BaseLoad'!D39-Solar_Fixed_integr_cost</f>
        <v>37.063131530969109</v>
      </c>
      <c r="E21" s="55">
        <f>'Table 2A BaseLoad'!E39-Solar_Fixed_integr_cost</f>
        <v>34.235831686545176</v>
      </c>
      <c r="F21" s="56">
        <f>'Table 2A BaseLoad'!F39-Solar_Fixed_integr_cost</f>
        <v>31.858434908861248</v>
      </c>
      <c r="G21" s="55">
        <f>'Table 2A BaseLoad'!G39-Solar_Fixed_integr_cost</f>
        <v>36.383724453409272</v>
      </c>
      <c r="H21" s="55">
        <f>'Table 2A BaseLoad'!H39-Solar_Fixed_integr_cost</f>
        <v>48.652888796937816</v>
      </c>
      <c r="I21" s="55">
        <f>'Table 2A BaseLoad'!I39-Solar_Fixed_integr_cost</f>
        <v>49.16293664990873</v>
      </c>
      <c r="J21" s="56">
        <f>'Table 2A BaseLoad'!J39-Solar_Fixed_integr_cost</f>
        <v>42.233346252598089</v>
      </c>
      <c r="K21" s="55">
        <f>'Table 2A BaseLoad'!K39-Solar_Fixed_integr_cost</f>
        <v>39.737940974752782</v>
      </c>
      <c r="L21" s="55">
        <f>'Table 2A BaseLoad'!L39-Solar_Fixed_integr_cost</f>
        <v>41.761161075267154</v>
      </c>
      <c r="M21" s="56">
        <f>'Table 2A BaseLoad'!M39-Solar_Fixed_integr_cost</f>
        <v>45.139769495955207</v>
      </c>
    </row>
    <row r="22" spans="1:24" ht="12.75" customHeight="1" x14ac:dyDescent="0.2">
      <c r="A22" s="53"/>
      <c r="B22" s="54"/>
      <c r="C22" s="55"/>
      <c r="D22" s="55"/>
      <c r="E22" s="55"/>
      <c r="F22" s="56"/>
      <c r="G22" s="55"/>
      <c r="H22" s="55"/>
      <c r="I22" s="55"/>
      <c r="J22" s="56"/>
      <c r="K22" s="55"/>
      <c r="L22" s="55"/>
      <c r="M22" s="56"/>
    </row>
    <row r="23" spans="1:24" ht="12.75" hidden="1" customHeight="1" x14ac:dyDescent="0.2">
      <c r="A23" s="53"/>
      <c r="B23" s="54"/>
      <c r="C23" s="55"/>
      <c r="D23" s="55"/>
      <c r="E23" s="55"/>
      <c r="F23" s="56"/>
      <c r="G23" s="55"/>
      <c r="H23" s="55"/>
      <c r="I23" s="55"/>
      <c r="J23" s="56"/>
      <c r="K23" s="55"/>
      <c r="L23" s="55"/>
      <c r="M23" s="56"/>
    </row>
    <row r="24" spans="1:24" ht="12.75" hidden="1" customHeight="1" x14ac:dyDescent="0.2">
      <c r="A24" s="53"/>
      <c r="B24" s="54"/>
      <c r="C24" s="55"/>
      <c r="D24" s="55"/>
      <c r="E24" s="55"/>
      <c r="F24" s="56"/>
      <c r="G24" s="55"/>
      <c r="H24" s="55"/>
      <c r="I24" s="55"/>
      <c r="J24" s="56"/>
      <c r="K24" s="55"/>
      <c r="L24" s="55"/>
      <c r="M24" s="56"/>
    </row>
    <row r="25" spans="1:24" ht="12.75" hidden="1" customHeight="1" x14ac:dyDescent="0.2">
      <c r="A25" s="57"/>
      <c r="B25" s="58"/>
      <c r="C25" s="59"/>
      <c r="D25" s="59"/>
      <c r="E25" s="59"/>
      <c r="F25" s="60"/>
      <c r="G25" s="59"/>
      <c r="H25" s="59"/>
      <c r="I25" s="59"/>
      <c r="J25" s="60"/>
      <c r="K25" s="59"/>
      <c r="L25" s="59"/>
      <c r="M25" s="60"/>
    </row>
    <row r="26" spans="1:24" ht="12.75" customHeight="1" x14ac:dyDescent="0.2">
      <c r="A26" s="111"/>
      <c r="B26" s="109"/>
      <c r="C26" s="109"/>
      <c r="D26" s="109"/>
      <c r="E26" s="109"/>
      <c r="F26" s="108"/>
      <c r="G26" s="108"/>
      <c r="H26" s="108"/>
      <c r="I26" s="108"/>
      <c r="J26" s="110"/>
      <c r="K26" s="108"/>
      <c r="L26" s="108"/>
      <c r="M26" s="108"/>
    </row>
    <row r="27" spans="1:24" ht="12.75" customHeight="1" x14ac:dyDescent="0.2">
      <c r="A27" s="12" t="s">
        <v>227</v>
      </c>
      <c r="C27" s="40"/>
      <c r="D27" s="40"/>
      <c r="E27" s="40"/>
      <c r="G27" s="40"/>
      <c r="H27" s="40"/>
      <c r="I27" s="40"/>
      <c r="J27" s="48"/>
      <c r="L27" s="40"/>
      <c r="M27" s="37"/>
    </row>
    <row r="28" spans="1:24" ht="12.75" customHeight="1" x14ac:dyDescent="0.2">
      <c r="A28" s="49">
        <f>'Tables 3 to 5'!$B$13</f>
        <v>2016</v>
      </c>
      <c r="B28" s="50"/>
      <c r="C28" s="51"/>
      <c r="D28" s="51"/>
      <c r="E28" s="51"/>
      <c r="F28" s="52">
        <f>'Table 2A BaseLoad'!F46-Solar_Fixed_integr_cost</f>
        <v>9.9502484973332361</v>
      </c>
      <c r="G28" s="51">
        <f>'Table 2A BaseLoad'!G46-Solar_Fixed_integr_cost</f>
        <v>9.8478048403539695</v>
      </c>
      <c r="H28" s="51">
        <f>'Table 2A BaseLoad'!H46-Solar_Fixed_integr_cost</f>
        <v>14.90199307380413</v>
      </c>
      <c r="I28" s="51">
        <f>'Table 2A BaseLoad'!I46-Solar_Fixed_integr_cost</f>
        <v>15.749452466515747</v>
      </c>
      <c r="J28" s="52">
        <f>'Table 2A BaseLoad'!J46-Solar_Fixed_integr_cost</f>
        <v>16.870492270825409</v>
      </c>
      <c r="K28" s="50">
        <f>'Table 2A BaseLoad'!K46-Solar_Fixed_integr_cost</f>
        <v>13.243851230047119</v>
      </c>
      <c r="L28" s="51">
        <f>'Table 2A BaseLoad'!L46-Solar_Fixed_integr_cost</f>
        <v>14.098691326711984</v>
      </c>
      <c r="M28" s="52">
        <f>'Table 2A BaseLoad'!M46-Solar_Fixed_integr_cost</f>
        <v>17.367918644499149</v>
      </c>
    </row>
    <row r="29" spans="1:24" ht="12.75" customHeight="1" x14ac:dyDescent="0.2">
      <c r="A29" s="53">
        <f t="shared" ref="A29:A39" si="1">A28+1</f>
        <v>2017</v>
      </c>
      <c r="B29" s="54">
        <f>'Table 2A BaseLoad'!B47-Solar_Fixed_integr_cost</f>
        <v>16.694444101539275</v>
      </c>
      <c r="C29" s="55">
        <f>'Table 2A BaseLoad'!C47-Solar_Fixed_integr_cost</f>
        <v>17.22728138620532</v>
      </c>
      <c r="D29" s="55">
        <f>'Table 2A BaseLoad'!D47-Solar_Fixed_integr_cost</f>
        <v>15.190528617630429</v>
      </c>
      <c r="E29" s="55">
        <f>'Table 2A BaseLoad'!E47-Solar_Fixed_integr_cost</f>
        <v>15.709187738878294</v>
      </c>
      <c r="F29" s="55">
        <f>'Table 2A BaseLoad'!F47-Solar_Fixed_integr_cost</f>
        <v>12.04059221849581</v>
      </c>
      <c r="G29" s="54">
        <f>'Table 2A BaseLoad'!G47-Solar_Fixed_integr_cost</f>
        <v>12.017598025233378</v>
      </c>
      <c r="H29" s="55">
        <f>'Table 2A BaseLoad'!H47-Solar_Fixed_integr_cost</f>
        <v>17.300135757023448</v>
      </c>
      <c r="I29" s="55">
        <f>'Table 2A BaseLoad'!I47-Solar_Fixed_integr_cost</f>
        <v>16.792305305602298</v>
      </c>
      <c r="J29" s="56">
        <f>'Table 2A BaseLoad'!J47-Solar_Fixed_integr_cost</f>
        <v>17.094946776929469</v>
      </c>
      <c r="K29" s="54">
        <f>'Table 2A BaseLoad'!K47-Solar_Fixed_integr_cost</f>
        <v>13.656402817317494</v>
      </c>
      <c r="L29" s="55">
        <f>'Table 2A BaseLoad'!L47-Solar_Fixed_integr_cost</f>
        <v>17.181263852777356</v>
      </c>
      <c r="M29" s="56">
        <f>'Table 2A BaseLoad'!M47-Solar_Fixed_integr_cost</f>
        <v>20.48739988380035</v>
      </c>
    </row>
    <row r="30" spans="1:24" ht="12.75" customHeight="1" x14ac:dyDescent="0.2">
      <c r="A30" s="53">
        <f t="shared" si="1"/>
        <v>2018</v>
      </c>
      <c r="B30" s="54">
        <f>'Table 2A BaseLoad'!B48-Solar_Fixed_integr_cost</f>
        <v>21.183171316229078</v>
      </c>
      <c r="C30" s="55">
        <f>'Table 2A BaseLoad'!C48-Solar_Fixed_integr_cost</f>
        <v>19.646854775390516</v>
      </c>
      <c r="D30" s="55">
        <f>'Table 2A BaseLoad'!D48-Solar_Fixed_integr_cost</f>
        <v>18.223943035131093</v>
      </c>
      <c r="E30" s="55">
        <f>'Table 2A BaseLoad'!E48-Solar_Fixed_integr_cost</f>
        <v>15.970792442657379</v>
      </c>
      <c r="F30" s="55">
        <f>'Table 2A BaseLoad'!F48-Solar_Fixed_integr_cost</f>
        <v>13.071241855035279</v>
      </c>
      <c r="G30" s="54">
        <f>'Table 2A BaseLoad'!G48-Solar_Fixed_integr_cost</f>
        <v>12.498556080001118</v>
      </c>
      <c r="H30" s="55">
        <f>'Table 2A BaseLoad'!H48-Solar_Fixed_integr_cost</f>
        <v>18.537045302055475</v>
      </c>
      <c r="I30" s="55">
        <f>'Table 2A BaseLoad'!I48-Solar_Fixed_integr_cost</f>
        <v>18.940399307302251</v>
      </c>
      <c r="J30" s="56">
        <f>'Table 2A BaseLoad'!J48-Solar_Fixed_integr_cost</f>
        <v>17.116617797194024</v>
      </c>
      <c r="K30" s="54">
        <f>'Table 2A BaseLoad'!K48-Solar_Fixed_integr_cost</f>
        <v>16.453468795859074</v>
      </c>
      <c r="L30" s="55">
        <f>'Table 2A BaseLoad'!L48-Solar_Fixed_integr_cost</f>
        <v>20.725120356974635</v>
      </c>
      <c r="M30" s="56">
        <f>'Table 2A BaseLoad'!M48-Solar_Fixed_integr_cost</f>
        <v>22.840122682208268</v>
      </c>
      <c r="N30" s="133"/>
      <c r="O30" s="133"/>
      <c r="P30" s="133"/>
      <c r="Q30" s="133"/>
      <c r="R30" s="133"/>
      <c r="S30" s="133"/>
      <c r="T30" s="133"/>
    </row>
    <row r="31" spans="1:24" ht="12.75" customHeight="1" x14ac:dyDescent="0.2">
      <c r="A31" s="53">
        <f t="shared" si="1"/>
        <v>2019</v>
      </c>
      <c r="B31" s="54">
        <f>'Table 2A BaseLoad'!B49-Solar_Fixed_integr_cost</f>
        <v>22.036737557678315</v>
      </c>
      <c r="C31" s="55">
        <f>'Table 2A BaseLoad'!C49-Solar_Fixed_integr_cost</f>
        <v>20.888283910390129</v>
      </c>
      <c r="D31" s="55">
        <f>'Table 2A BaseLoad'!D49-Solar_Fixed_integr_cost</f>
        <v>19.119774242688131</v>
      </c>
      <c r="E31" s="55">
        <f>'Table 2A BaseLoad'!E49-Solar_Fixed_integr_cost</f>
        <v>13.567867887609404</v>
      </c>
      <c r="F31" s="55">
        <f>'Table 2A BaseLoad'!F49-Solar_Fixed_integr_cost</f>
        <v>12.99128672033105</v>
      </c>
      <c r="G31" s="54">
        <f>'Table 2A BaseLoad'!G49-Solar_Fixed_integr_cost</f>
        <v>12.581574265549682</v>
      </c>
      <c r="H31" s="55">
        <f>'Table 2A BaseLoad'!H49-Solar_Fixed_integr_cost</f>
        <v>19.646811222012907</v>
      </c>
      <c r="I31" s="55">
        <f>'Table 2A BaseLoad'!I49-Solar_Fixed_integr_cost</f>
        <v>21.45471987962793</v>
      </c>
      <c r="J31" s="56">
        <f>'Table 2A BaseLoad'!J49-Solar_Fixed_integr_cost</f>
        <v>22.02690173450776</v>
      </c>
      <c r="K31" s="54">
        <f>'Table 2A BaseLoad'!K49-Solar_Fixed_integr_cost</f>
        <v>17.796639104531586</v>
      </c>
      <c r="L31" s="55">
        <f>'Table 2A BaseLoad'!L49-Solar_Fixed_integr_cost</f>
        <v>21.596338012171103</v>
      </c>
      <c r="M31" s="56">
        <f>'Table 2A BaseLoad'!M49-Solar_Fixed_integr_cost</f>
        <v>23.7627282238346</v>
      </c>
      <c r="N31" s="133"/>
      <c r="O31" s="133"/>
      <c r="P31" s="133"/>
      <c r="Q31" s="133"/>
      <c r="R31" s="133"/>
      <c r="S31" s="133"/>
      <c r="T31" s="133"/>
      <c r="U31" s="133"/>
      <c r="V31" s="133"/>
      <c r="W31" s="133"/>
      <c r="X31" s="133"/>
    </row>
    <row r="32" spans="1:24" ht="12.75" customHeight="1" x14ac:dyDescent="0.2">
      <c r="A32" s="53">
        <f t="shared" si="1"/>
        <v>2020</v>
      </c>
      <c r="B32" s="54">
        <f>'Table 2A BaseLoad'!B50-Solar_Fixed_integr_cost</f>
        <v>23.253647017740256</v>
      </c>
      <c r="C32" s="55">
        <f>'Table 2A BaseLoad'!C50-Solar_Fixed_integr_cost</f>
        <v>21.587300276396057</v>
      </c>
      <c r="D32" s="55">
        <f>'Table 2A BaseLoad'!D50-Solar_Fixed_integr_cost</f>
        <v>25.174830109279689</v>
      </c>
      <c r="E32" s="55">
        <f>'Table 2A BaseLoad'!E50-Solar_Fixed_integr_cost</f>
        <v>16.463272661908952</v>
      </c>
      <c r="F32" s="55">
        <f>'Table 2A BaseLoad'!F50-Solar_Fixed_integr_cost</f>
        <v>14.305352305552509</v>
      </c>
      <c r="G32" s="54">
        <f>'Table 2A BaseLoad'!G50-Solar_Fixed_integr_cost</f>
        <v>13.852446926704657</v>
      </c>
      <c r="H32" s="55">
        <f>'Table 2A BaseLoad'!H50-Solar_Fixed_integr_cost</f>
        <v>20.555731990208095</v>
      </c>
      <c r="I32" s="55">
        <f>'Table 2A BaseLoad'!I50-Solar_Fixed_integr_cost</f>
        <v>20.792424516230717</v>
      </c>
      <c r="J32" s="56">
        <f>'Table 2A BaseLoad'!J50-Solar_Fixed_integr_cost</f>
        <v>20.319560975151795</v>
      </c>
      <c r="K32" s="54">
        <f>'Table 2A BaseLoad'!K50-Solar_Fixed_integr_cost</f>
        <v>20.121646920371148</v>
      </c>
      <c r="L32" s="55">
        <f>'Table 2A BaseLoad'!L50-Solar_Fixed_integr_cost</f>
        <v>23.139176827601787</v>
      </c>
      <c r="M32" s="56">
        <f>'Table 2A BaseLoad'!M50-Solar_Fixed_integr_cost</f>
        <v>24.529294450818718</v>
      </c>
      <c r="N32" s="133"/>
      <c r="O32" s="133"/>
      <c r="P32" s="133"/>
      <c r="Q32" s="133"/>
      <c r="R32" s="133"/>
      <c r="S32" s="133"/>
      <c r="T32" s="133"/>
    </row>
    <row r="33" spans="1:20" ht="12.75" customHeight="1" x14ac:dyDescent="0.2">
      <c r="A33" s="53">
        <f t="shared" si="1"/>
        <v>2021</v>
      </c>
      <c r="B33" s="54">
        <f>'Table 2A BaseLoad'!B51-Solar_Fixed_integr_cost</f>
        <v>24.264642697586908</v>
      </c>
      <c r="C33" s="55">
        <f>'Table 2A BaseLoad'!C51-Solar_Fixed_integr_cost</f>
        <v>23.147524760751871</v>
      </c>
      <c r="D33" s="55">
        <f>'Table 2A BaseLoad'!D51-Solar_Fixed_integr_cost</f>
        <v>21.563549808016674</v>
      </c>
      <c r="E33" s="55">
        <f>'Table 2A BaseLoad'!E51-Solar_Fixed_integr_cost</f>
        <v>19.604276720494028</v>
      </c>
      <c r="F33" s="55">
        <f>'Table 2A BaseLoad'!F51-Solar_Fixed_integr_cost</f>
        <v>16.323890276100869</v>
      </c>
      <c r="G33" s="54">
        <f>'Table 2A BaseLoad'!G51-Solar_Fixed_integr_cost</f>
        <v>15.281087728801991</v>
      </c>
      <c r="H33" s="55">
        <f>'Table 2A BaseLoad'!H51-Solar_Fixed_integr_cost</f>
        <v>22.145513843441776</v>
      </c>
      <c r="I33" s="55">
        <f>'Table 2A BaseLoad'!I51-Solar_Fixed_integr_cost</f>
        <v>24.238933940624143</v>
      </c>
      <c r="J33" s="56">
        <f>'Table 2A BaseLoad'!J51-Solar_Fixed_integr_cost</f>
        <v>25.136619487450716</v>
      </c>
      <c r="K33" s="54">
        <f>'Table 2A BaseLoad'!K51-Solar_Fixed_integr_cost</f>
        <v>21.240646875648729</v>
      </c>
      <c r="L33" s="55">
        <f>'Table 2A BaseLoad'!L51-Solar_Fixed_integr_cost</f>
        <v>24.486055773618666</v>
      </c>
      <c r="M33" s="56">
        <f>'Table 2A BaseLoad'!M51-Solar_Fixed_integr_cost</f>
        <v>26.269239409531465</v>
      </c>
      <c r="N33" s="133"/>
      <c r="O33" s="133"/>
      <c r="P33" s="133"/>
      <c r="Q33" s="133"/>
      <c r="R33" s="133"/>
      <c r="S33" s="133"/>
      <c r="T33" s="133"/>
    </row>
    <row r="34" spans="1:20" ht="12.75" customHeight="1" x14ac:dyDescent="0.2">
      <c r="A34" s="53">
        <f t="shared" si="1"/>
        <v>2022</v>
      </c>
      <c r="B34" s="54">
        <f>'Table 2A BaseLoad'!B52-Solar_Fixed_integr_cost</f>
        <v>26.276422961161465</v>
      </c>
      <c r="C34" s="55">
        <f>'Table 2A BaseLoad'!C52-Solar_Fixed_integr_cost</f>
        <v>25.163901782870639</v>
      </c>
      <c r="D34" s="55">
        <f>'Table 2A BaseLoad'!D52-Solar_Fixed_integr_cost</f>
        <v>23.620298648545791</v>
      </c>
      <c r="E34" s="55">
        <f>'Table 2A BaseLoad'!E52-Solar_Fixed_integr_cost</f>
        <v>20.086748589992084</v>
      </c>
      <c r="F34" s="55">
        <f>'Table 2A BaseLoad'!F52-Solar_Fixed_integr_cost</f>
        <v>19.603073768860789</v>
      </c>
      <c r="G34" s="54">
        <f>'Table 2A BaseLoad'!G52-Solar_Fixed_integr_cost</f>
        <v>20.189576602584232</v>
      </c>
      <c r="H34" s="55">
        <f>'Table 2A BaseLoad'!H52-Solar_Fixed_integr_cost</f>
        <v>26.210891010178457</v>
      </c>
      <c r="I34" s="55">
        <f>'Table 2A BaseLoad'!I52-Solar_Fixed_integr_cost</f>
        <v>27.4540895483075</v>
      </c>
      <c r="J34" s="56">
        <f>'Table 2A BaseLoad'!J52-Solar_Fixed_integr_cost</f>
        <v>28.805293254525118</v>
      </c>
      <c r="K34" s="54">
        <f>'Table 2A BaseLoad'!K52-Solar_Fixed_integr_cost</f>
        <v>24.006268189599695</v>
      </c>
      <c r="L34" s="55">
        <f>'Table 2A BaseLoad'!L52-Solar_Fixed_integr_cost</f>
        <v>24.959572226711217</v>
      </c>
      <c r="M34" s="56">
        <f>'Table 2A BaseLoad'!M52-Solar_Fixed_integr_cost</f>
        <v>26.861284253757212</v>
      </c>
      <c r="N34" s="133"/>
      <c r="O34" s="133"/>
      <c r="P34" s="133"/>
      <c r="Q34" s="133"/>
      <c r="R34" s="133"/>
      <c r="S34" s="133"/>
      <c r="T34" s="133"/>
    </row>
    <row r="35" spans="1:20" ht="12.75" customHeight="1" x14ac:dyDescent="0.2">
      <c r="A35" s="53">
        <f t="shared" si="1"/>
        <v>2023</v>
      </c>
      <c r="B35" s="54">
        <f>'Table 2A BaseLoad'!B53-Solar_Fixed_integr_cost</f>
        <v>28.60317568650796</v>
      </c>
      <c r="C35" s="55">
        <f>'Table 2A BaseLoad'!C53-Solar_Fixed_integr_cost</f>
        <v>20.641833225953576</v>
      </c>
      <c r="D35" s="55">
        <f>'Table 2A BaseLoad'!D53-Solar_Fixed_integr_cost</f>
        <v>26.189336863899321</v>
      </c>
      <c r="E35" s="55">
        <f>'Table 2A BaseLoad'!E53-Solar_Fixed_integr_cost</f>
        <v>22.577369191680297</v>
      </c>
      <c r="F35" s="55">
        <f>'Table 2A BaseLoad'!F53-Solar_Fixed_integr_cost</f>
        <v>22.201972919735269</v>
      </c>
      <c r="G35" s="54">
        <f>'Table 2A BaseLoad'!G53-Solar_Fixed_integr_cost</f>
        <v>23.41190056350456</v>
      </c>
      <c r="H35" s="55">
        <f>'Table 2A BaseLoad'!H53-Solar_Fixed_integr_cost</f>
        <v>30.798838961541662</v>
      </c>
      <c r="I35" s="55">
        <f>'Table 2A BaseLoad'!I53-Solar_Fixed_integr_cost</f>
        <v>30.532494742484083</v>
      </c>
      <c r="J35" s="56">
        <f>'Table 2A BaseLoad'!J53-Solar_Fixed_integr_cost</f>
        <v>31.71415652571222</v>
      </c>
      <c r="K35" s="54">
        <f>'Table 2A BaseLoad'!K53-Solar_Fixed_integr_cost</f>
        <v>25.971888247376164</v>
      </c>
      <c r="L35" s="55">
        <f>'Table 2A BaseLoad'!L53-Solar_Fixed_integr_cost</f>
        <v>27.326016406983214</v>
      </c>
      <c r="M35" s="56">
        <f>'Table 2A BaseLoad'!M53-Solar_Fixed_integr_cost</f>
        <v>30.296860777060047</v>
      </c>
      <c r="N35" s="133"/>
      <c r="O35" s="133"/>
      <c r="P35" s="133"/>
      <c r="Q35" s="133"/>
      <c r="R35" s="133"/>
      <c r="S35" s="133"/>
      <c r="T35" s="133"/>
    </row>
    <row r="36" spans="1:20" ht="12.75" customHeight="1" x14ac:dyDescent="0.2">
      <c r="A36" s="53">
        <f t="shared" si="1"/>
        <v>2024</v>
      </c>
      <c r="B36" s="54">
        <f>'Table 2A BaseLoad'!B54-Solar_Fixed_integr_cost</f>
        <v>31.395882562395926</v>
      </c>
      <c r="C36" s="55">
        <f>'Table 2A BaseLoad'!C54-Solar_Fixed_integr_cost</f>
        <v>29.784420938582329</v>
      </c>
      <c r="D36" s="55">
        <f>'Table 2A BaseLoad'!D54-Solar_Fixed_integr_cost</f>
        <v>27.800482149449188</v>
      </c>
      <c r="E36" s="55">
        <f>'Table 2A BaseLoad'!E54-Solar_Fixed_integr_cost</f>
        <v>25.353590395278275</v>
      </c>
      <c r="F36" s="55">
        <f>'Table 2A BaseLoad'!F54-Solar_Fixed_integr_cost</f>
        <v>24.169754282868453</v>
      </c>
      <c r="G36" s="54">
        <f>'Table 2A BaseLoad'!G54-Solar_Fixed_integr_cost</f>
        <v>26.33285070890237</v>
      </c>
      <c r="H36" s="55">
        <f>'Table 2A BaseLoad'!H54-Solar_Fixed_integr_cost</f>
        <v>33.826184782257528</v>
      </c>
      <c r="I36" s="55">
        <f>'Table 2A BaseLoad'!I54-Solar_Fixed_integr_cost</f>
        <v>34.12940085290964</v>
      </c>
      <c r="J36" s="56">
        <f>'Table 2A BaseLoad'!J54-Solar_Fixed_integr_cost</f>
        <v>32.763873280163793</v>
      </c>
      <c r="K36" s="54">
        <f>'Table 2A BaseLoad'!K54-Solar_Fixed_integr_cost</f>
        <v>29.26972926586555</v>
      </c>
      <c r="L36" s="55">
        <f>'Table 2A BaseLoad'!L54-Solar_Fixed_integr_cost</f>
        <v>32.17498417989696</v>
      </c>
      <c r="M36" s="56">
        <f>'Table 2A BaseLoad'!M54-Solar_Fixed_integr_cost</f>
        <v>36.246979286842596</v>
      </c>
      <c r="N36" s="133"/>
      <c r="O36" s="133"/>
      <c r="P36" s="133"/>
      <c r="Q36" s="133"/>
      <c r="R36" s="133"/>
      <c r="S36" s="133"/>
      <c r="T36" s="133"/>
    </row>
    <row r="37" spans="1:20" ht="12.75" customHeight="1" x14ac:dyDescent="0.2">
      <c r="A37" s="53">
        <f t="shared" si="1"/>
        <v>2025</v>
      </c>
      <c r="B37" s="54">
        <f>'Table 2A BaseLoad'!B55-Solar_Fixed_integr_cost</f>
        <v>33.174887892692624</v>
      </c>
      <c r="C37" s="55">
        <f>'Table 2A BaseLoad'!C55-Solar_Fixed_integr_cost</f>
        <v>44.968134603656225</v>
      </c>
      <c r="D37" s="55">
        <f>'Table 2A BaseLoad'!D55-Solar_Fixed_integr_cost</f>
        <v>27.362571265115854</v>
      </c>
      <c r="E37" s="55">
        <f>'Table 2A BaseLoad'!E55-Solar_Fixed_integr_cost</f>
        <v>28.984641552435626</v>
      </c>
      <c r="F37" s="55">
        <f>'Table 2A BaseLoad'!F55-Solar_Fixed_integr_cost</f>
        <v>26.216565125095634</v>
      </c>
      <c r="G37" s="54">
        <f>'Table 2A BaseLoad'!G55-Solar_Fixed_integr_cost</f>
        <v>28.477072007491294</v>
      </c>
      <c r="H37" s="55">
        <f>'Table 2A BaseLoad'!H55-Solar_Fixed_integr_cost</f>
        <v>36.642588309748959</v>
      </c>
      <c r="I37" s="55">
        <f>'Table 2A BaseLoad'!I55-Solar_Fixed_integr_cost</f>
        <v>36.317389775209449</v>
      </c>
      <c r="J37" s="56">
        <f>'Table 2A BaseLoad'!J55-Solar_Fixed_integr_cost</f>
        <v>31.501313997336048</v>
      </c>
      <c r="K37" s="54">
        <f>'Table 2A BaseLoad'!K55-Solar_Fixed_integr_cost</f>
        <v>30.39620094116124</v>
      </c>
      <c r="L37" s="55">
        <f>'Table 2A BaseLoad'!L55-Solar_Fixed_integr_cost</f>
        <v>31.46592174495278</v>
      </c>
      <c r="M37" s="56">
        <f>'Table 2A BaseLoad'!M55-Solar_Fixed_integr_cost</f>
        <v>34.516405989037224</v>
      </c>
      <c r="N37" s="133"/>
      <c r="O37" s="133"/>
      <c r="P37" s="133"/>
      <c r="Q37" s="133"/>
      <c r="R37" s="133"/>
      <c r="S37" s="133"/>
      <c r="T37" s="133"/>
    </row>
    <row r="38" spans="1:20" ht="12.75" customHeight="1" x14ac:dyDescent="0.2">
      <c r="A38" s="53">
        <f t="shared" si="1"/>
        <v>2026</v>
      </c>
      <c r="B38" s="54">
        <f>'Table 2A BaseLoad'!B56-Solar_Fixed_integr_cost</f>
        <v>34.315034042784298</v>
      </c>
      <c r="C38" s="55">
        <f>'Table 2A BaseLoad'!C56-Solar_Fixed_integr_cost</f>
        <v>34.461051887002192</v>
      </c>
      <c r="D38" s="55">
        <f>'Table 2A BaseLoad'!D56-Solar_Fixed_integr_cost</f>
        <v>31.403281827070835</v>
      </c>
      <c r="E38" s="55">
        <f>'Table 2A BaseLoad'!E56-Solar_Fixed_integr_cost</f>
        <v>28.357933387238688</v>
      </c>
      <c r="F38" s="55">
        <f>'Table 2A BaseLoad'!F56-Solar_Fixed_integr_cost</f>
        <v>27.908861012338946</v>
      </c>
      <c r="G38" s="54">
        <f>'Table 2A BaseLoad'!G56-Solar_Fixed_integr_cost</f>
        <v>29.713931940546921</v>
      </c>
      <c r="H38" s="55">
        <f>'Table 2A BaseLoad'!H56-Solar_Fixed_integr_cost</f>
        <v>38.72322989062652</v>
      </c>
      <c r="I38" s="55">
        <f>'Table 2A BaseLoad'!I56-Solar_Fixed_integr_cost</f>
        <v>38.384396011901075</v>
      </c>
      <c r="J38" s="55">
        <f>'Table 2A BaseLoad'!J56-Solar_Fixed_integr_cost</f>
        <v>33.701992692494748</v>
      </c>
      <c r="K38" s="54">
        <f>'Table 2A BaseLoad'!K56-Solar_Fixed_integr_cost</f>
        <v>31.302088163770343</v>
      </c>
      <c r="L38" s="55">
        <f>'Table 2A BaseLoad'!L56-Solar_Fixed_integr_cost</f>
        <v>32.998527458622128</v>
      </c>
      <c r="M38" s="56">
        <f>'Table 2A BaseLoad'!M56-Solar_Fixed_integr_cost</f>
        <v>35.886158259512364</v>
      </c>
      <c r="N38" s="134"/>
      <c r="O38" s="134"/>
      <c r="P38" s="134"/>
      <c r="Q38" s="134"/>
      <c r="R38" s="134"/>
      <c r="S38" s="134"/>
      <c r="T38" s="134"/>
    </row>
    <row r="39" spans="1:20" ht="12.75" customHeight="1" x14ac:dyDescent="0.2">
      <c r="A39" s="53">
        <f t="shared" si="1"/>
        <v>2027</v>
      </c>
      <c r="B39" s="54">
        <f>'Table 2A BaseLoad'!B57-Solar_Fixed_integr_cost</f>
        <v>35.387607490757802</v>
      </c>
      <c r="C39" s="55">
        <f>'Table 2A BaseLoad'!C57-Solar_Fixed_integr_cost</f>
        <v>36.398498356511567</v>
      </c>
      <c r="D39" s="55">
        <f>'Table 2A BaseLoad'!D57-Solar_Fixed_integr_cost</f>
        <v>33.658718673632748</v>
      </c>
      <c r="E39" s="55">
        <f>'Table 2A BaseLoad'!E57-Solar_Fixed_integr_cost</f>
        <v>31.274965310500257</v>
      </c>
      <c r="F39" s="55">
        <f>'Table 2A BaseLoad'!F57-Solar_Fixed_integr_cost</f>
        <v>28.783264127073565</v>
      </c>
      <c r="G39" s="54">
        <f>'Table 2A BaseLoad'!G57-Solar_Fixed_integr_cost</f>
        <v>31.134376315486087</v>
      </c>
      <c r="H39" s="55">
        <f>'Table 2A BaseLoad'!H57-Solar_Fixed_integr_cost</f>
        <v>40.469420699507062</v>
      </c>
      <c r="I39" s="55">
        <f>'Table 2A BaseLoad'!I57-Solar_Fixed_integr_cost</f>
        <v>40.356032985535826</v>
      </c>
      <c r="J39" s="55">
        <f>'Table 2A BaseLoad'!J57-Solar_Fixed_integr_cost</f>
        <v>36.199593601897092</v>
      </c>
      <c r="K39" s="54">
        <f>'Table 2A BaseLoad'!K57-Solar_Fixed_integr_cost</f>
        <v>34.735322148062103</v>
      </c>
      <c r="L39" s="55">
        <f>'Table 2A BaseLoad'!L57-Solar_Fixed_integr_cost</f>
        <v>35.909126736445373</v>
      </c>
      <c r="M39" s="56">
        <f>'Table 2A BaseLoad'!M57-Solar_Fixed_integr_cost</f>
        <v>39.319291117270865</v>
      </c>
    </row>
    <row r="40" spans="1:20" ht="12.75" customHeight="1" x14ac:dyDescent="0.2">
      <c r="A40" s="53"/>
      <c r="B40" s="54"/>
      <c r="C40" s="55"/>
      <c r="D40" s="55"/>
      <c r="E40" s="55"/>
      <c r="F40" s="55"/>
      <c r="G40" s="54"/>
      <c r="H40" s="55"/>
      <c r="I40" s="55"/>
      <c r="J40" s="55"/>
      <c r="K40" s="54"/>
      <c r="L40" s="55"/>
      <c r="M40" s="56"/>
    </row>
    <row r="41" spans="1:20" ht="12.75" hidden="1" customHeight="1" x14ac:dyDescent="0.2">
      <c r="A41" s="53"/>
      <c r="B41" s="54"/>
      <c r="C41" s="55"/>
      <c r="D41" s="55"/>
      <c r="E41" s="55"/>
      <c r="F41" s="55"/>
      <c r="G41" s="54"/>
      <c r="H41" s="55"/>
      <c r="I41" s="55"/>
      <c r="J41" s="55"/>
      <c r="K41" s="54"/>
      <c r="L41" s="55"/>
      <c r="M41" s="56"/>
    </row>
    <row r="42" spans="1:20" ht="12.75" hidden="1" customHeight="1" x14ac:dyDescent="0.2">
      <c r="A42" s="53"/>
      <c r="B42" s="54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6"/>
    </row>
    <row r="43" spans="1:20" ht="12.75" hidden="1" customHeight="1" x14ac:dyDescent="0.2">
      <c r="A43" s="57"/>
      <c r="B43" s="58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60"/>
    </row>
    <row r="44" spans="1:20" ht="12.75" customHeight="1" x14ac:dyDescent="0.2">
      <c r="A44" s="111"/>
      <c r="B44" s="109"/>
      <c r="C44" s="109"/>
      <c r="D44" s="109"/>
      <c r="E44" s="109"/>
      <c r="F44" s="108"/>
      <c r="G44" s="108"/>
      <c r="H44" s="108"/>
      <c r="I44" s="108"/>
      <c r="J44" s="110"/>
      <c r="K44" s="108"/>
      <c r="L44" s="108"/>
      <c r="M44" s="108"/>
    </row>
    <row r="45" spans="1:20" ht="12.75" customHeight="1" x14ac:dyDescent="0.2">
      <c r="A45" s="12" t="s">
        <v>228</v>
      </c>
      <c r="C45" s="40"/>
      <c r="D45" s="40"/>
      <c r="E45" s="40"/>
      <c r="G45" s="40"/>
      <c r="H45" s="40"/>
      <c r="I45" s="40"/>
      <c r="J45" s="48"/>
      <c r="L45" s="40"/>
      <c r="M45" s="37"/>
    </row>
    <row r="46" spans="1:20" ht="12.75" customHeight="1" x14ac:dyDescent="0.2">
      <c r="A46" s="49">
        <f>'Tables 3 to 5'!$B$13</f>
        <v>2016</v>
      </c>
      <c r="B46" s="50"/>
      <c r="C46" s="51"/>
      <c r="D46" s="51"/>
      <c r="E46" s="51"/>
      <c r="F46" s="51">
        <f t="shared" ref="F46:G46" si="2">F10*0.56+F28*0.44</f>
        <v>11.460882714180654</v>
      </c>
      <c r="G46" s="50">
        <f t="shared" si="2"/>
        <v>11.813839806365785</v>
      </c>
      <c r="H46" s="51">
        <f>H10*0.56+H28*0.44</f>
        <v>19.346686912154905</v>
      </c>
      <c r="I46" s="51">
        <f t="shared" ref="I46:M46" si="3">I10*0.56+I28*0.44</f>
        <v>19.528584557637615</v>
      </c>
      <c r="J46" s="51">
        <f t="shared" si="3"/>
        <v>19.147251122673349</v>
      </c>
      <c r="K46" s="50">
        <f t="shared" si="3"/>
        <v>14.696575880168643</v>
      </c>
      <c r="L46" s="51">
        <f t="shared" si="3"/>
        <v>15.025201290116794</v>
      </c>
      <c r="M46" s="52">
        <f t="shared" si="3"/>
        <v>19.636246117890526</v>
      </c>
    </row>
    <row r="47" spans="1:20" ht="12.75" customHeight="1" x14ac:dyDescent="0.2">
      <c r="A47" s="53">
        <f t="shared" ref="A47:A57" si="4">A46+1</f>
        <v>2017</v>
      </c>
      <c r="B47" s="54">
        <f>B11*0.56+B29*0.44</f>
        <v>18.084855380909005</v>
      </c>
      <c r="C47" s="55">
        <f t="shared" ref="C47:M47" si="5">C11*0.56+C29*0.44</f>
        <v>18.818522309227326</v>
      </c>
      <c r="D47" s="55">
        <f t="shared" si="5"/>
        <v>16.941033040618038</v>
      </c>
      <c r="E47" s="55">
        <f t="shared" si="5"/>
        <v>16.816411142772576</v>
      </c>
      <c r="F47" s="55">
        <f t="shared" si="5"/>
        <v>14.030451602038504</v>
      </c>
      <c r="G47" s="54">
        <f t="shared" si="5"/>
        <v>13.912506601003582</v>
      </c>
      <c r="H47" s="55">
        <f t="shared" si="5"/>
        <v>21.42908390327608</v>
      </c>
      <c r="I47" s="55">
        <f t="shared" si="5"/>
        <v>20.190760129659445</v>
      </c>
      <c r="J47" s="55">
        <f t="shared" si="5"/>
        <v>17.929834170608498</v>
      </c>
      <c r="K47" s="54">
        <f t="shared" si="5"/>
        <v>15.233375164308422</v>
      </c>
      <c r="L47" s="55">
        <f t="shared" si="5"/>
        <v>18.288850495620331</v>
      </c>
      <c r="M47" s="56">
        <f t="shared" si="5"/>
        <v>21.665415800290706</v>
      </c>
    </row>
    <row r="48" spans="1:20" ht="12.75" customHeight="1" x14ac:dyDescent="0.2">
      <c r="A48" s="53">
        <f t="shared" si="4"/>
        <v>2018</v>
      </c>
      <c r="B48" s="54">
        <f t="shared" ref="B48:M57" si="6">B12*0.56+B30*0.44</f>
        <v>22.401471838888771</v>
      </c>
      <c r="C48" s="55">
        <f t="shared" si="6"/>
        <v>20.885144585722024</v>
      </c>
      <c r="D48" s="55">
        <f t="shared" si="6"/>
        <v>19.140217570926609</v>
      </c>
      <c r="E48" s="55">
        <f t="shared" si="6"/>
        <v>18.581578411719917</v>
      </c>
      <c r="F48" s="55">
        <f t="shared" si="6"/>
        <v>15.750726717184529</v>
      </c>
      <c r="G48" s="54">
        <f t="shared" si="6"/>
        <v>15.658073980659445</v>
      </c>
      <c r="H48" s="55">
        <f t="shared" si="6"/>
        <v>23.394443104219572</v>
      </c>
      <c r="I48" s="55">
        <f t="shared" si="6"/>
        <v>22.192362941979184</v>
      </c>
      <c r="J48" s="55">
        <f t="shared" si="6"/>
        <v>18.563722364711424</v>
      </c>
      <c r="K48" s="54">
        <f t="shared" si="6"/>
        <v>17.694305437017526</v>
      </c>
      <c r="L48" s="55">
        <f t="shared" si="6"/>
        <v>21.829643093498184</v>
      </c>
      <c r="M48" s="56">
        <f t="shared" si="6"/>
        <v>24.052927811635509</v>
      </c>
    </row>
    <row r="49" spans="1:13" ht="12.75" customHeight="1" x14ac:dyDescent="0.2">
      <c r="A49" s="53">
        <f t="shared" si="4"/>
        <v>2019</v>
      </c>
      <c r="B49" s="54">
        <f t="shared" si="6"/>
        <v>23.19464603738815</v>
      </c>
      <c r="C49" s="55">
        <f t="shared" si="6"/>
        <v>22.123580652629499</v>
      </c>
      <c r="D49" s="55">
        <f t="shared" si="6"/>
        <v>20.014724919091346</v>
      </c>
      <c r="E49" s="55">
        <f t="shared" si="6"/>
        <v>16.629697713870922</v>
      </c>
      <c r="F49" s="55">
        <f t="shared" si="6"/>
        <v>16.427647754445509</v>
      </c>
      <c r="G49" s="54">
        <f t="shared" si="6"/>
        <v>16.474225726377046</v>
      </c>
      <c r="H49" s="55">
        <f t="shared" si="6"/>
        <v>24.451863780014179</v>
      </c>
      <c r="I49" s="55">
        <f t="shared" si="6"/>
        <v>24.854580662775838</v>
      </c>
      <c r="J49" s="55">
        <f t="shared" si="6"/>
        <v>23.670254678897287</v>
      </c>
      <c r="K49" s="54">
        <f t="shared" si="6"/>
        <v>18.987304373420702</v>
      </c>
      <c r="L49" s="55">
        <f t="shared" si="6"/>
        <v>22.594298783788084</v>
      </c>
      <c r="M49" s="56">
        <f t="shared" si="6"/>
        <v>24.863919895506044</v>
      </c>
    </row>
    <row r="50" spans="1:13" ht="12.75" customHeight="1" x14ac:dyDescent="0.2">
      <c r="A50" s="53">
        <f t="shared" si="4"/>
        <v>2020</v>
      </c>
      <c r="B50" s="54">
        <f t="shared" si="6"/>
        <v>24.493850611791302</v>
      </c>
      <c r="C50" s="55">
        <f t="shared" si="6"/>
        <v>22.877825832278933</v>
      </c>
      <c r="D50" s="55">
        <f t="shared" si="6"/>
        <v>26.353813595298725</v>
      </c>
      <c r="E50" s="55">
        <f t="shared" si="6"/>
        <v>19.613304159909994</v>
      </c>
      <c r="F50" s="55">
        <f t="shared" si="6"/>
        <v>17.576058050699814</v>
      </c>
      <c r="G50" s="54">
        <f t="shared" si="6"/>
        <v>17.599871162895493</v>
      </c>
      <c r="H50" s="55">
        <f t="shared" si="6"/>
        <v>25.958626901800905</v>
      </c>
      <c r="I50" s="55">
        <f t="shared" si="6"/>
        <v>24.500001059248241</v>
      </c>
      <c r="J50" s="55">
        <f t="shared" si="6"/>
        <v>22.274226333894592</v>
      </c>
      <c r="K50" s="54">
        <f t="shared" si="6"/>
        <v>21.632825303894503</v>
      </c>
      <c r="L50" s="55">
        <f t="shared" si="6"/>
        <v>24.428020895947871</v>
      </c>
      <c r="M50" s="56">
        <f t="shared" si="6"/>
        <v>25.893620089454469</v>
      </c>
    </row>
    <row r="51" spans="1:13" ht="12.75" customHeight="1" x14ac:dyDescent="0.2">
      <c r="A51" s="53">
        <f t="shared" si="4"/>
        <v>2021</v>
      </c>
      <c r="B51" s="54">
        <f t="shared" si="6"/>
        <v>26.065178899156578</v>
      </c>
      <c r="C51" s="55">
        <f t="shared" si="6"/>
        <v>25.02031568554165</v>
      </c>
      <c r="D51" s="55">
        <f t="shared" si="6"/>
        <v>23.092519860440191</v>
      </c>
      <c r="E51" s="55">
        <f t="shared" si="6"/>
        <v>21.730138699707048</v>
      </c>
      <c r="F51" s="55">
        <f t="shared" si="6"/>
        <v>18.571476874864004</v>
      </c>
      <c r="G51" s="54">
        <f t="shared" si="6"/>
        <v>17.978624446061882</v>
      </c>
      <c r="H51" s="55">
        <f t="shared" si="6"/>
        <v>27.714057683663881</v>
      </c>
      <c r="I51" s="55">
        <f t="shared" si="6"/>
        <v>28.392605745304749</v>
      </c>
      <c r="J51" s="55">
        <f t="shared" si="6"/>
        <v>27.508894215186771</v>
      </c>
      <c r="K51" s="54">
        <f t="shared" si="6"/>
        <v>23.165971578868081</v>
      </c>
      <c r="L51" s="55">
        <f t="shared" si="6"/>
        <v>26.249873643402509</v>
      </c>
      <c r="M51" s="56">
        <f t="shared" si="6"/>
        <v>28.140494992071908</v>
      </c>
    </row>
    <row r="52" spans="1:13" ht="12.75" customHeight="1" x14ac:dyDescent="0.2">
      <c r="A52" s="53">
        <f t="shared" si="4"/>
        <v>2022</v>
      </c>
      <c r="B52" s="54">
        <f t="shared" si="6"/>
        <v>28.110582250597997</v>
      </c>
      <c r="C52" s="55">
        <f t="shared" si="6"/>
        <v>27.073434409338983</v>
      </c>
      <c r="D52" s="55">
        <f t="shared" si="6"/>
        <v>25.187153170630097</v>
      </c>
      <c r="E52" s="55">
        <f t="shared" si="6"/>
        <v>22.103725372129841</v>
      </c>
      <c r="F52" s="55">
        <f t="shared" si="6"/>
        <v>21.452925581536171</v>
      </c>
      <c r="G52" s="54">
        <f t="shared" si="6"/>
        <v>22.955636733053581</v>
      </c>
      <c r="H52" s="55">
        <f t="shared" si="6"/>
        <v>30.943640980497285</v>
      </c>
      <c r="I52" s="55">
        <f t="shared" si="6"/>
        <v>31.737489198947248</v>
      </c>
      <c r="J52" s="55">
        <f t="shared" si="6"/>
        <v>31.476700947354672</v>
      </c>
      <c r="K52" s="54">
        <f t="shared" si="6"/>
        <v>25.963198376733168</v>
      </c>
      <c r="L52" s="55">
        <f t="shared" si="6"/>
        <v>27.123387465199244</v>
      </c>
      <c r="M52" s="56">
        <f t="shared" si="6"/>
        <v>28.956911609828573</v>
      </c>
    </row>
    <row r="53" spans="1:13" ht="12.75" customHeight="1" x14ac:dyDescent="0.2">
      <c r="A53" s="53">
        <f t="shared" si="4"/>
        <v>2023</v>
      </c>
      <c r="B53" s="54">
        <f t="shared" si="6"/>
        <v>30.794787077790311</v>
      </c>
      <c r="C53" s="55">
        <f t="shared" si="6"/>
        <v>22.337236481390136</v>
      </c>
      <c r="D53" s="55">
        <f t="shared" si="6"/>
        <v>27.889908068298006</v>
      </c>
      <c r="E53" s="55">
        <f t="shared" si="6"/>
        <v>24.170000379948053</v>
      </c>
      <c r="F53" s="55">
        <f t="shared" si="6"/>
        <v>23.675177439600581</v>
      </c>
      <c r="G53" s="54">
        <f t="shared" si="6"/>
        <v>26.049695076427327</v>
      </c>
      <c r="H53" s="55">
        <f t="shared" si="6"/>
        <v>34.722748179237293</v>
      </c>
      <c r="I53" s="55">
        <f t="shared" si="6"/>
        <v>34.923570290595919</v>
      </c>
      <c r="J53" s="55">
        <f t="shared" si="6"/>
        <v>34.62032816801802</v>
      </c>
      <c r="K53" s="54">
        <f t="shared" si="6"/>
        <v>27.903580266025806</v>
      </c>
      <c r="L53" s="55">
        <f t="shared" si="6"/>
        <v>29.990290944429479</v>
      </c>
      <c r="M53" s="56">
        <f t="shared" si="6"/>
        <v>32.797549030011268</v>
      </c>
    </row>
    <row r="54" spans="1:13" ht="12.75" customHeight="1" x14ac:dyDescent="0.2">
      <c r="A54" s="53">
        <f t="shared" si="4"/>
        <v>2024</v>
      </c>
      <c r="B54" s="54">
        <f t="shared" si="6"/>
        <v>33.957682438812931</v>
      </c>
      <c r="C54" s="55">
        <f t="shared" si="6"/>
        <v>32.236901303328821</v>
      </c>
      <c r="D54" s="55">
        <f t="shared" si="6"/>
        <v>29.580863035639769</v>
      </c>
      <c r="E54" s="55">
        <f t="shared" si="6"/>
        <v>26.660283456722848</v>
      </c>
      <c r="F54" s="55">
        <f t="shared" si="6"/>
        <v>25.708810538303339</v>
      </c>
      <c r="G54" s="54">
        <f t="shared" si="6"/>
        <v>28.8198652725439</v>
      </c>
      <c r="H54" s="55">
        <f t="shared" si="6"/>
        <v>38.28371849352898</v>
      </c>
      <c r="I54" s="55">
        <f t="shared" si="6"/>
        <v>38.959162277635613</v>
      </c>
      <c r="J54" s="55">
        <f t="shared" si="6"/>
        <v>36.413946998945072</v>
      </c>
      <c r="K54" s="54">
        <f t="shared" si="6"/>
        <v>31.938745955935339</v>
      </c>
      <c r="L54" s="55">
        <f t="shared" si="6"/>
        <v>35.33193402546128</v>
      </c>
      <c r="M54" s="56">
        <f t="shared" si="6"/>
        <v>39.079361237821459</v>
      </c>
    </row>
    <row r="55" spans="1:13" ht="12.75" customHeight="1" x14ac:dyDescent="0.2">
      <c r="A55" s="53">
        <f t="shared" si="4"/>
        <v>2025</v>
      </c>
      <c r="B55" s="54">
        <f t="shared" si="6"/>
        <v>35.592065220593817</v>
      </c>
      <c r="C55" s="55">
        <f t="shared" si="6"/>
        <v>47.958913608536022</v>
      </c>
      <c r="D55" s="55">
        <f t="shared" si="6"/>
        <v>28.874927676386811</v>
      </c>
      <c r="E55" s="55">
        <f t="shared" si="6"/>
        <v>30.567487928928628</v>
      </c>
      <c r="F55" s="55">
        <f t="shared" si="6"/>
        <v>27.743747836936613</v>
      </c>
      <c r="G55" s="54">
        <f t="shared" si="6"/>
        <v>31.318956283183823</v>
      </c>
      <c r="H55" s="55">
        <f t="shared" si="6"/>
        <v>41.464995261328568</v>
      </c>
      <c r="I55" s="55">
        <f t="shared" si="6"/>
        <v>41.219640941991159</v>
      </c>
      <c r="J55" s="55">
        <f t="shared" si="6"/>
        <v>35.265633527279086</v>
      </c>
      <c r="K55" s="54">
        <f t="shared" si="6"/>
        <v>33.204190831140338</v>
      </c>
      <c r="L55" s="55">
        <f t="shared" si="6"/>
        <v>34.15997710835029</v>
      </c>
      <c r="M55" s="56">
        <f t="shared" si="6"/>
        <v>37.430877011699586</v>
      </c>
    </row>
    <row r="56" spans="1:13" ht="12.75" customHeight="1" x14ac:dyDescent="0.2">
      <c r="A56" s="53">
        <f t="shared" si="4"/>
        <v>2026</v>
      </c>
      <c r="B56" s="54">
        <f t="shared" si="6"/>
        <v>36.875903545164661</v>
      </c>
      <c r="C56" s="55">
        <f t="shared" si="6"/>
        <v>36.85500277879639</v>
      </c>
      <c r="D56" s="55">
        <f t="shared" si="6"/>
        <v>33.3476935716009</v>
      </c>
      <c r="E56" s="55">
        <f t="shared" si="6"/>
        <v>29.920311211873255</v>
      </c>
      <c r="F56" s="55">
        <f t="shared" si="6"/>
        <v>29.686400140262464</v>
      </c>
      <c r="G56" s="54">
        <f t="shared" si="6"/>
        <v>32.577590126283894</v>
      </c>
      <c r="H56" s="55">
        <f t="shared" si="6"/>
        <v>43.433971319330638</v>
      </c>
      <c r="I56" s="55">
        <f t="shared" si="6"/>
        <v>43.204662866180797</v>
      </c>
      <c r="J56" s="55">
        <f t="shared" si="6"/>
        <v>37.105703837297014</v>
      </c>
      <c r="K56" s="54">
        <f t="shared" si="6"/>
        <v>33.890634807114104</v>
      </c>
      <c r="L56" s="55">
        <f t="shared" si="6"/>
        <v>35.932410319688714</v>
      </c>
      <c r="M56" s="56">
        <f t="shared" si="6"/>
        <v>38.89350683326812</v>
      </c>
    </row>
    <row r="57" spans="1:13" ht="12.75" customHeight="1" x14ac:dyDescent="0.2">
      <c r="A57" s="53">
        <f t="shared" si="4"/>
        <v>2027</v>
      </c>
      <c r="B57" s="54">
        <f t="shared" si="6"/>
        <v>37.989309523281001</v>
      </c>
      <c r="C57" s="55">
        <f t="shared" si="6"/>
        <v>38.989488750545348</v>
      </c>
      <c r="D57" s="55">
        <f t="shared" si="6"/>
        <v>35.565189873741112</v>
      </c>
      <c r="E57" s="55">
        <f t="shared" si="6"/>
        <v>32.933050481085417</v>
      </c>
      <c r="F57" s="55">
        <f t="shared" si="6"/>
        <v>30.505359764874669</v>
      </c>
      <c r="G57" s="54">
        <f t="shared" si="6"/>
        <v>34.074011272723077</v>
      </c>
      <c r="H57" s="55">
        <f t="shared" si="6"/>
        <v>45.052162834068284</v>
      </c>
      <c r="I57" s="55">
        <f t="shared" si="6"/>
        <v>45.287899037584651</v>
      </c>
      <c r="J57" s="55">
        <f t="shared" si="6"/>
        <v>39.578495086289657</v>
      </c>
      <c r="K57" s="54">
        <f t="shared" si="6"/>
        <v>37.53678869100888</v>
      </c>
      <c r="L57" s="55">
        <f t="shared" si="6"/>
        <v>39.186265966185573</v>
      </c>
      <c r="M57" s="56">
        <f t="shared" si="6"/>
        <v>42.5787590093341</v>
      </c>
    </row>
    <row r="58" spans="1:13" ht="12.75" customHeight="1" x14ac:dyDescent="0.2">
      <c r="A58" s="53"/>
      <c r="B58" s="54"/>
      <c r="C58" s="55"/>
      <c r="D58" s="55"/>
      <c r="E58" s="55"/>
      <c r="F58" s="55"/>
      <c r="G58" s="54"/>
      <c r="H58" s="55"/>
      <c r="I58" s="55"/>
      <c r="J58" s="55"/>
      <c r="K58" s="54"/>
      <c r="L58" s="55"/>
      <c r="M58" s="56"/>
    </row>
    <row r="59" spans="1:13" ht="12.75" hidden="1" customHeight="1" x14ac:dyDescent="0.2">
      <c r="A59" s="53"/>
      <c r="B59" s="54"/>
      <c r="C59" s="55"/>
      <c r="D59" s="55"/>
      <c r="E59" s="55"/>
      <c r="F59" s="55"/>
      <c r="G59" s="54"/>
      <c r="H59" s="55"/>
      <c r="I59" s="55"/>
      <c r="J59" s="55"/>
      <c r="K59" s="54"/>
      <c r="L59" s="55"/>
      <c r="M59" s="56"/>
    </row>
    <row r="60" spans="1:13" ht="12.75" hidden="1" customHeight="1" x14ac:dyDescent="0.2">
      <c r="A60" s="53"/>
      <c r="B60" s="54"/>
      <c r="C60" s="55"/>
      <c r="D60" s="55"/>
      <c r="E60" s="55"/>
      <c r="F60" s="55"/>
      <c r="G60" s="54"/>
      <c r="H60" s="55"/>
      <c r="I60" s="55"/>
      <c r="J60" s="55"/>
      <c r="K60" s="54"/>
      <c r="L60" s="55"/>
      <c r="M60" s="56"/>
    </row>
    <row r="61" spans="1:13" ht="12.75" hidden="1" customHeight="1" x14ac:dyDescent="0.2">
      <c r="A61" s="57"/>
      <c r="B61" s="58"/>
      <c r="C61" s="59"/>
      <c r="D61" s="59"/>
      <c r="E61" s="59"/>
      <c r="F61" s="59"/>
      <c r="G61" s="58"/>
      <c r="H61" s="59"/>
      <c r="I61" s="59"/>
      <c r="J61" s="59"/>
      <c r="K61" s="58"/>
      <c r="L61" s="59"/>
      <c r="M61" s="60"/>
    </row>
    <row r="62" spans="1:13" ht="12.75" customHeight="1" x14ac:dyDescent="0.2">
      <c r="A62" s="108"/>
      <c r="B62" s="109"/>
      <c r="C62" s="109"/>
      <c r="D62" s="109"/>
      <c r="E62" s="108"/>
      <c r="F62" s="108"/>
      <c r="G62" s="108"/>
      <c r="H62" s="108"/>
      <c r="I62" s="108"/>
      <c r="J62" s="108"/>
      <c r="K62" s="110"/>
      <c r="L62" s="108"/>
      <c r="M62" s="108"/>
    </row>
    <row r="63" spans="1:13" ht="12.75" customHeight="1" x14ac:dyDescent="0.2">
      <c r="A63" s="12" t="s">
        <v>66</v>
      </c>
      <c r="C63" s="62"/>
      <c r="D63" s="62"/>
      <c r="K63" s="61"/>
    </row>
    <row r="64" spans="1:13" ht="12.75" customHeight="1" x14ac:dyDescent="0.2">
      <c r="A64" s="63" t="s">
        <v>2</v>
      </c>
      <c r="C64" s="64" t="s">
        <v>56</v>
      </c>
      <c r="D64" s="33"/>
      <c r="E64" s="34"/>
      <c r="F64" s="37"/>
      <c r="G64" s="64" t="s">
        <v>57</v>
      </c>
      <c r="H64" s="33"/>
      <c r="I64" s="34"/>
      <c r="J64" s="37"/>
      <c r="K64" s="64" t="s">
        <v>67</v>
      </c>
      <c r="L64" s="33"/>
      <c r="M64" s="34"/>
    </row>
    <row r="65" spans="1:13" s="37" customFormat="1" ht="12.75" customHeight="1" x14ac:dyDescent="0.2">
      <c r="A65" s="47"/>
      <c r="C65" s="17" t="s">
        <v>79</v>
      </c>
      <c r="D65" s="18" t="s">
        <v>1</v>
      </c>
      <c r="E65" s="18" t="s">
        <v>10</v>
      </c>
      <c r="F65" s="47"/>
      <c r="G65" s="17" t="s">
        <v>79</v>
      </c>
      <c r="H65" s="18" t="s">
        <v>1</v>
      </c>
      <c r="I65" s="18" t="s">
        <v>10</v>
      </c>
      <c r="J65" s="47"/>
      <c r="K65" s="17" t="s">
        <v>79</v>
      </c>
      <c r="L65" s="18" t="s">
        <v>1</v>
      </c>
      <c r="M65" s="18" t="s">
        <v>10</v>
      </c>
    </row>
    <row r="66" spans="1:13" s="37" customFormat="1" ht="12.75" customHeight="1" x14ac:dyDescent="0.2">
      <c r="A66" s="65">
        <f t="shared" ref="A66:A77" si="7">A10</f>
        <v>2016</v>
      </c>
      <c r="C66" s="38">
        <f>ROUND(AVERAGE(B10:F10,K10:M10),2)</f>
        <v>16.41</v>
      </c>
      <c r="D66" s="38">
        <f t="shared" ref="D66:D77" si="8">ROUND(AVERAGE(B28:F28,K28:M28),2)</f>
        <v>13.67</v>
      </c>
      <c r="E66" s="38">
        <f>ROUND(AVERAGE(B46:F46,K46:M46),2)</f>
        <v>15.2</v>
      </c>
      <c r="G66" s="55">
        <f t="shared" ref="G66:G77" si="9">ROUND(AVERAGE(G10:J10),2)</f>
        <v>19.91</v>
      </c>
      <c r="H66" s="55">
        <f t="shared" ref="H66:H77" si="10">ROUND(AVERAGE(G28:J28),2)</f>
        <v>14.34</v>
      </c>
      <c r="I66" s="55">
        <f>ROUND(AVERAGE(G46:J46),2)</f>
        <v>17.46</v>
      </c>
      <c r="K66" s="38">
        <f t="shared" ref="K66:K77" si="11">ROUND(AVERAGE(B10:M10),2)</f>
        <v>18.16</v>
      </c>
      <c r="L66" s="38">
        <f t="shared" ref="L66:L77" si="12">ROUND(AVERAGE(B28:M28),2)</f>
        <v>14</v>
      </c>
      <c r="M66" s="38">
        <f>ROUND(AVERAGE(B46:M46),2)</f>
        <v>16.329999999999998</v>
      </c>
    </row>
    <row r="67" spans="1:13" s="37" customFormat="1" ht="12.75" customHeight="1" x14ac:dyDescent="0.2">
      <c r="A67" s="65">
        <f t="shared" si="7"/>
        <v>2017</v>
      </c>
      <c r="C67" s="38">
        <f t="shared" ref="C67:C77" si="13">ROUND(AVERAGE(B11:F11,K11:M11),2)</f>
        <v>18.63</v>
      </c>
      <c r="D67" s="38">
        <f t="shared" si="8"/>
        <v>16.02</v>
      </c>
      <c r="E67" s="38">
        <f>ROUND(AVERAGE(B47:F47,K47:M47),2)</f>
        <v>17.48</v>
      </c>
      <c r="G67" s="55">
        <f t="shared" si="9"/>
        <v>20.38</v>
      </c>
      <c r="H67" s="55">
        <f t="shared" si="10"/>
        <v>15.8</v>
      </c>
      <c r="I67" s="55">
        <f>ROUND(AVERAGE(G47:J47),2)</f>
        <v>18.37</v>
      </c>
      <c r="K67" s="38">
        <f t="shared" si="11"/>
        <v>19.22</v>
      </c>
      <c r="L67" s="38">
        <f t="shared" si="12"/>
        <v>15.95</v>
      </c>
      <c r="M67" s="38">
        <f>ROUND(AVERAGE(B47:M47),2)</f>
        <v>17.78</v>
      </c>
    </row>
    <row r="68" spans="1:13" s="37" customFormat="1" ht="12.75" customHeight="1" x14ac:dyDescent="0.2">
      <c r="A68" s="65">
        <f t="shared" si="7"/>
        <v>2018</v>
      </c>
      <c r="C68" s="38">
        <f t="shared" si="13"/>
        <v>21.24</v>
      </c>
      <c r="D68" s="38">
        <f t="shared" si="8"/>
        <v>18.510000000000002</v>
      </c>
      <c r="E68" s="38">
        <f t="shared" ref="E68:E77" si="14">ROUND(AVERAGE(B48:F48,K48:M48),2)</f>
        <v>20.04</v>
      </c>
      <c r="G68" s="55">
        <f t="shared" si="9"/>
        <v>22.45</v>
      </c>
      <c r="H68" s="55">
        <f t="shared" si="10"/>
        <v>16.77</v>
      </c>
      <c r="I68" s="55">
        <f t="shared" ref="I68:I77" si="15">ROUND(AVERAGE(G48:J48),2)</f>
        <v>19.95</v>
      </c>
      <c r="K68" s="38">
        <f t="shared" si="11"/>
        <v>21.64</v>
      </c>
      <c r="L68" s="38">
        <f t="shared" si="12"/>
        <v>17.93</v>
      </c>
      <c r="M68" s="38">
        <f t="shared" ref="M68:M77" si="16">ROUND(AVERAGE(B48:M48),2)</f>
        <v>20.010000000000002</v>
      </c>
    </row>
    <row r="69" spans="1:13" s="37" customFormat="1" ht="12.75" customHeight="1" x14ac:dyDescent="0.2">
      <c r="A69" s="65">
        <f t="shared" si="7"/>
        <v>2019</v>
      </c>
      <c r="C69" s="38">
        <f t="shared" si="13"/>
        <v>21.89</v>
      </c>
      <c r="D69" s="38">
        <f t="shared" si="8"/>
        <v>18.97</v>
      </c>
      <c r="E69" s="38">
        <f t="shared" si="14"/>
        <v>20.6</v>
      </c>
      <c r="G69" s="55">
        <f t="shared" si="9"/>
        <v>25.06</v>
      </c>
      <c r="H69" s="55">
        <f t="shared" si="10"/>
        <v>18.93</v>
      </c>
      <c r="I69" s="55">
        <f t="shared" si="15"/>
        <v>22.36</v>
      </c>
      <c r="K69" s="38">
        <f t="shared" si="11"/>
        <v>22.95</v>
      </c>
      <c r="L69" s="38">
        <f t="shared" si="12"/>
        <v>18.96</v>
      </c>
      <c r="M69" s="38">
        <f t="shared" si="16"/>
        <v>21.19</v>
      </c>
    </row>
    <row r="70" spans="1:13" s="37" customFormat="1" ht="12.75" customHeight="1" x14ac:dyDescent="0.2">
      <c r="A70" s="65">
        <f t="shared" si="7"/>
        <v>2020</v>
      </c>
      <c r="C70" s="38">
        <f t="shared" si="13"/>
        <v>24.26</v>
      </c>
      <c r="D70" s="38">
        <f t="shared" si="8"/>
        <v>21.07</v>
      </c>
      <c r="E70" s="38">
        <f t="shared" si="14"/>
        <v>22.86</v>
      </c>
      <c r="G70" s="55">
        <f t="shared" si="9"/>
        <v>25.49</v>
      </c>
      <c r="H70" s="55">
        <f t="shared" si="10"/>
        <v>18.88</v>
      </c>
      <c r="I70" s="55">
        <f t="shared" si="15"/>
        <v>22.58</v>
      </c>
      <c r="K70" s="38">
        <f t="shared" si="11"/>
        <v>24.67</v>
      </c>
      <c r="L70" s="38">
        <f t="shared" si="12"/>
        <v>20.34</v>
      </c>
      <c r="M70" s="38">
        <f t="shared" si="16"/>
        <v>22.77</v>
      </c>
    </row>
    <row r="71" spans="1:13" s="37" customFormat="1" ht="12.75" customHeight="1" x14ac:dyDescent="0.2">
      <c r="A71" s="65">
        <f t="shared" si="7"/>
        <v>2021</v>
      </c>
      <c r="C71" s="38">
        <f t="shared" si="13"/>
        <v>25.49</v>
      </c>
      <c r="D71" s="38">
        <f t="shared" si="8"/>
        <v>22.11</v>
      </c>
      <c r="E71" s="38">
        <f t="shared" si="14"/>
        <v>24</v>
      </c>
      <c r="G71" s="55">
        <f t="shared" si="9"/>
        <v>28.3</v>
      </c>
      <c r="H71" s="55">
        <f t="shared" si="10"/>
        <v>21.7</v>
      </c>
      <c r="I71" s="55">
        <f t="shared" si="15"/>
        <v>25.4</v>
      </c>
      <c r="K71" s="38">
        <f t="shared" si="11"/>
        <v>26.43</v>
      </c>
      <c r="L71" s="38">
        <f t="shared" si="12"/>
        <v>21.98</v>
      </c>
      <c r="M71" s="38">
        <f t="shared" si="16"/>
        <v>24.47</v>
      </c>
    </row>
    <row r="72" spans="1:13" s="37" customFormat="1" ht="12.75" customHeight="1" x14ac:dyDescent="0.2">
      <c r="A72" s="65">
        <f t="shared" si="7"/>
        <v>2022</v>
      </c>
      <c r="C72" s="38">
        <f t="shared" si="13"/>
        <v>27.26</v>
      </c>
      <c r="D72" s="38">
        <f t="shared" si="8"/>
        <v>23.82</v>
      </c>
      <c r="E72" s="38">
        <f t="shared" si="14"/>
        <v>25.75</v>
      </c>
      <c r="G72" s="55">
        <f t="shared" si="9"/>
        <v>32.119999999999997</v>
      </c>
      <c r="H72" s="55">
        <f t="shared" si="10"/>
        <v>25.66</v>
      </c>
      <c r="I72" s="55">
        <f t="shared" si="15"/>
        <v>29.28</v>
      </c>
      <c r="K72" s="38">
        <f t="shared" si="11"/>
        <v>28.88</v>
      </c>
      <c r="L72" s="38">
        <f t="shared" si="12"/>
        <v>24.44</v>
      </c>
      <c r="M72" s="38">
        <f t="shared" si="16"/>
        <v>26.92</v>
      </c>
    </row>
    <row r="73" spans="1:13" s="37" customFormat="1" ht="12.75" customHeight="1" x14ac:dyDescent="0.2">
      <c r="A73" s="65">
        <f t="shared" si="7"/>
        <v>2023</v>
      </c>
      <c r="C73" s="38">
        <f t="shared" si="13"/>
        <v>28.99</v>
      </c>
      <c r="D73" s="38">
        <f t="shared" si="8"/>
        <v>25.48</v>
      </c>
      <c r="E73" s="38">
        <f t="shared" si="14"/>
        <v>27.44</v>
      </c>
      <c r="G73" s="55">
        <f t="shared" si="9"/>
        <v>35.299999999999997</v>
      </c>
      <c r="H73" s="55">
        <f t="shared" si="10"/>
        <v>29.11</v>
      </c>
      <c r="I73" s="55">
        <f t="shared" si="15"/>
        <v>32.58</v>
      </c>
      <c r="K73" s="38">
        <f t="shared" si="11"/>
        <v>31.09</v>
      </c>
      <c r="L73" s="38">
        <f t="shared" si="12"/>
        <v>26.69</v>
      </c>
      <c r="M73" s="38">
        <f t="shared" si="16"/>
        <v>29.16</v>
      </c>
    </row>
    <row r="74" spans="1:13" s="37" customFormat="1" ht="12.75" customHeight="1" x14ac:dyDescent="0.2">
      <c r="A74" s="65">
        <f t="shared" si="7"/>
        <v>2024</v>
      </c>
      <c r="C74" s="38">
        <f t="shared" si="13"/>
        <v>33.61</v>
      </c>
      <c r="D74" s="38">
        <f t="shared" si="8"/>
        <v>29.52</v>
      </c>
      <c r="E74" s="38">
        <f t="shared" si="14"/>
        <v>31.81</v>
      </c>
      <c r="G74" s="55">
        <f t="shared" si="9"/>
        <v>38.65</v>
      </c>
      <c r="H74" s="55">
        <f t="shared" si="10"/>
        <v>31.76</v>
      </c>
      <c r="I74" s="55">
        <f t="shared" si="15"/>
        <v>35.619999999999997</v>
      </c>
      <c r="K74" s="38">
        <f t="shared" si="11"/>
        <v>35.29</v>
      </c>
      <c r="L74" s="38">
        <f t="shared" si="12"/>
        <v>30.27</v>
      </c>
      <c r="M74" s="38">
        <f t="shared" si="16"/>
        <v>33.08</v>
      </c>
    </row>
    <row r="75" spans="1:13" s="37" customFormat="1" ht="12.75" customHeight="1" x14ac:dyDescent="0.2">
      <c r="A75" s="65">
        <f t="shared" si="7"/>
        <v>2025</v>
      </c>
      <c r="C75" s="38">
        <f t="shared" si="13"/>
        <v>36.25</v>
      </c>
      <c r="D75" s="38">
        <f t="shared" si="8"/>
        <v>32.14</v>
      </c>
      <c r="E75" s="38">
        <f t="shared" si="14"/>
        <v>34.44</v>
      </c>
      <c r="G75" s="55">
        <f t="shared" si="9"/>
        <v>40.53</v>
      </c>
      <c r="H75" s="55">
        <f t="shared" si="10"/>
        <v>33.229999999999997</v>
      </c>
      <c r="I75" s="55">
        <f t="shared" si="15"/>
        <v>37.32</v>
      </c>
      <c r="K75" s="38">
        <f t="shared" si="11"/>
        <v>37.68</v>
      </c>
      <c r="L75" s="38">
        <f t="shared" si="12"/>
        <v>32.5</v>
      </c>
      <c r="M75" s="38">
        <f t="shared" si="16"/>
        <v>35.4</v>
      </c>
    </row>
    <row r="76" spans="1:13" s="37" customFormat="1" ht="12.75" customHeight="1" x14ac:dyDescent="0.2">
      <c r="A76" s="65">
        <f t="shared" si="7"/>
        <v>2026</v>
      </c>
      <c r="C76" s="38">
        <f t="shared" si="13"/>
        <v>36.270000000000003</v>
      </c>
      <c r="D76" s="38">
        <f t="shared" si="8"/>
        <v>32.08</v>
      </c>
      <c r="E76" s="38">
        <f t="shared" si="14"/>
        <v>34.43</v>
      </c>
      <c r="G76" s="55">
        <f t="shared" si="9"/>
        <v>42.18</v>
      </c>
      <c r="H76" s="55">
        <f t="shared" si="10"/>
        <v>35.130000000000003</v>
      </c>
      <c r="I76" s="55">
        <f t="shared" si="15"/>
        <v>39.08</v>
      </c>
      <c r="K76" s="38">
        <f t="shared" si="11"/>
        <v>38.24</v>
      </c>
      <c r="L76" s="38">
        <f t="shared" si="12"/>
        <v>33.1</v>
      </c>
      <c r="M76" s="38">
        <f t="shared" si="16"/>
        <v>35.979999999999997</v>
      </c>
    </row>
    <row r="77" spans="1:13" s="37" customFormat="1" ht="12.75" customHeight="1" x14ac:dyDescent="0.2">
      <c r="A77" s="65">
        <f t="shared" si="7"/>
        <v>2027</v>
      </c>
      <c r="C77" s="38">
        <f t="shared" si="13"/>
        <v>38.86</v>
      </c>
      <c r="D77" s="38">
        <f t="shared" si="8"/>
        <v>34.43</v>
      </c>
      <c r="E77" s="38">
        <f t="shared" si="14"/>
        <v>36.909999999999997</v>
      </c>
      <c r="G77" s="55">
        <f t="shared" si="9"/>
        <v>44.11</v>
      </c>
      <c r="H77" s="55">
        <f t="shared" si="10"/>
        <v>37.04</v>
      </c>
      <c r="I77" s="55">
        <f t="shared" si="15"/>
        <v>41</v>
      </c>
      <c r="K77" s="38">
        <f t="shared" si="11"/>
        <v>40.61</v>
      </c>
      <c r="L77" s="38">
        <f t="shared" si="12"/>
        <v>35.299999999999997</v>
      </c>
      <c r="M77" s="38">
        <f t="shared" si="16"/>
        <v>38.270000000000003</v>
      </c>
    </row>
    <row r="78" spans="1:13" s="37" customFormat="1" ht="12.75" customHeight="1" x14ac:dyDescent="0.2">
      <c r="A78" s="65"/>
      <c r="C78" s="38"/>
      <c r="D78" s="38"/>
      <c r="E78" s="38"/>
      <c r="G78" s="55"/>
      <c r="H78" s="55"/>
      <c r="I78" s="55"/>
      <c r="K78" s="38"/>
      <c r="L78" s="38"/>
      <c r="M78" s="38"/>
    </row>
    <row r="79" spans="1:13" s="37" customFormat="1" ht="12.75" customHeight="1" x14ac:dyDescent="0.2">
      <c r="A79" s="65"/>
      <c r="C79" s="38"/>
      <c r="D79" s="38"/>
      <c r="E79" s="38"/>
      <c r="G79" s="55"/>
      <c r="H79" s="55"/>
      <c r="I79" s="55"/>
      <c r="K79" s="38"/>
      <c r="L79" s="38"/>
      <c r="M79" s="38"/>
    </row>
    <row r="80" spans="1:13" s="37" customFormat="1" ht="12.75" hidden="1" customHeight="1" x14ac:dyDescent="0.2">
      <c r="A80" s="66"/>
      <c r="K80" s="61"/>
    </row>
    <row r="81" spans="1:11" s="37" customFormat="1" ht="12.75" hidden="1" customHeight="1" x14ac:dyDescent="0.2">
      <c r="A81" s="66"/>
      <c r="K81" s="61"/>
    </row>
    <row r="82" spans="1:11" s="37" customFormat="1" ht="12.75" customHeight="1" x14ac:dyDescent="0.2">
      <c r="A82" s="35" t="s">
        <v>80</v>
      </c>
      <c r="D82" s="38"/>
      <c r="E82" s="55"/>
      <c r="F82" s="55"/>
      <c r="G82" s="55"/>
      <c r="J82" s="55"/>
      <c r="K82" s="55"/>
    </row>
    <row r="83" spans="1:11" ht="12.75" customHeight="1" x14ac:dyDescent="0.2">
      <c r="A83" s="275" t="s">
        <v>304</v>
      </c>
      <c r="C83" s="67"/>
      <c r="D83" s="38"/>
      <c r="E83" s="55"/>
      <c r="F83" s="55"/>
      <c r="G83" s="55"/>
      <c r="H83" s="37"/>
    </row>
    <row r="84" spans="1:11" ht="12.75" customHeight="1" x14ac:dyDescent="0.2">
      <c r="A84" s="275" t="s">
        <v>305</v>
      </c>
      <c r="C84" s="67"/>
      <c r="D84" s="38"/>
      <c r="E84" s="55"/>
      <c r="F84" s="55"/>
      <c r="G84" s="55"/>
      <c r="H84" s="37"/>
    </row>
    <row r="85" spans="1:11" ht="12.75" customHeight="1" x14ac:dyDescent="0.2">
      <c r="A85" s="213" t="s">
        <v>298</v>
      </c>
      <c r="C85" s="67"/>
      <c r="D85" s="38"/>
      <c r="E85" s="55"/>
      <c r="F85" s="55"/>
      <c r="G85" s="55"/>
      <c r="H85" s="37"/>
    </row>
    <row r="86" spans="1:11" ht="12.75" customHeight="1" x14ac:dyDescent="0.2">
      <c r="A86" s="213" t="s">
        <v>306</v>
      </c>
      <c r="C86" s="67"/>
      <c r="D86" s="38"/>
      <c r="E86" s="55"/>
      <c r="F86" s="55"/>
      <c r="G86" s="55"/>
      <c r="H86" s="37"/>
    </row>
    <row r="87" spans="1:11" ht="12.75" customHeight="1" x14ac:dyDescent="0.2">
      <c r="A87" s="213" t="s">
        <v>299</v>
      </c>
      <c r="C87" s="67"/>
      <c r="D87" s="38"/>
      <c r="E87" s="55"/>
      <c r="F87" s="55"/>
      <c r="G87" s="55"/>
      <c r="H87" s="37"/>
    </row>
    <row r="88" spans="1:11" ht="12.75" customHeight="1" x14ac:dyDescent="0.2">
      <c r="A88" s="213" t="s">
        <v>300</v>
      </c>
      <c r="C88" s="67"/>
      <c r="D88" s="38"/>
      <c r="E88" s="55"/>
      <c r="F88" s="55"/>
      <c r="G88" s="55"/>
      <c r="H88" s="37"/>
    </row>
    <row r="89" spans="1:11" ht="12.75" customHeight="1" x14ac:dyDescent="0.2">
      <c r="A89" s="213" t="s">
        <v>306</v>
      </c>
      <c r="C89" s="67"/>
      <c r="D89" s="38"/>
      <c r="E89" s="55"/>
      <c r="F89" s="55"/>
      <c r="G89" s="55"/>
      <c r="H89" s="37"/>
    </row>
    <row r="90" spans="1:11" ht="12.75" customHeight="1" x14ac:dyDescent="0.2">
      <c r="A90" s="35" t="s">
        <v>301</v>
      </c>
      <c r="D90" s="37"/>
      <c r="E90" s="37"/>
      <c r="F90" s="37"/>
      <c r="G90" s="37"/>
    </row>
    <row r="91" spans="1:11" ht="6.75" customHeight="1" x14ac:dyDescent="0.2"/>
    <row r="92" spans="1:11" x14ac:dyDescent="0.2">
      <c r="C92" s="35" t="s">
        <v>129</v>
      </c>
      <c r="H92" s="35" t="s">
        <v>302</v>
      </c>
    </row>
    <row r="93" spans="1:11" x14ac:dyDescent="0.2">
      <c r="C93" s="35" t="s">
        <v>142</v>
      </c>
      <c r="F93" s="36">
        <v>0.34100000000000003</v>
      </c>
      <c r="H93" s="350">
        <f>Solar_Fixed_integr_cost</f>
        <v>2.83</v>
      </c>
      <c r="I93" s="62" t="s">
        <v>308</v>
      </c>
    </row>
    <row r="111" ht="24.75" customHeight="1" x14ac:dyDescent="0.2"/>
  </sheetData>
  <printOptions horizontalCentered="1"/>
  <pageMargins left="0.25" right="0.25" top="0.75" bottom="0.75" header="0.3" footer="0.3"/>
  <pageSetup scale="58" fitToWidth="0" orientation="portrait" r:id="rId1"/>
  <headerFooter alignWithMargins="0">
    <oddFooter>&amp;L&amp;8NPC Group - &amp;F   ( &amp;A )&amp;C &amp;R &amp;8&amp;D  &amp;T</oddFooter>
  </headerFooter>
  <rowBreaks count="1" manualBreakCount="1">
    <brk id="44" max="18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X111"/>
  <sheetViews>
    <sheetView topLeftCell="A53" zoomScaleNormal="100" workbookViewId="0">
      <selection activeCell="F93" sqref="F93"/>
    </sheetView>
  </sheetViews>
  <sheetFormatPr defaultRowHeight="12.75" x14ac:dyDescent="0.2"/>
  <cols>
    <col min="1" max="1" width="9.33203125" style="35"/>
    <col min="2" max="10" width="8.5" style="35" customWidth="1"/>
    <col min="11" max="11" width="8.5" style="37" customWidth="1"/>
    <col min="12" max="13" width="8.5" style="35" customWidth="1"/>
    <col min="14" max="15" width="15.33203125" style="35" customWidth="1"/>
    <col min="16" max="16384" width="9.33203125" style="35"/>
  </cols>
  <sheetData>
    <row r="1" spans="1:13" s="5" customFormat="1" ht="15.75" x14ac:dyDescent="0.25">
      <c r="A1" s="1" t="s">
        <v>155</v>
      </c>
      <c r="B1" s="1"/>
      <c r="C1" s="1"/>
      <c r="D1" s="1"/>
      <c r="E1" s="6"/>
      <c r="F1" s="1"/>
      <c r="G1" s="1"/>
      <c r="H1" s="1"/>
      <c r="I1" s="1"/>
      <c r="J1" s="13"/>
      <c r="K1" s="14"/>
      <c r="L1" s="6"/>
      <c r="M1" s="6"/>
    </row>
    <row r="2" spans="1:13" s="7" customFormat="1" ht="15" x14ac:dyDescent="0.25">
      <c r="A2" s="3" t="s">
        <v>186</v>
      </c>
      <c r="B2" s="3"/>
      <c r="C2" s="3"/>
      <c r="D2" s="3"/>
      <c r="E2" s="3"/>
      <c r="F2" s="3"/>
      <c r="G2" s="3"/>
      <c r="H2" s="3"/>
      <c r="I2" s="3"/>
      <c r="J2" s="3"/>
      <c r="K2" s="15"/>
      <c r="L2" s="13"/>
      <c r="M2" s="13"/>
    </row>
    <row r="3" spans="1:13" s="7" customFormat="1" ht="15" x14ac:dyDescent="0.25">
      <c r="A3" s="3" t="str">
        <f>"Avoided Resource ("&amp;A10&amp;" through "&amp;MAX(A10:A27)&amp;")"</f>
        <v>Avoided Resource (2016 through 2027)</v>
      </c>
      <c r="B3" s="3"/>
      <c r="C3" s="3"/>
      <c r="D3" s="3"/>
      <c r="E3" s="3"/>
      <c r="F3" s="3"/>
      <c r="G3" s="3"/>
      <c r="H3" s="3"/>
      <c r="I3" s="3"/>
      <c r="J3" s="3"/>
      <c r="K3" s="15"/>
      <c r="L3" s="13"/>
      <c r="M3" s="13"/>
    </row>
    <row r="4" spans="1:13" ht="15" x14ac:dyDescent="0.25">
      <c r="A4" s="3" t="s">
        <v>36</v>
      </c>
      <c r="B4" s="3"/>
      <c r="C4" s="3"/>
      <c r="D4" s="3"/>
      <c r="E4" s="3"/>
      <c r="F4" s="3"/>
      <c r="G4" s="3"/>
      <c r="H4" s="3"/>
      <c r="I4" s="3"/>
      <c r="J4" s="3"/>
      <c r="K4" s="15"/>
      <c r="L4" s="13"/>
      <c r="M4" s="13"/>
    </row>
    <row r="5" spans="1:13" x14ac:dyDescent="0.2">
      <c r="B5" s="40"/>
      <c r="C5" s="40"/>
      <c r="D5" s="40"/>
      <c r="E5" s="4"/>
      <c r="F5" s="4"/>
      <c r="G5" s="4"/>
      <c r="H5" s="4"/>
      <c r="I5" s="4"/>
      <c r="J5" s="4"/>
      <c r="K5" s="16"/>
    </row>
    <row r="6" spans="1:13" x14ac:dyDescent="0.2">
      <c r="A6" s="41" t="s">
        <v>2</v>
      </c>
      <c r="B6" s="42" t="s">
        <v>56</v>
      </c>
      <c r="C6" s="43"/>
      <c r="D6" s="43"/>
      <c r="E6" s="42"/>
      <c r="F6" s="42"/>
      <c r="G6" s="42" t="s">
        <v>57</v>
      </c>
      <c r="H6" s="42"/>
      <c r="I6" s="42"/>
      <c r="J6" s="42"/>
      <c r="K6" s="42" t="s">
        <v>56</v>
      </c>
      <c r="L6" s="42"/>
      <c r="M6" s="42"/>
    </row>
    <row r="7" spans="1:13" x14ac:dyDescent="0.2">
      <c r="A7" s="44"/>
      <c r="B7" s="45" t="s">
        <v>44</v>
      </c>
      <c r="C7" s="45" t="s">
        <v>45</v>
      </c>
      <c r="D7" s="45" t="s">
        <v>46</v>
      </c>
      <c r="E7" s="45" t="s">
        <v>47</v>
      </c>
      <c r="F7" s="46" t="s">
        <v>48</v>
      </c>
      <c r="G7" s="45" t="s">
        <v>49</v>
      </c>
      <c r="H7" s="45" t="s">
        <v>50</v>
      </c>
      <c r="I7" s="45" t="s">
        <v>51</v>
      </c>
      <c r="J7" s="46" t="s">
        <v>52</v>
      </c>
      <c r="K7" s="45" t="s">
        <v>53</v>
      </c>
      <c r="L7" s="45" t="s">
        <v>54</v>
      </c>
      <c r="M7" s="46" t="s">
        <v>55</v>
      </c>
    </row>
    <row r="8" spans="1:13" x14ac:dyDescent="0.2"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</row>
    <row r="9" spans="1:13" ht="12.75" customHeight="1" x14ac:dyDescent="0.2">
      <c r="A9" s="12" t="str">
        <f>'Table 2A BaseLoad'!A27</f>
        <v>On-Peak (1)</v>
      </c>
      <c r="C9" s="40"/>
      <c r="D9" s="40"/>
      <c r="E9" s="40"/>
      <c r="F9" s="40"/>
      <c r="G9" s="40"/>
      <c r="H9" s="40"/>
      <c r="I9" s="40"/>
      <c r="J9" s="40"/>
      <c r="K9" s="48"/>
      <c r="L9" s="37"/>
      <c r="M9" s="37"/>
    </row>
    <row r="10" spans="1:13" ht="12.75" customHeight="1" x14ac:dyDescent="0.2">
      <c r="A10" s="49">
        <f>'Tables 3 to 5'!$B$13</f>
        <v>2016</v>
      </c>
      <c r="B10" s="50"/>
      <c r="C10" s="51"/>
      <c r="D10" s="51"/>
      <c r="E10" s="51"/>
      <c r="F10" s="52">
        <f>'Table 2A BaseLoad'!F28-Solar_Tracking_integr_cost</f>
        <v>13.297809598846481</v>
      </c>
      <c r="G10" s="51">
        <f>'Table 2A BaseLoad'!G28-Solar_Tracking_integr_cost</f>
        <v>14.008581565375067</v>
      </c>
      <c r="H10" s="51">
        <f>'Table 2A BaseLoad'!H28-Solar_Tracking_integr_cost</f>
        <v>23.488946356573368</v>
      </c>
      <c r="I10" s="51">
        <f>'Table 2A BaseLoad'!I28-Solar_Tracking_integr_cost</f>
        <v>23.147902629233368</v>
      </c>
      <c r="J10" s="52">
        <f>'Table 2A BaseLoad'!J28-Solar_Tracking_integr_cost</f>
        <v>21.586133077696729</v>
      </c>
      <c r="K10" s="51">
        <f>'Table 2A BaseLoad'!K28-Solar_Tracking_integr_cost</f>
        <v>16.488002390978412</v>
      </c>
      <c r="L10" s="51">
        <f>'Table 2A BaseLoad'!L28-Solar_Tracking_integr_cost</f>
        <v>16.403173404220571</v>
      </c>
      <c r="M10" s="52">
        <f>'Table 2A BaseLoad'!M28-Solar_Tracking_integr_cost</f>
        <v>22.068503418412323</v>
      </c>
    </row>
    <row r="11" spans="1:13" ht="12.75" customHeight="1" x14ac:dyDescent="0.2">
      <c r="A11" s="53">
        <f t="shared" ref="A11:A21" si="0">A10+1</f>
        <v>2017</v>
      </c>
      <c r="B11" s="54">
        <f>'Table 2A BaseLoad'!B29-Solar_Tracking_integr_cost</f>
        <v>19.82732138612808</v>
      </c>
      <c r="C11" s="55">
        <f>'Table 2A BaseLoad'!C29-Solar_Tracking_integr_cost</f>
        <v>20.718783034458905</v>
      </c>
      <c r="D11" s="55">
        <f>'Table 2A BaseLoad'!D29-Solar_Tracking_integr_cost</f>
        <v>18.966429372965443</v>
      </c>
      <c r="E11" s="55">
        <f>'Table 2A BaseLoad'!E29-Solar_Tracking_integr_cost</f>
        <v>18.336372388689512</v>
      </c>
      <c r="F11" s="56">
        <f>'Table 2A BaseLoad'!F29-Solar_Tracking_integr_cost</f>
        <v>16.24391254625062</v>
      </c>
      <c r="G11" s="55">
        <f>'Table 2A BaseLoad'!G29-Solar_Tracking_integr_cost</f>
        <v>16.051363339108743</v>
      </c>
      <c r="H11" s="55">
        <f>'Table 2A BaseLoad'!H29-Solar_Tracking_integr_cost</f>
        <v>25.323257446760291</v>
      </c>
      <c r="I11" s="55">
        <f>'Table 2A BaseLoad'!I29-Solar_Tracking_integr_cost</f>
        <v>23.510974634275776</v>
      </c>
      <c r="J11" s="56">
        <f>'Table 2A BaseLoad'!J29-Solar_Tracking_integr_cost</f>
        <v>19.235817122784873</v>
      </c>
      <c r="K11" s="55">
        <f>'Table 2A BaseLoad'!K29-Solar_Tracking_integr_cost</f>
        <v>17.122424865515576</v>
      </c>
      <c r="L11" s="55">
        <f>'Table 2A BaseLoad'!L29-Solar_Tracking_integr_cost</f>
        <v>19.809097143568383</v>
      </c>
      <c r="M11" s="56">
        <f>'Table 2A BaseLoad'!M29-Solar_Tracking_integr_cost</f>
        <v>23.240999734675981</v>
      </c>
    </row>
    <row r="12" spans="1:13" ht="12.75" customHeight="1" x14ac:dyDescent="0.2">
      <c r="A12" s="53">
        <f t="shared" si="0"/>
        <v>2018</v>
      </c>
      <c r="B12" s="54">
        <f>'Table 2A BaseLoad'!B30-Solar_Tracking_integr_cost</f>
        <v>24.008707963835672</v>
      </c>
      <c r="C12" s="55">
        <f>'Table 2A BaseLoad'!C30-Solar_Tracking_integr_cost</f>
        <v>22.508086579553922</v>
      </c>
      <c r="D12" s="55">
        <f>'Table 2A BaseLoad'!D30-Solar_Tracking_integr_cost</f>
        <v>20.510147563337366</v>
      </c>
      <c r="E12" s="55">
        <f>'Table 2A BaseLoad'!E30-Solar_Tracking_integr_cost</f>
        <v>21.282910244554767</v>
      </c>
      <c r="F12" s="56">
        <f>'Table 2A BaseLoad'!F30-Solar_Tracking_integr_cost</f>
        <v>18.506036251730364</v>
      </c>
      <c r="G12" s="55">
        <f>'Table 2A BaseLoad'!G30-Solar_Tracking_integr_cost</f>
        <v>18.790552331176698</v>
      </c>
      <c r="H12" s="55">
        <f>'Table 2A BaseLoad'!H30-Solar_Tracking_integr_cost</f>
        <v>27.860969948777075</v>
      </c>
      <c r="I12" s="55">
        <f>'Table 2A BaseLoad'!I30-Solar_Tracking_integr_cost</f>
        <v>25.397477226368206</v>
      </c>
      <c r="J12" s="56">
        <f>'Table 2A BaseLoad'!J30-Solar_Tracking_integr_cost</f>
        <v>20.350733096332235</v>
      </c>
      <c r="K12" s="55">
        <f>'Table 2A BaseLoad'!K30-Solar_Tracking_integr_cost</f>
        <v>19.319248512213449</v>
      </c>
      <c r="L12" s="55">
        <f>'Table 2A BaseLoad'!L30-Solar_Tracking_integr_cost</f>
        <v>23.347482386480973</v>
      </c>
      <c r="M12" s="56">
        <f>'Table 2A BaseLoad'!M30-Solar_Tracking_integr_cost</f>
        <v>25.655846127614055</v>
      </c>
    </row>
    <row r="13" spans="1:13" ht="12.75" customHeight="1" x14ac:dyDescent="0.2">
      <c r="A13" s="53">
        <f t="shared" si="0"/>
        <v>2019</v>
      </c>
      <c r="B13" s="54">
        <f>'Table 2A BaseLoad'!B31-Solar_Tracking_integr_cost</f>
        <v>24.754431271445874</v>
      </c>
      <c r="C13" s="55">
        <f>'Table 2A BaseLoad'!C31-Solar_Tracking_integr_cost</f>
        <v>23.744170950103292</v>
      </c>
      <c r="D13" s="55">
        <f>'Table 2A BaseLoad'!D31-Solar_Tracking_integr_cost</f>
        <v>21.367900450551012</v>
      </c>
      <c r="E13" s="55">
        <f>'Table 2A BaseLoad'!E31-Solar_Tracking_integr_cost</f>
        <v>19.685421148790684</v>
      </c>
      <c r="F13" s="56">
        <f>'Table 2A BaseLoad'!F31-Solar_Tracking_integr_cost</f>
        <v>19.777645709821151</v>
      </c>
      <c r="G13" s="55">
        <f>'Table 2A BaseLoad'!G31-Solar_Tracking_integr_cost</f>
        <v>20.182737588455691</v>
      </c>
      <c r="H13" s="55">
        <f>'Table 2A BaseLoad'!H31-Solar_Tracking_integr_cost</f>
        <v>28.877262218443747</v>
      </c>
      <c r="I13" s="55">
        <f>'Table 2A BaseLoad'!I31-Solar_Tracking_integr_cost</f>
        <v>28.175899849534911</v>
      </c>
      <c r="J13" s="56">
        <f>'Table 2A BaseLoad'!J31-Solar_Tracking_integr_cost</f>
        <v>25.61146056377477</v>
      </c>
      <c r="K13" s="55">
        <f>'Table 2A BaseLoad'!K31-Solar_Tracking_integr_cost</f>
        <v>20.572827084690726</v>
      </c>
      <c r="L13" s="55">
        <f>'Table 2A BaseLoad'!L31-Solar_Tracking_integr_cost</f>
        <v>24.028410818629997</v>
      </c>
      <c r="M13" s="56">
        <f>'Table 2A BaseLoad'!M31-Solar_Tracking_integr_cost</f>
        <v>26.379141923247893</v>
      </c>
    </row>
    <row r="14" spans="1:13" ht="12.75" customHeight="1" x14ac:dyDescent="0.2">
      <c r="A14" s="53">
        <f t="shared" si="0"/>
        <v>2020</v>
      </c>
      <c r="B14" s="54">
        <f>'Table 2A BaseLoad'!B32-Solar_Tracking_integr_cost</f>
        <v>26.118296292831406</v>
      </c>
      <c r="C14" s="55">
        <f>'Table 2A BaseLoad'!C32-Solar_Tracking_integr_cost</f>
        <v>24.541810197615476</v>
      </c>
      <c r="D14" s="55">
        <f>'Table 2A BaseLoad'!D32-Solar_Tracking_integr_cost</f>
        <v>27.930157762885109</v>
      </c>
      <c r="E14" s="55">
        <f>'Table 2A BaseLoad'!E32-Solar_Tracking_integr_cost</f>
        <v>22.738328908339376</v>
      </c>
      <c r="F14" s="56">
        <f>'Table 2A BaseLoad'!F32-Solar_Tracking_integr_cost</f>
        <v>20.795898279029839</v>
      </c>
      <c r="G14" s="55">
        <f>'Table 2A BaseLoad'!G32-Solar_Tracking_integr_cost</f>
        <v>21.194275919902573</v>
      </c>
      <c r="H14" s="55">
        <f>'Table 2A BaseLoad'!H32-Solar_Tracking_integr_cost</f>
        <v>30.853758618052396</v>
      </c>
      <c r="I14" s="55">
        <f>'Table 2A BaseLoad'!I32-Solar_Tracking_integr_cost</f>
        <v>28.06309691447629</v>
      </c>
      <c r="J14" s="56">
        <f>'Table 2A BaseLoad'!J32-Solar_Tracking_integr_cost</f>
        <v>24.460034830049644</v>
      </c>
      <c r="K14" s="55">
        <f>'Table 2A BaseLoad'!K32-Solar_Tracking_integr_cost</f>
        <v>23.470179748091418</v>
      </c>
      <c r="L14" s="55">
        <f>'Table 2A BaseLoad'!L32-Solar_Tracking_integr_cost</f>
        <v>26.090684092505505</v>
      </c>
      <c r="M14" s="56">
        <f>'Table 2A BaseLoad'!M32-Solar_Tracking_integr_cost</f>
        <v>27.615590234096842</v>
      </c>
    </row>
    <row r="15" spans="1:13" ht="12.75" customHeight="1" x14ac:dyDescent="0.2">
      <c r="A15" s="53">
        <f t="shared" si="0"/>
        <v>2021</v>
      </c>
      <c r="B15" s="54">
        <f>'Table 2A BaseLoad'!B33-Solar_Tracking_integr_cost</f>
        <v>28.129885914675597</v>
      </c>
      <c r="C15" s="55">
        <f>'Table 2A BaseLoad'!C33-Solar_Tracking_integr_cost</f>
        <v>27.141794269305045</v>
      </c>
      <c r="D15" s="55">
        <f>'Table 2A BaseLoad'!D33-Solar_Tracking_integr_cost</f>
        <v>24.943853473058667</v>
      </c>
      <c r="E15" s="55">
        <f>'Table 2A BaseLoad'!E33-Solar_Tracking_integr_cost</f>
        <v>24.050458826231559</v>
      </c>
      <c r="F15" s="56">
        <f>'Table 2A BaseLoad'!F33-Solar_Tracking_integr_cost</f>
        <v>20.987437773892179</v>
      </c>
      <c r="G15" s="55">
        <f>'Table 2A BaseLoad'!G33-Solar_Tracking_integr_cost</f>
        <v>20.748117581051797</v>
      </c>
      <c r="H15" s="55">
        <f>'Table 2A BaseLoad'!H33-Solar_Tracking_integr_cost</f>
        <v>32.739342129552675</v>
      </c>
      <c r="I15" s="55">
        <f>'Table 2A BaseLoad'!I33-Solar_Tracking_integr_cost</f>
        <v>32.306205020410935</v>
      </c>
      <c r="J15" s="56">
        <f>'Table 2A BaseLoad'!J33-Solar_Tracking_integr_cost</f>
        <v>30.022824358407952</v>
      </c>
      <c r="K15" s="55">
        <f>'Table 2A BaseLoad'!K33-Solar_Tracking_integr_cost</f>
        <v>25.328726702826142</v>
      </c>
      <c r="L15" s="55">
        <f>'Table 2A BaseLoad'!L33-Solar_Tracking_integr_cost</f>
        <v>28.285730541089812</v>
      </c>
      <c r="M15" s="56">
        <f>'Table 2A BaseLoad'!M33-Solar_Tracking_integr_cost</f>
        <v>30.260767235496537</v>
      </c>
    </row>
    <row r="16" spans="1:13" ht="12.75" customHeight="1" x14ac:dyDescent="0.2">
      <c r="A16" s="53">
        <f t="shared" si="0"/>
        <v>2022</v>
      </c>
      <c r="B16" s="54">
        <f>'Table 2A BaseLoad'!B34-Solar_Tracking_integr_cost</f>
        <v>30.201707406583836</v>
      </c>
      <c r="C16" s="55">
        <f>'Table 2A BaseLoad'!C34-Solar_Tracking_integr_cost</f>
        <v>29.223781472992677</v>
      </c>
      <c r="D16" s="55">
        <f>'Table 2A BaseLoad'!D34-Solar_Tracking_integr_cost</f>
        <v>27.068253152267769</v>
      </c>
      <c r="E16" s="55">
        <f>'Table 2A BaseLoad'!E34-Solar_Tracking_integr_cost</f>
        <v>24.338492843809508</v>
      </c>
      <c r="F16" s="56">
        <f>'Table 2A BaseLoad'!F34-Solar_Tracking_integr_cost</f>
        <v>23.556380577209683</v>
      </c>
      <c r="G16" s="55">
        <f>'Table 2A BaseLoad'!G34-Solar_Tracking_integr_cost</f>
        <v>25.77896969270807</v>
      </c>
      <c r="H16" s="55">
        <f>'Table 2A BaseLoad'!H34-Solar_Tracking_integr_cost</f>
        <v>35.312230242890649</v>
      </c>
      <c r="I16" s="55">
        <f>'Table 2A BaseLoad'!I34-Solar_Tracking_integr_cost</f>
        <v>35.753017495878474</v>
      </c>
      <c r="J16" s="56">
        <f>'Table 2A BaseLoad'!J34-Solar_Tracking_integr_cost</f>
        <v>34.22566413457789</v>
      </c>
      <c r="K16" s="55">
        <f>'Table 2A BaseLoad'!K34-Solar_Tracking_integr_cost</f>
        <v>28.150786380909459</v>
      </c>
      <c r="L16" s="55">
        <f>'Table 2A BaseLoad'!L34-Solar_Tracking_integr_cost</f>
        <v>29.473528009725552</v>
      </c>
      <c r="M16" s="56">
        <f>'Table 2A BaseLoad'!M34-Solar_Tracking_integr_cost</f>
        <v>31.253475961027497</v>
      </c>
    </row>
    <row r="17" spans="1:24" ht="12.75" customHeight="1" x14ac:dyDescent="0.2">
      <c r="A17" s="53">
        <f t="shared" si="0"/>
        <v>2023</v>
      </c>
      <c r="B17" s="54">
        <f>'Table 2A BaseLoad'!B35-Solar_Tracking_integr_cost</f>
        <v>33.166767456655009</v>
      </c>
      <c r="C17" s="55">
        <f>'Table 2A BaseLoad'!C35-Solar_Tracking_integr_cost</f>
        <v>24.319339039233146</v>
      </c>
      <c r="D17" s="55">
        <f>'Table 2A BaseLoad'!D35-Solar_Tracking_integr_cost</f>
        <v>29.876071157468395</v>
      </c>
      <c r="E17" s="55">
        <f>'Table 2A BaseLoad'!E35-Solar_Tracking_integr_cost</f>
        <v>26.071353456444147</v>
      </c>
      <c r="F17" s="56">
        <f>'Table 2A BaseLoad'!F35-Solar_Tracking_integr_cost</f>
        <v>25.48269527663761</v>
      </c>
      <c r="G17" s="55">
        <f>'Table 2A BaseLoad'!G35-Solar_Tracking_integr_cost</f>
        <v>28.772247908009497</v>
      </c>
      <c r="H17" s="55">
        <f>'Table 2A BaseLoad'!H35-Solar_Tracking_integr_cost</f>
        <v>38.455819707426713</v>
      </c>
      <c r="I17" s="55">
        <f>'Table 2A BaseLoad'!I35-Solar_Tracking_integr_cost</f>
        <v>39.023701078398076</v>
      </c>
      <c r="J17" s="56">
        <f>'Table 2A BaseLoad'!J35-Solar_Tracking_integr_cost</f>
        <v>37.553748744115424</v>
      </c>
      <c r="K17" s="55">
        <f>'Table 2A BaseLoad'!K35-Solar_Tracking_integr_cost</f>
        <v>30.071338280679093</v>
      </c>
      <c r="L17" s="55">
        <f>'Table 2A BaseLoad'!L35-Solar_Tracking_integr_cost</f>
        <v>32.733649509565822</v>
      </c>
      <c r="M17" s="56">
        <f>'Table 2A BaseLoad'!M35-Solar_Tracking_integr_cost</f>
        <v>35.412375514472942</v>
      </c>
    </row>
    <row r="18" spans="1:24" ht="12.75" customHeight="1" x14ac:dyDescent="0.2">
      <c r="A18" s="53">
        <f t="shared" si="0"/>
        <v>2024</v>
      </c>
      <c r="B18" s="54">
        <f>'Table 2A BaseLoad'!B36-Solar_Tracking_integr_cost</f>
        <v>36.620525198854857</v>
      </c>
      <c r="C18" s="55">
        <f>'Table 2A BaseLoad'!C36-Solar_Tracking_integr_cost</f>
        <v>34.813850161343908</v>
      </c>
      <c r="D18" s="55">
        <f>'Table 2A BaseLoad'!D36-Solar_Tracking_integr_cost</f>
        <v>31.629733731932362</v>
      </c>
      <c r="E18" s="55">
        <f>'Table 2A BaseLoad'!E36-Solar_Tracking_integr_cost</f>
        <v>28.336970862143584</v>
      </c>
      <c r="F18" s="56">
        <f>'Table 2A BaseLoad'!F36-Solar_Tracking_integr_cost</f>
        <v>27.568069024716458</v>
      </c>
      <c r="G18" s="55">
        <f>'Table 2A BaseLoad'!G36-Solar_Tracking_integr_cost</f>
        <v>31.423948143976531</v>
      </c>
      <c r="H18" s="55">
        <f>'Table 2A BaseLoad'!H36-Solar_Tracking_integr_cost</f>
        <v>42.436066409527967</v>
      </c>
      <c r="I18" s="55">
        <f>'Table 2A BaseLoad'!I36-Solar_Tracking_integr_cost</f>
        <v>43.403974825634592</v>
      </c>
      <c r="J18" s="56">
        <f>'Table 2A BaseLoad'!J36-Solar_Tracking_integr_cost</f>
        <v>39.931862063701786</v>
      </c>
      <c r="K18" s="55">
        <f>'Table 2A BaseLoad'!K36-Solar_Tracking_integr_cost</f>
        <v>34.685830498133022</v>
      </c>
      <c r="L18" s="55">
        <f>'Table 2A BaseLoad'!L36-Solar_Tracking_integr_cost</f>
        <v>38.462394618404666</v>
      </c>
      <c r="M18" s="56">
        <f>'Table 2A BaseLoad'!M36-Solar_Tracking_integr_cost</f>
        <v>41.954804199304853</v>
      </c>
    </row>
    <row r="19" spans="1:24" ht="12.75" customHeight="1" x14ac:dyDescent="0.2">
      <c r="A19" s="53">
        <f t="shared" si="0"/>
        <v>2025</v>
      </c>
      <c r="B19" s="54">
        <f>'Table 2A BaseLoad'!B37-Solar_Tracking_integr_cost</f>
        <v>38.141275978230468</v>
      </c>
      <c r="C19" s="55">
        <f>'Table 2A BaseLoad'!C37-Solar_Tracking_integr_cost</f>
        <v>50.958811398084428</v>
      </c>
      <c r="D19" s="55">
        <f>'Table 2A BaseLoad'!D37-Solar_Tracking_integr_cost</f>
        <v>30.713207713813986</v>
      </c>
      <c r="E19" s="55">
        <f>'Table 2A BaseLoad'!E37-Solar_Tracking_integr_cost</f>
        <v>32.461152939030271</v>
      </c>
      <c r="F19" s="56">
        <f>'Table 2A BaseLoad'!F37-Solar_Tracking_integr_cost</f>
        <v>29.593677110525956</v>
      </c>
      <c r="G19" s="55">
        <f>'Table 2A BaseLoad'!G37-Solar_Tracking_integr_cost</f>
        <v>34.201865356942236</v>
      </c>
      <c r="H19" s="55">
        <f>'Table 2A BaseLoad'!H37-Solar_Tracking_integr_cost</f>
        <v>45.904029294712537</v>
      </c>
      <c r="I19" s="55">
        <f>'Table 2A BaseLoad'!I37-Solar_Tracking_integr_cost</f>
        <v>45.721409715891063</v>
      </c>
      <c r="J19" s="56">
        <f>'Table 2A BaseLoad'!J37-Solar_Tracking_integr_cost</f>
        <v>38.873313157948608</v>
      </c>
      <c r="K19" s="55">
        <f>'Table 2A BaseLoad'!K37-Solar_Tracking_integr_cost</f>
        <v>36.060468601838195</v>
      </c>
      <c r="L19" s="55">
        <f>'Table 2A BaseLoad'!L37-Solar_Tracking_integr_cost</f>
        <v>36.926734893876898</v>
      </c>
      <c r="M19" s="56">
        <f>'Table 2A BaseLoad'!M37-Solar_Tracking_integr_cost</f>
        <v>40.370818529505719</v>
      </c>
    </row>
    <row r="20" spans="1:24" ht="12.75" customHeight="1" x14ac:dyDescent="0.2">
      <c r="A20" s="53">
        <f t="shared" si="0"/>
        <v>2026</v>
      </c>
      <c r="B20" s="54">
        <f>'Table 2A BaseLoad'!B38-Solar_Tracking_integr_cost</f>
        <v>39.538015297034939</v>
      </c>
      <c r="C20" s="55">
        <f>'Table 2A BaseLoad'!C38-Solar_Tracking_integr_cost</f>
        <v>39.385964193777539</v>
      </c>
      <c r="D20" s="55">
        <f>'Table 2A BaseLoad'!D38-Solar_Tracking_integr_cost</f>
        <v>35.525445656588801</v>
      </c>
      <c r="E20" s="55">
        <f>'Table 2A BaseLoad'!E38-Solar_Tracking_integr_cost</f>
        <v>31.797893788371837</v>
      </c>
      <c r="F20" s="56">
        <f>'Table 2A BaseLoad'!F38-Solar_Tracking_integr_cost</f>
        <v>31.733038026488082</v>
      </c>
      <c r="G20" s="55">
        <f>'Table 2A BaseLoad'!G38-Solar_Tracking_integr_cost</f>
        <v>35.477607272220077</v>
      </c>
      <c r="H20" s="55">
        <f>'Table 2A BaseLoad'!H38-Solar_Tracking_integr_cost</f>
        <v>47.785268156169586</v>
      </c>
      <c r="I20" s="55">
        <f>'Table 2A BaseLoad'!I38-Solar_Tracking_integr_cost</f>
        <v>47.642015394543435</v>
      </c>
      <c r="J20" s="56">
        <f>'Table 2A BaseLoad'!J38-Solar_Tracking_integr_cost</f>
        <v>40.430048308213081</v>
      </c>
      <c r="K20" s="55">
        <f>'Table 2A BaseLoad'!K38-Solar_Tracking_integr_cost</f>
        <v>36.574492884027059</v>
      </c>
      <c r="L20" s="55">
        <f>'Table 2A BaseLoad'!L38-Solar_Tracking_integr_cost</f>
        <v>38.887603996241026</v>
      </c>
      <c r="M20" s="56">
        <f>'Table 2A BaseLoad'!M38-Solar_Tracking_integr_cost</f>
        <v>41.906423569790498</v>
      </c>
    </row>
    <row r="21" spans="1:24" ht="12.75" customHeight="1" x14ac:dyDescent="0.2">
      <c r="A21" s="53">
        <f t="shared" si="0"/>
        <v>2027</v>
      </c>
      <c r="B21" s="54">
        <f>'Table 2A BaseLoad'!B39-Solar_Tracking_integr_cost</f>
        <v>40.683503977406367</v>
      </c>
      <c r="C21" s="55">
        <f>'Table 2A BaseLoad'!C39-Solar_Tracking_integr_cost</f>
        <v>41.675266917286166</v>
      </c>
      <c r="D21" s="55">
        <f>'Table 2A BaseLoad'!D39-Solar_Tracking_integr_cost</f>
        <v>37.713131530969108</v>
      </c>
      <c r="E21" s="55">
        <f>'Table 2A BaseLoad'!E39-Solar_Tracking_integr_cost</f>
        <v>34.885831686545174</v>
      </c>
      <c r="F21" s="56">
        <f>'Table 2A BaseLoad'!F39-Solar_Tracking_integr_cost</f>
        <v>32.508434908861247</v>
      </c>
      <c r="G21" s="55">
        <f>'Table 2A BaseLoad'!G39-Solar_Tracking_integr_cost</f>
        <v>37.03372445340927</v>
      </c>
      <c r="H21" s="55">
        <f>'Table 2A BaseLoad'!H39-Solar_Tracking_integr_cost</f>
        <v>49.302888796937815</v>
      </c>
      <c r="I21" s="55">
        <f>'Table 2A BaseLoad'!I39-Solar_Tracking_integr_cost</f>
        <v>49.812936649908728</v>
      </c>
      <c r="J21" s="56">
        <f>'Table 2A BaseLoad'!J39-Solar_Tracking_integr_cost</f>
        <v>42.883346252598088</v>
      </c>
      <c r="K21" s="55">
        <f>'Table 2A BaseLoad'!K39-Solar_Tracking_integr_cost</f>
        <v>40.38794097475278</v>
      </c>
      <c r="L21" s="55">
        <f>'Table 2A BaseLoad'!L39-Solar_Tracking_integr_cost</f>
        <v>42.411161075267152</v>
      </c>
      <c r="M21" s="56">
        <f>'Table 2A BaseLoad'!M39-Solar_Tracking_integr_cost</f>
        <v>45.789769495955206</v>
      </c>
    </row>
    <row r="22" spans="1:24" ht="12.75" customHeight="1" x14ac:dyDescent="0.2">
      <c r="A22" s="53"/>
      <c r="B22" s="54"/>
      <c r="C22" s="55"/>
      <c r="D22" s="55"/>
      <c r="E22" s="55"/>
      <c r="F22" s="56"/>
      <c r="G22" s="55"/>
      <c r="H22" s="55"/>
      <c r="I22" s="55"/>
      <c r="J22" s="56"/>
      <c r="K22" s="55"/>
      <c r="L22" s="55"/>
      <c r="M22" s="56"/>
    </row>
    <row r="23" spans="1:24" ht="12.75" hidden="1" customHeight="1" x14ac:dyDescent="0.2">
      <c r="A23" s="53"/>
      <c r="B23" s="54"/>
      <c r="C23" s="55"/>
      <c r="D23" s="55"/>
      <c r="E23" s="55"/>
      <c r="F23" s="56"/>
      <c r="G23" s="55"/>
      <c r="H23" s="55"/>
      <c r="I23" s="55"/>
      <c r="J23" s="56"/>
      <c r="K23" s="55"/>
      <c r="L23" s="55"/>
      <c r="M23" s="56"/>
    </row>
    <row r="24" spans="1:24" ht="12.75" hidden="1" customHeight="1" x14ac:dyDescent="0.2">
      <c r="A24" s="53"/>
      <c r="B24" s="54"/>
      <c r="C24" s="55"/>
      <c r="D24" s="55"/>
      <c r="E24" s="55"/>
      <c r="F24" s="56"/>
      <c r="G24" s="55"/>
      <c r="H24" s="55"/>
      <c r="I24" s="55"/>
      <c r="J24" s="56"/>
      <c r="K24" s="55"/>
      <c r="L24" s="55"/>
      <c r="M24" s="56"/>
    </row>
    <row r="25" spans="1:24" ht="12.75" hidden="1" customHeight="1" x14ac:dyDescent="0.2">
      <c r="A25" s="57"/>
      <c r="B25" s="58"/>
      <c r="C25" s="59"/>
      <c r="D25" s="59"/>
      <c r="E25" s="59"/>
      <c r="F25" s="60"/>
      <c r="G25" s="59"/>
      <c r="H25" s="59"/>
      <c r="I25" s="59"/>
      <c r="J25" s="60"/>
      <c r="K25" s="59"/>
      <c r="L25" s="59"/>
      <c r="M25" s="60"/>
    </row>
    <row r="26" spans="1:24" ht="12.75" customHeight="1" x14ac:dyDescent="0.2">
      <c r="A26" s="111"/>
      <c r="B26" s="109"/>
      <c r="C26" s="109"/>
      <c r="D26" s="109"/>
      <c r="E26" s="109"/>
      <c r="F26" s="108"/>
      <c r="G26" s="108"/>
      <c r="H26" s="108"/>
      <c r="I26" s="108"/>
      <c r="J26" s="110"/>
      <c r="K26" s="108"/>
      <c r="L26" s="108"/>
      <c r="M26" s="108"/>
    </row>
    <row r="27" spans="1:24" ht="12.75" customHeight="1" x14ac:dyDescent="0.2">
      <c r="A27" s="12" t="s">
        <v>229</v>
      </c>
      <c r="C27" s="40"/>
      <c r="D27" s="40"/>
      <c r="E27" s="40"/>
      <c r="G27" s="40"/>
      <c r="H27" s="40"/>
      <c r="I27" s="40"/>
      <c r="J27" s="48"/>
      <c r="L27" s="40"/>
      <c r="M27" s="37"/>
    </row>
    <row r="28" spans="1:24" ht="12.75" customHeight="1" x14ac:dyDescent="0.2">
      <c r="A28" s="49">
        <f>'Tables 3 to 5'!$B$13</f>
        <v>2016</v>
      </c>
      <c r="B28" s="50"/>
      <c r="C28" s="51"/>
      <c r="D28" s="51"/>
      <c r="E28" s="51"/>
      <c r="F28" s="52">
        <f>'Table 2A BaseLoad'!F46-Solar_Tracking_integr_cost</f>
        <v>10.600248497333236</v>
      </c>
      <c r="G28" s="51">
        <f>'Table 2A BaseLoad'!G46-Solar_Tracking_integr_cost</f>
        <v>10.49780484035397</v>
      </c>
      <c r="H28" s="51">
        <f>'Table 2A BaseLoad'!H46-Solar_Tracking_integr_cost</f>
        <v>15.55199307380413</v>
      </c>
      <c r="I28" s="51">
        <f>'Table 2A BaseLoad'!I46-Solar_Tracking_integr_cost</f>
        <v>16.399452466515747</v>
      </c>
      <c r="J28" s="52">
        <f>'Table 2A BaseLoad'!J46-Solar_Tracking_integr_cost</f>
        <v>17.520492270825407</v>
      </c>
      <c r="K28" s="50">
        <f>'Table 2A BaseLoad'!K46-Solar_Tracking_integr_cost</f>
        <v>13.893851230047119</v>
      </c>
      <c r="L28" s="51">
        <f>'Table 2A BaseLoad'!L46-Solar_Tracking_integr_cost</f>
        <v>14.748691326711985</v>
      </c>
      <c r="M28" s="52">
        <f>'Table 2A BaseLoad'!M46-Solar_Tracking_integr_cost</f>
        <v>18.017918644499151</v>
      </c>
    </row>
    <row r="29" spans="1:24" ht="12.75" customHeight="1" x14ac:dyDescent="0.2">
      <c r="A29" s="53">
        <f t="shared" ref="A29:A39" si="1">A28+1</f>
        <v>2017</v>
      </c>
      <c r="B29" s="54">
        <f>'Table 2A BaseLoad'!B47-Solar_Tracking_integr_cost</f>
        <v>17.344444101539274</v>
      </c>
      <c r="C29" s="55">
        <f>'Table 2A BaseLoad'!C47-Solar_Tracking_integr_cost</f>
        <v>17.877281386205322</v>
      </c>
      <c r="D29" s="55">
        <f>'Table 2A BaseLoad'!D47-Solar_Tracking_integr_cost</f>
        <v>15.840528617630429</v>
      </c>
      <c r="E29" s="55">
        <f>'Table 2A BaseLoad'!E47-Solar_Tracking_integr_cost</f>
        <v>16.359187738878294</v>
      </c>
      <c r="F29" s="55">
        <f>'Table 2A BaseLoad'!F47-Solar_Tracking_integr_cost</f>
        <v>12.69059221849581</v>
      </c>
      <c r="G29" s="54">
        <f>'Table 2A BaseLoad'!G47-Solar_Tracking_integr_cost</f>
        <v>12.667598025233378</v>
      </c>
      <c r="H29" s="55">
        <f>'Table 2A BaseLoad'!H47-Solar_Tracking_integr_cost</f>
        <v>17.95013575702345</v>
      </c>
      <c r="I29" s="55">
        <f>'Table 2A BaseLoad'!I47-Solar_Tracking_integr_cost</f>
        <v>17.4423053056023</v>
      </c>
      <c r="J29" s="56">
        <f>'Table 2A BaseLoad'!J47-Solar_Tracking_integr_cost</f>
        <v>17.744946776929467</v>
      </c>
      <c r="K29" s="54">
        <f>'Table 2A BaseLoad'!K47-Solar_Tracking_integr_cost</f>
        <v>14.306402817317494</v>
      </c>
      <c r="L29" s="55">
        <f>'Table 2A BaseLoad'!L47-Solar_Tracking_integr_cost</f>
        <v>17.831263852777358</v>
      </c>
      <c r="M29" s="56">
        <f>'Table 2A BaseLoad'!M47-Solar_Tracking_integr_cost</f>
        <v>21.137399883800352</v>
      </c>
    </row>
    <row r="30" spans="1:24" ht="12.75" customHeight="1" x14ac:dyDescent="0.2">
      <c r="A30" s="53">
        <f t="shared" si="1"/>
        <v>2018</v>
      </c>
      <c r="B30" s="54">
        <f>'Table 2A BaseLoad'!B48-Solar_Tracking_integr_cost</f>
        <v>21.833171316229077</v>
      </c>
      <c r="C30" s="55">
        <f>'Table 2A BaseLoad'!C48-Solar_Tracking_integr_cost</f>
        <v>20.296854775390514</v>
      </c>
      <c r="D30" s="55">
        <f>'Table 2A BaseLoad'!D48-Solar_Tracking_integr_cost</f>
        <v>18.873943035131092</v>
      </c>
      <c r="E30" s="55">
        <f>'Table 2A BaseLoad'!E48-Solar_Tracking_integr_cost</f>
        <v>16.620792442657379</v>
      </c>
      <c r="F30" s="55">
        <f>'Table 2A BaseLoad'!F48-Solar_Tracking_integr_cost</f>
        <v>13.721241855035279</v>
      </c>
      <c r="G30" s="54">
        <f>'Table 2A BaseLoad'!G48-Solar_Tracking_integr_cost</f>
        <v>13.148556080001118</v>
      </c>
      <c r="H30" s="55">
        <f>'Table 2A BaseLoad'!H48-Solar_Tracking_integr_cost</f>
        <v>19.187045302055473</v>
      </c>
      <c r="I30" s="55">
        <f>'Table 2A BaseLoad'!I48-Solar_Tracking_integr_cost</f>
        <v>19.590399307302253</v>
      </c>
      <c r="J30" s="56">
        <f>'Table 2A BaseLoad'!J48-Solar_Tracking_integr_cost</f>
        <v>17.766617797194023</v>
      </c>
      <c r="K30" s="54">
        <f>'Table 2A BaseLoad'!K48-Solar_Tracking_integr_cost</f>
        <v>17.103468795859072</v>
      </c>
      <c r="L30" s="55">
        <f>'Table 2A BaseLoad'!L48-Solar_Tracking_integr_cost</f>
        <v>21.375120356974634</v>
      </c>
      <c r="M30" s="56">
        <f>'Table 2A BaseLoad'!M48-Solar_Tracking_integr_cost</f>
        <v>23.490122682208266</v>
      </c>
      <c r="N30" s="133"/>
      <c r="O30" s="133"/>
      <c r="P30" s="133"/>
      <c r="Q30" s="133"/>
      <c r="R30" s="133"/>
      <c r="S30" s="133"/>
      <c r="T30" s="133"/>
    </row>
    <row r="31" spans="1:24" ht="12.75" customHeight="1" x14ac:dyDescent="0.2">
      <c r="A31" s="53">
        <f t="shared" si="1"/>
        <v>2019</v>
      </c>
      <c r="B31" s="54">
        <f>'Table 2A BaseLoad'!B49-Solar_Tracking_integr_cost</f>
        <v>22.686737557678313</v>
      </c>
      <c r="C31" s="55">
        <f>'Table 2A BaseLoad'!C49-Solar_Tracking_integr_cost</f>
        <v>21.538283910390131</v>
      </c>
      <c r="D31" s="55">
        <f>'Table 2A BaseLoad'!D49-Solar_Tracking_integr_cost</f>
        <v>19.769774242688133</v>
      </c>
      <c r="E31" s="55">
        <f>'Table 2A BaseLoad'!E49-Solar_Tracking_integr_cost</f>
        <v>14.217867887609405</v>
      </c>
      <c r="F31" s="55">
        <f>'Table 2A BaseLoad'!F49-Solar_Tracking_integr_cost</f>
        <v>13.641286720331051</v>
      </c>
      <c r="G31" s="54">
        <f>'Table 2A BaseLoad'!G49-Solar_Tracking_integr_cost</f>
        <v>13.231574265549682</v>
      </c>
      <c r="H31" s="55">
        <f>'Table 2A BaseLoad'!H49-Solar_Tracking_integr_cost</f>
        <v>20.296811222012909</v>
      </c>
      <c r="I31" s="55">
        <f>'Table 2A BaseLoad'!I49-Solar_Tracking_integr_cost</f>
        <v>22.104719879627929</v>
      </c>
      <c r="J31" s="56">
        <f>'Table 2A BaseLoad'!J49-Solar_Tracking_integr_cost</f>
        <v>22.676901734507762</v>
      </c>
      <c r="K31" s="54">
        <f>'Table 2A BaseLoad'!K49-Solar_Tracking_integr_cost</f>
        <v>18.446639104531585</v>
      </c>
      <c r="L31" s="55">
        <f>'Table 2A BaseLoad'!L49-Solar_Tracking_integr_cost</f>
        <v>22.246338012171105</v>
      </c>
      <c r="M31" s="56">
        <f>'Table 2A BaseLoad'!M49-Solar_Tracking_integr_cost</f>
        <v>24.412728223834598</v>
      </c>
      <c r="N31" s="133"/>
      <c r="O31" s="133"/>
      <c r="P31" s="133"/>
      <c r="Q31" s="133"/>
      <c r="R31" s="133"/>
      <c r="S31" s="133"/>
      <c r="T31" s="133"/>
      <c r="U31" s="133"/>
      <c r="V31" s="133"/>
      <c r="W31" s="133"/>
      <c r="X31" s="133"/>
    </row>
    <row r="32" spans="1:24" ht="12.75" customHeight="1" x14ac:dyDescent="0.2">
      <c r="A32" s="53">
        <f t="shared" si="1"/>
        <v>2020</v>
      </c>
      <c r="B32" s="54">
        <f>'Table 2A BaseLoad'!B50-Solar_Tracking_integr_cost</f>
        <v>23.903647017740255</v>
      </c>
      <c r="C32" s="55">
        <f>'Table 2A BaseLoad'!C50-Solar_Tracking_integr_cost</f>
        <v>22.237300276396056</v>
      </c>
      <c r="D32" s="55">
        <f>'Table 2A BaseLoad'!D50-Solar_Tracking_integr_cost</f>
        <v>25.824830109279688</v>
      </c>
      <c r="E32" s="55">
        <f>'Table 2A BaseLoad'!E50-Solar_Tracking_integr_cost</f>
        <v>17.113272661908951</v>
      </c>
      <c r="F32" s="55">
        <f>'Table 2A BaseLoad'!F50-Solar_Tracking_integr_cost</f>
        <v>14.955352305552509</v>
      </c>
      <c r="G32" s="54">
        <f>'Table 2A BaseLoad'!G50-Solar_Tracking_integr_cost</f>
        <v>14.502446926704657</v>
      </c>
      <c r="H32" s="55">
        <f>'Table 2A BaseLoad'!H50-Solar_Tracking_integr_cost</f>
        <v>21.205731990208093</v>
      </c>
      <c r="I32" s="55">
        <f>'Table 2A BaseLoad'!I50-Solar_Tracking_integr_cost</f>
        <v>21.442424516230716</v>
      </c>
      <c r="J32" s="56">
        <f>'Table 2A BaseLoad'!J50-Solar_Tracking_integr_cost</f>
        <v>20.969560975151797</v>
      </c>
      <c r="K32" s="54">
        <f>'Table 2A BaseLoad'!K50-Solar_Tracking_integr_cost</f>
        <v>20.77164692037115</v>
      </c>
      <c r="L32" s="55">
        <f>'Table 2A BaseLoad'!L50-Solar_Tracking_integr_cost</f>
        <v>23.789176827601786</v>
      </c>
      <c r="M32" s="56">
        <f>'Table 2A BaseLoad'!M50-Solar_Tracking_integr_cost</f>
        <v>25.17929445081872</v>
      </c>
      <c r="N32" s="133"/>
      <c r="O32" s="133"/>
      <c r="P32" s="133"/>
      <c r="Q32" s="133"/>
      <c r="R32" s="133"/>
      <c r="S32" s="133"/>
      <c r="T32" s="133"/>
    </row>
    <row r="33" spans="1:20" ht="12.75" customHeight="1" x14ac:dyDescent="0.2">
      <c r="A33" s="53">
        <f t="shared" si="1"/>
        <v>2021</v>
      </c>
      <c r="B33" s="54">
        <f>'Table 2A BaseLoad'!B51-Solar_Tracking_integr_cost</f>
        <v>24.91464269758691</v>
      </c>
      <c r="C33" s="55">
        <f>'Table 2A BaseLoad'!C51-Solar_Tracking_integr_cost</f>
        <v>23.797524760751873</v>
      </c>
      <c r="D33" s="55">
        <f>'Table 2A BaseLoad'!D51-Solar_Tracking_integr_cost</f>
        <v>22.213549808016673</v>
      </c>
      <c r="E33" s="55">
        <f>'Table 2A BaseLoad'!E51-Solar_Tracking_integr_cost</f>
        <v>20.25427672049403</v>
      </c>
      <c r="F33" s="55">
        <f>'Table 2A BaseLoad'!F51-Solar_Tracking_integr_cost</f>
        <v>16.973890276100871</v>
      </c>
      <c r="G33" s="54">
        <f>'Table 2A BaseLoad'!G51-Solar_Tracking_integr_cost</f>
        <v>15.931087728801991</v>
      </c>
      <c r="H33" s="55">
        <f>'Table 2A BaseLoad'!H51-Solar_Tracking_integr_cost</f>
        <v>22.795513843441778</v>
      </c>
      <c r="I33" s="55">
        <f>'Table 2A BaseLoad'!I51-Solar_Tracking_integr_cost</f>
        <v>24.888933940624145</v>
      </c>
      <c r="J33" s="56">
        <f>'Table 2A BaseLoad'!J51-Solar_Tracking_integr_cost</f>
        <v>25.786619487450714</v>
      </c>
      <c r="K33" s="54">
        <f>'Table 2A BaseLoad'!K51-Solar_Tracking_integr_cost</f>
        <v>21.890646875648727</v>
      </c>
      <c r="L33" s="55">
        <f>'Table 2A BaseLoad'!L51-Solar_Tracking_integr_cost</f>
        <v>25.136055773618668</v>
      </c>
      <c r="M33" s="56">
        <f>'Table 2A BaseLoad'!M51-Solar_Tracking_integr_cost</f>
        <v>26.919239409531464</v>
      </c>
      <c r="N33" s="133"/>
      <c r="O33" s="133"/>
      <c r="P33" s="133"/>
      <c r="Q33" s="133"/>
      <c r="R33" s="133"/>
      <c r="S33" s="133"/>
      <c r="T33" s="133"/>
    </row>
    <row r="34" spans="1:20" ht="12.75" customHeight="1" x14ac:dyDescent="0.2">
      <c r="A34" s="53">
        <f t="shared" si="1"/>
        <v>2022</v>
      </c>
      <c r="B34" s="54">
        <f>'Table 2A BaseLoad'!B52-Solar_Tracking_integr_cost</f>
        <v>26.926422961161464</v>
      </c>
      <c r="C34" s="55">
        <f>'Table 2A BaseLoad'!C52-Solar_Tracking_integr_cost</f>
        <v>25.813901782870637</v>
      </c>
      <c r="D34" s="55">
        <f>'Table 2A BaseLoad'!D52-Solar_Tracking_integr_cost</f>
        <v>24.270298648545793</v>
      </c>
      <c r="E34" s="55">
        <f>'Table 2A BaseLoad'!E52-Solar_Tracking_integr_cost</f>
        <v>20.736748589992082</v>
      </c>
      <c r="F34" s="55">
        <f>'Table 2A BaseLoad'!F52-Solar_Tracking_integr_cost</f>
        <v>20.253073768860787</v>
      </c>
      <c r="G34" s="54">
        <f>'Table 2A BaseLoad'!G52-Solar_Tracking_integr_cost</f>
        <v>20.839576602584234</v>
      </c>
      <c r="H34" s="55">
        <f>'Table 2A BaseLoad'!H52-Solar_Tracking_integr_cost</f>
        <v>26.860891010178456</v>
      </c>
      <c r="I34" s="55">
        <f>'Table 2A BaseLoad'!I52-Solar_Tracking_integr_cost</f>
        <v>28.104089548307499</v>
      </c>
      <c r="J34" s="56">
        <f>'Table 2A BaseLoad'!J52-Solar_Tracking_integr_cost</f>
        <v>29.45529325452512</v>
      </c>
      <c r="K34" s="54">
        <f>'Table 2A BaseLoad'!K52-Solar_Tracking_integr_cost</f>
        <v>24.656268189599693</v>
      </c>
      <c r="L34" s="55">
        <f>'Table 2A BaseLoad'!L52-Solar_Tracking_integr_cost</f>
        <v>25.609572226711219</v>
      </c>
      <c r="M34" s="56">
        <f>'Table 2A BaseLoad'!M52-Solar_Tracking_integr_cost</f>
        <v>27.511284253757211</v>
      </c>
      <c r="N34" s="133"/>
      <c r="O34" s="133"/>
      <c r="P34" s="133"/>
      <c r="Q34" s="133"/>
      <c r="R34" s="133"/>
      <c r="S34" s="133"/>
      <c r="T34" s="133"/>
    </row>
    <row r="35" spans="1:20" ht="12.75" customHeight="1" x14ac:dyDescent="0.2">
      <c r="A35" s="53">
        <f t="shared" si="1"/>
        <v>2023</v>
      </c>
      <c r="B35" s="54">
        <f>'Table 2A BaseLoad'!B53-Solar_Tracking_integr_cost</f>
        <v>29.253175686507959</v>
      </c>
      <c r="C35" s="55">
        <f>'Table 2A BaseLoad'!C53-Solar_Tracking_integr_cost</f>
        <v>21.291833225953575</v>
      </c>
      <c r="D35" s="55">
        <f>'Table 2A BaseLoad'!D53-Solar_Tracking_integr_cost</f>
        <v>26.839336863899319</v>
      </c>
      <c r="E35" s="55">
        <f>'Table 2A BaseLoad'!E53-Solar_Tracking_integr_cost</f>
        <v>23.227369191680296</v>
      </c>
      <c r="F35" s="55">
        <f>'Table 2A BaseLoad'!F53-Solar_Tracking_integr_cost</f>
        <v>22.851972919735267</v>
      </c>
      <c r="G35" s="54">
        <f>'Table 2A BaseLoad'!G53-Solar_Tracking_integr_cost</f>
        <v>24.061900563504562</v>
      </c>
      <c r="H35" s="55">
        <f>'Table 2A BaseLoad'!H53-Solar_Tracking_integr_cost</f>
        <v>31.448838961541661</v>
      </c>
      <c r="I35" s="55">
        <f>'Table 2A BaseLoad'!I53-Solar_Tracking_integr_cost</f>
        <v>31.182494742484081</v>
      </c>
      <c r="J35" s="56">
        <f>'Table 2A BaseLoad'!J53-Solar_Tracking_integr_cost</f>
        <v>32.364156525712218</v>
      </c>
      <c r="K35" s="54">
        <f>'Table 2A BaseLoad'!K53-Solar_Tracking_integr_cost</f>
        <v>26.621888247376162</v>
      </c>
      <c r="L35" s="55">
        <f>'Table 2A BaseLoad'!L53-Solar_Tracking_integr_cost</f>
        <v>27.976016406983213</v>
      </c>
      <c r="M35" s="56">
        <f>'Table 2A BaseLoad'!M53-Solar_Tracking_integr_cost</f>
        <v>30.946860777060046</v>
      </c>
      <c r="N35" s="133"/>
      <c r="O35" s="133"/>
      <c r="P35" s="133"/>
      <c r="Q35" s="133"/>
      <c r="R35" s="133"/>
      <c r="S35" s="133"/>
      <c r="T35" s="133"/>
    </row>
    <row r="36" spans="1:20" ht="12.75" customHeight="1" x14ac:dyDescent="0.2">
      <c r="A36" s="53">
        <f t="shared" si="1"/>
        <v>2024</v>
      </c>
      <c r="B36" s="54">
        <f>'Table 2A BaseLoad'!B54-Solar_Tracking_integr_cost</f>
        <v>32.045882562395924</v>
      </c>
      <c r="C36" s="55">
        <f>'Table 2A BaseLoad'!C54-Solar_Tracking_integr_cost</f>
        <v>30.434420938582328</v>
      </c>
      <c r="D36" s="55">
        <f>'Table 2A BaseLoad'!D54-Solar_Tracking_integr_cost</f>
        <v>28.450482149449186</v>
      </c>
      <c r="E36" s="55">
        <f>'Table 2A BaseLoad'!E54-Solar_Tracking_integr_cost</f>
        <v>26.003590395278277</v>
      </c>
      <c r="F36" s="55">
        <f>'Table 2A BaseLoad'!F54-Solar_Tracking_integr_cost</f>
        <v>24.819754282868455</v>
      </c>
      <c r="G36" s="54">
        <f>'Table 2A BaseLoad'!G54-Solar_Tracking_integr_cost</f>
        <v>26.982850708902372</v>
      </c>
      <c r="H36" s="55">
        <f>'Table 2A BaseLoad'!H54-Solar_Tracking_integr_cost</f>
        <v>34.476184782257526</v>
      </c>
      <c r="I36" s="55">
        <f>'Table 2A BaseLoad'!I54-Solar_Tracking_integr_cost</f>
        <v>34.779400852909639</v>
      </c>
      <c r="J36" s="56">
        <f>'Table 2A BaseLoad'!J54-Solar_Tracking_integr_cost</f>
        <v>33.413873280163791</v>
      </c>
      <c r="K36" s="54">
        <f>'Table 2A BaseLoad'!K54-Solar_Tracking_integr_cost</f>
        <v>29.919729265865548</v>
      </c>
      <c r="L36" s="55">
        <f>'Table 2A BaseLoad'!L54-Solar_Tracking_integr_cost</f>
        <v>32.824984179896958</v>
      </c>
      <c r="M36" s="56">
        <f>'Table 2A BaseLoad'!M54-Solar_Tracking_integr_cost</f>
        <v>36.896979286842594</v>
      </c>
      <c r="N36" s="133"/>
      <c r="O36" s="133"/>
      <c r="P36" s="133"/>
      <c r="Q36" s="133"/>
      <c r="R36" s="133"/>
      <c r="S36" s="133"/>
      <c r="T36" s="133"/>
    </row>
    <row r="37" spans="1:20" ht="12.75" customHeight="1" x14ac:dyDescent="0.2">
      <c r="A37" s="53">
        <f t="shared" si="1"/>
        <v>2025</v>
      </c>
      <c r="B37" s="54">
        <f>'Table 2A BaseLoad'!B55-Solar_Tracking_integr_cost</f>
        <v>33.824887892692622</v>
      </c>
      <c r="C37" s="55">
        <f>'Table 2A BaseLoad'!C55-Solar_Tracking_integr_cost</f>
        <v>45.618134603656223</v>
      </c>
      <c r="D37" s="55">
        <f>'Table 2A BaseLoad'!D55-Solar_Tracking_integr_cost</f>
        <v>28.012571265115852</v>
      </c>
      <c r="E37" s="55">
        <f>'Table 2A BaseLoad'!E55-Solar_Tracking_integr_cost</f>
        <v>29.634641552435625</v>
      </c>
      <c r="F37" s="55">
        <f>'Table 2A BaseLoad'!F55-Solar_Tracking_integr_cost</f>
        <v>26.866565125095633</v>
      </c>
      <c r="G37" s="54">
        <f>'Table 2A BaseLoad'!G55-Solar_Tracking_integr_cost</f>
        <v>29.127072007491297</v>
      </c>
      <c r="H37" s="55">
        <f>'Table 2A BaseLoad'!H55-Solar_Tracking_integr_cost</f>
        <v>37.292588309748957</v>
      </c>
      <c r="I37" s="55">
        <f>'Table 2A BaseLoad'!I55-Solar_Tracking_integr_cost</f>
        <v>36.967389775209448</v>
      </c>
      <c r="J37" s="56">
        <f>'Table 2A BaseLoad'!J55-Solar_Tracking_integr_cost</f>
        <v>32.151313997336047</v>
      </c>
      <c r="K37" s="54">
        <f>'Table 2A BaseLoad'!K55-Solar_Tracking_integr_cost</f>
        <v>31.046200941161239</v>
      </c>
      <c r="L37" s="55">
        <f>'Table 2A BaseLoad'!L55-Solar_Tracking_integr_cost</f>
        <v>32.115921744952779</v>
      </c>
      <c r="M37" s="56">
        <f>'Table 2A BaseLoad'!M55-Solar_Tracking_integr_cost</f>
        <v>35.166405989037223</v>
      </c>
      <c r="N37" s="133"/>
      <c r="O37" s="133"/>
      <c r="P37" s="133"/>
      <c r="Q37" s="133"/>
      <c r="R37" s="133"/>
      <c r="S37" s="133"/>
      <c r="T37" s="133"/>
    </row>
    <row r="38" spans="1:20" ht="12.75" customHeight="1" x14ac:dyDescent="0.2">
      <c r="A38" s="53">
        <f t="shared" si="1"/>
        <v>2026</v>
      </c>
      <c r="B38" s="54">
        <f>'Table 2A BaseLoad'!B56-Solar_Tracking_integr_cost</f>
        <v>34.965034042784296</v>
      </c>
      <c r="C38" s="55">
        <f>'Table 2A BaseLoad'!C56-Solar_Tracking_integr_cost</f>
        <v>35.111051887002191</v>
      </c>
      <c r="D38" s="55">
        <f>'Table 2A BaseLoad'!D56-Solar_Tracking_integr_cost</f>
        <v>32.053281827070833</v>
      </c>
      <c r="E38" s="55">
        <f>'Table 2A BaseLoad'!E56-Solar_Tracking_integr_cost</f>
        <v>29.007933387238687</v>
      </c>
      <c r="F38" s="55">
        <f>'Table 2A BaseLoad'!F56-Solar_Tracking_integr_cost</f>
        <v>28.558861012338948</v>
      </c>
      <c r="G38" s="54">
        <f>'Table 2A BaseLoad'!G56-Solar_Tracking_integr_cost</f>
        <v>30.363931940546919</v>
      </c>
      <c r="H38" s="55">
        <f>'Table 2A BaseLoad'!H56-Solar_Tracking_integr_cost</f>
        <v>39.373229890626519</v>
      </c>
      <c r="I38" s="55">
        <f>'Table 2A BaseLoad'!I56-Solar_Tracking_integr_cost</f>
        <v>39.034396011901073</v>
      </c>
      <c r="J38" s="55">
        <f>'Table 2A BaseLoad'!J56-Solar_Tracking_integr_cost</f>
        <v>34.351992692494747</v>
      </c>
      <c r="K38" s="54">
        <f>'Table 2A BaseLoad'!K56-Solar_Tracking_integr_cost</f>
        <v>31.952088163770341</v>
      </c>
      <c r="L38" s="55">
        <f>'Table 2A BaseLoad'!L56-Solar_Tracking_integr_cost</f>
        <v>33.648527458622127</v>
      </c>
      <c r="M38" s="56">
        <f>'Table 2A BaseLoad'!M56-Solar_Tracking_integr_cost</f>
        <v>36.536158259512362</v>
      </c>
      <c r="N38" s="134"/>
      <c r="O38" s="134"/>
      <c r="P38" s="134"/>
      <c r="Q38" s="134"/>
      <c r="R38" s="134"/>
      <c r="S38" s="134"/>
      <c r="T38" s="134"/>
    </row>
    <row r="39" spans="1:20" ht="12.75" customHeight="1" x14ac:dyDescent="0.2">
      <c r="A39" s="53">
        <f t="shared" si="1"/>
        <v>2027</v>
      </c>
      <c r="B39" s="54">
        <f>'Table 2A BaseLoad'!B57-Solar_Tracking_integr_cost</f>
        <v>36.0376074907578</v>
      </c>
      <c r="C39" s="55">
        <f>'Table 2A BaseLoad'!C57-Solar_Tracking_integr_cost</f>
        <v>37.048498356511566</v>
      </c>
      <c r="D39" s="55">
        <f>'Table 2A BaseLoad'!D57-Solar_Tracking_integr_cost</f>
        <v>34.308718673632747</v>
      </c>
      <c r="E39" s="55">
        <f>'Table 2A BaseLoad'!E57-Solar_Tracking_integr_cost</f>
        <v>31.924965310500255</v>
      </c>
      <c r="F39" s="55">
        <f>'Table 2A BaseLoad'!F57-Solar_Tracking_integr_cost</f>
        <v>29.433264127073567</v>
      </c>
      <c r="G39" s="54">
        <f>'Table 2A BaseLoad'!G57-Solar_Tracking_integr_cost</f>
        <v>31.784376315486085</v>
      </c>
      <c r="H39" s="55">
        <f>'Table 2A BaseLoad'!H57-Solar_Tracking_integr_cost</f>
        <v>41.11942069950706</v>
      </c>
      <c r="I39" s="55">
        <f>'Table 2A BaseLoad'!I57-Solar_Tracking_integr_cost</f>
        <v>41.006032985535825</v>
      </c>
      <c r="J39" s="55">
        <f>'Table 2A BaseLoad'!J57-Solar_Tracking_integr_cost</f>
        <v>36.849593601897091</v>
      </c>
      <c r="K39" s="54">
        <f>'Table 2A BaseLoad'!K57-Solar_Tracking_integr_cost</f>
        <v>35.385322148062102</v>
      </c>
      <c r="L39" s="55">
        <f>'Table 2A BaseLoad'!L57-Solar_Tracking_integr_cost</f>
        <v>36.559126736445371</v>
      </c>
      <c r="M39" s="56">
        <f>'Table 2A BaseLoad'!M57-Solar_Tracking_integr_cost</f>
        <v>39.969291117270863</v>
      </c>
    </row>
    <row r="40" spans="1:20" ht="12.75" customHeight="1" x14ac:dyDescent="0.2">
      <c r="A40" s="53"/>
      <c r="B40" s="54"/>
      <c r="C40" s="55"/>
      <c r="D40" s="55"/>
      <c r="E40" s="55"/>
      <c r="F40" s="55"/>
      <c r="G40" s="54"/>
      <c r="H40" s="55"/>
      <c r="I40" s="55"/>
      <c r="J40" s="55"/>
      <c r="K40" s="54"/>
      <c r="L40" s="55"/>
      <c r="M40" s="56"/>
    </row>
    <row r="41" spans="1:20" ht="12.75" hidden="1" customHeight="1" x14ac:dyDescent="0.2">
      <c r="A41" s="53"/>
      <c r="B41" s="54"/>
      <c r="C41" s="55"/>
      <c r="D41" s="55"/>
      <c r="E41" s="55"/>
      <c r="F41" s="55"/>
      <c r="G41" s="54"/>
      <c r="H41" s="55"/>
      <c r="I41" s="55"/>
      <c r="J41" s="55"/>
      <c r="K41" s="54"/>
      <c r="L41" s="55"/>
      <c r="M41" s="56"/>
    </row>
    <row r="42" spans="1:20" ht="12.75" hidden="1" customHeight="1" x14ac:dyDescent="0.2">
      <c r="A42" s="53"/>
      <c r="B42" s="54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6"/>
    </row>
    <row r="43" spans="1:20" ht="12.75" hidden="1" customHeight="1" x14ac:dyDescent="0.2">
      <c r="A43" s="57"/>
      <c r="B43" s="58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60"/>
    </row>
    <row r="44" spans="1:20" ht="12.75" customHeight="1" x14ac:dyDescent="0.2">
      <c r="A44" s="111"/>
      <c r="B44" s="109"/>
      <c r="C44" s="109"/>
      <c r="D44" s="109"/>
      <c r="E44" s="109"/>
      <c r="F44" s="108"/>
      <c r="G44" s="108"/>
      <c r="H44" s="108"/>
      <c r="I44" s="108"/>
      <c r="J44" s="110"/>
      <c r="K44" s="108"/>
      <c r="L44" s="108"/>
      <c r="M44" s="108"/>
    </row>
    <row r="45" spans="1:20" ht="12.75" customHeight="1" x14ac:dyDescent="0.2">
      <c r="A45" s="12" t="s">
        <v>228</v>
      </c>
      <c r="C45" s="40"/>
      <c r="D45" s="40"/>
      <c r="E45" s="40"/>
      <c r="G45" s="40"/>
      <c r="H45" s="40"/>
      <c r="I45" s="40"/>
      <c r="J45" s="48"/>
      <c r="L45" s="40"/>
      <c r="M45" s="37"/>
    </row>
    <row r="46" spans="1:20" ht="12.75" customHeight="1" x14ac:dyDescent="0.2">
      <c r="A46" s="49">
        <f>'Tables 3 to 5'!$B$13</f>
        <v>2016</v>
      </c>
      <c r="B46" s="50"/>
      <c r="C46" s="51"/>
      <c r="D46" s="51"/>
      <c r="E46" s="51"/>
      <c r="F46" s="51">
        <f t="shared" ref="F46:G46" si="2">F10*0.56+F28*0.44</f>
        <v>12.110882714180654</v>
      </c>
      <c r="G46" s="50">
        <f t="shared" si="2"/>
        <v>12.463839806365785</v>
      </c>
      <c r="H46" s="51">
        <f>H10*0.56+H28*0.44</f>
        <v>19.996686912154907</v>
      </c>
      <c r="I46" s="51">
        <f t="shared" ref="I46:M46" si="3">I10*0.56+I28*0.44</f>
        <v>20.178584557637617</v>
      </c>
      <c r="J46" s="51">
        <f t="shared" si="3"/>
        <v>19.797251122673352</v>
      </c>
      <c r="K46" s="50">
        <f t="shared" si="3"/>
        <v>15.346575880168643</v>
      </c>
      <c r="L46" s="51">
        <f t="shared" si="3"/>
        <v>15.675201290116794</v>
      </c>
      <c r="M46" s="52">
        <f t="shared" si="3"/>
        <v>20.286246117890528</v>
      </c>
    </row>
    <row r="47" spans="1:20" ht="12.75" customHeight="1" x14ac:dyDescent="0.2">
      <c r="A47" s="53">
        <f t="shared" ref="A47:A57" si="4">A46+1</f>
        <v>2017</v>
      </c>
      <c r="B47" s="54">
        <f>B11*0.56+B29*0.44</f>
        <v>18.734855380909007</v>
      </c>
      <c r="C47" s="55">
        <f t="shared" ref="C47:M47" si="5">C11*0.56+C29*0.44</f>
        <v>19.468522309227328</v>
      </c>
      <c r="D47" s="55">
        <f t="shared" si="5"/>
        <v>17.59103304061804</v>
      </c>
      <c r="E47" s="55">
        <f t="shared" si="5"/>
        <v>17.466411142772579</v>
      </c>
      <c r="F47" s="55">
        <f t="shared" si="5"/>
        <v>14.680451602038506</v>
      </c>
      <c r="G47" s="54">
        <f t="shared" si="5"/>
        <v>14.562506601003584</v>
      </c>
      <c r="H47" s="55">
        <f t="shared" si="5"/>
        <v>22.079083903276082</v>
      </c>
      <c r="I47" s="55">
        <f t="shared" si="5"/>
        <v>20.840760129659447</v>
      </c>
      <c r="J47" s="55">
        <f t="shared" si="5"/>
        <v>18.579834170608496</v>
      </c>
      <c r="K47" s="54">
        <f t="shared" si="5"/>
        <v>15.883375164308422</v>
      </c>
      <c r="L47" s="55">
        <f t="shared" si="5"/>
        <v>18.938850495620333</v>
      </c>
      <c r="M47" s="56">
        <f t="shared" si="5"/>
        <v>22.315415800290708</v>
      </c>
    </row>
    <row r="48" spans="1:20" ht="12.75" customHeight="1" x14ac:dyDescent="0.2">
      <c r="A48" s="53">
        <f t="shared" si="4"/>
        <v>2018</v>
      </c>
      <c r="B48" s="54">
        <f t="shared" ref="B48:M57" si="6">B12*0.56+B30*0.44</f>
        <v>23.051471838888773</v>
      </c>
      <c r="C48" s="55">
        <f t="shared" si="6"/>
        <v>21.535144585722023</v>
      </c>
      <c r="D48" s="55">
        <f t="shared" si="6"/>
        <v>19.790217570926607</v>
      </c>
      <c r="E48" s="55">
        <f t="shared" si="6"/>
        <v>19.231578411719916</v>
      </c>
      <c r="F48" s="55">
        <f t="shared" si="6"/>
        <v>16.400726717184529</v>
      </c>
      <c r="G48" s="54">
        <f t="shared" si="6"/>
        <v>16.308073980659444</v>
      </c>
      <c r="H48" s="55">
        <f t="shared" si="6"/>
        <v>24.044443104219575</v>
      </c>
      <c r="I48" s="55">
        <f t="shared" si="6"/>
        <v>22.842362941979189</v>
      </c>
      <c r="J48" s="55">
        <f t="shared" si="6"/>
        <v>19.213722364711423</v>
      </c>
      <c r="K48" s="54">
        <f t="shared" si="6"/>
        <v>18.344305437017525</v>
      </c>
      <c r="L48" s="55">
        <f t="shared" si="6"/>
        <v>22.479643093498186</v>
      </c>
      <c r="M48" s="56">
        <f t="shared" si="6"/>
        <v>24.702927811635512</v>
      </c>
    </row>
    <row r="49" spans="1:13" ht="12.75" customHeight="1" x14ac:dyDescent="0.2">
      <c r="A49" s="53">
        <f t="shared" si="4"/>
        <v>2019</v>
      </c>
      <c r="B49" s="54">
        <f t="shared" si="6"/>
        <v>23.844646037388149</v>
      </c>
      <c r="C49" s="55">
        <f t="shared" si="6"/>
        <v>22.773580652629505</v>
      </c>
      <c r="D49" s="55">
        <f t="shared" si="6"/>
        <v>20.664724919091348</v>
      </c>
      <c r="E49" s="55">
        <f t="shared" si="6"/>
        <v>17.279697713870924</v>
      </c>
      <c r="F49" s="55">
        <f t="shared" si="6"/>
        <v>17.077647754445508</v>
      </c>
      <c r="G49" s="54">
        <f t="shared" si="6"/>
        <v>17.124225726377048</v>
      </c>
      <c r="H49" s="55">
        <f t="shared" si="6"/>
        <v>25.101863780014178</v>
      </c>
      <c r="I49" s="55">
        <f t="shared" si="6"/>
        <v>25.504580662775844</v>
      </c>
      <c r="J49" s="55">
        <f t="shared" si="6"/>
        <v>24.320254678897285</v>
      </c>
      <c r="K49" s="54">
        <f t="shared" si="6"/>
        <v>19.637304373420704</v>
      </c>
      <c r="L49" s="55">
        <f t="shared" si="6"/>
        <v>23.244298783788086</v>
      </c>
      <c r="M49" s="56">
        <f t="shared" si="6"/>
        <v>25.513919895506046</v>
      </c>
    </row>
    <row r="50" spans="1:13" ht="12.75" customHeight="1" x14ac:dyDescent="0.2">
      <c r="A50" s="53">
        <f t="shared" si="4"/>
        <v>2020</v>
      </c>
      <c r="B50" s="54">
        <f t="shared" si="6"/>
        <v>25.143850611791301</v>
      </c>
      <c r="C50" s="55">
        <f t="shared" si="6"/>
        <v>23.527825832278932</v>
      </c>
      <c r="D50" s="55">
        <f t="shared" si="6"/>
        <v>27.003813595298723</v>
      </c>
      <c r="E50" s="55">
        <f t="shared" si="6"/>
        <v>20.263304159909989</v>
      </c>
      <c r="F50" s="55">
        <f t="shared" si="6"/>
        <v>18.226058050699816</v>
      </c>
      <c r="G50" s="54">
        <f t="shared" si="6"/>
        <v>18.249871162895491</v>
      </c>
      <c r="H50" s="55">
        <f t="shared" si="6"/>
        <v>26.608626901800903</v>
      </c>
      <c r="I50" s="55">
        <f t="shared" si="6"/>
        <v>25.15000105924824</v>
      </c>
      <c r="J50" s="55">
        <f t="shared" si="6"/>
        <v>22.924226333894595</v>
      </c>
      <c r="K50" s="54">
        <f t="shared" si="6"/>
        <v>22.282825303894501</v>
      </c>
      <c r="L50" s="55">
        <f t="shared" si="6"/>
        <v>25.078020895947869</v>
      </c>
      <c r="M50" s="56">
        <f t="shared" si="6"/>
        <v>26.543620089454471</v>
      </c>
    </row>
    <row r="51" spans="1:13" ht="12.75" customHeight="1" x14ac:dyDescent="0.2">
      <c r="A51" s="53">
        <f t="shared" si="4"/>
        <v>2021</v>
      </c>
      <c r="B51" s="54">
        <f t="shared" si="6"/>
        <v>26.715178899156577</v>
      </c>
      <c r="C51" s="55">
        <f t="shared" si="6"/>
        <v>25.670315685541652</v>
      </c>
      <c r="D51" s="55">
        <f t="shared" si="6"/>
        <v>23.74251986044019</v>
      </c>
      <c r="E51" s="55">
        <f t="shared" si="6"/>
        <v>22.380138699707047</v>
      </c>
      <c r="F51" s="55">
        <f t="shared" si="6"/>
        <v>19.221476874864006</v>
      </c>
      <c r="G51" s="54">
        <f t="shared" si="6"/>
        <v>18.628624446061885</v>
      </c>
      <c r="H51" s="55">
        <f t="shared" si="6"/>
        <v>28.364057683663884</v>
      </c>
      <c r="I51" s="55">
        <f t="shared" si="6"/>
        <v>29.042605745304748</v>
      </c>
      <c r="J51" s="55">
        <f t="shared" si="6"/>
        <v>28.15889421518677</v>
      </c>
      <c r="K51" s="54">
        <f t="shared" si="6"/>
        <v>23.81597157886808</v>
      </c>
      <c r="L51" s="55">
        <f t="shared" si="6"/>
        <v>26.899873643402508</v>
      </c>
      <c r="M51" s="56">
        <f t="shared" si="6"/>
        <v>28.790494992071906</v>
      </c>
    </row>
    <row r="52" spans="1:13" ht="12.75" customHeight="1" x14ac:dyDescent="0.2">
      <c r="A52" s="53">
        <f t="shared" si="4"/>
        <v>2022</v>
      </c>
      <c r="B52" s="54">
        <f t="shared" si="6"/>
        <v>28.760582250597992</v>
      </c>
      <c r="C52" s="55">
        <f t="shared" si="6"/>
        <v>27.723434409338978</v>
      </c>
      <c r="D52" s="55">
        <f t="shared" si="6"/>
        <v>25.837153170630103</v>
      </c>
      <c r="E52" s="55">
        <f t="shared" si="6"/>
        <v>22.753725372129843</v>
      </c>
      <c r="F52" s="55">
        <f t="shared" si="6"/>
        <v>22.102925581536169</v>
      </c>
      <c r="G52" s="54">
        <f t="shared" si="6"/>
        <v>23.605636733053586</v>
      </c>
      <c r="H52" s="55">
        <f t="shared" si="6"/>
        <v>31.593640980497288</v>
      </c>
      <c r="I52" s="55">
        <f t="shared" si="6"/>
        <v>32.38748919894725</v>
      </c>
      <c r="J52" s="55">
        <f t="shared" si="6"/>
        <v>32.126700947354671</v>
      </c>
      <c r="K52" s="54">
        <f t="shared" si="6"/>
        <v>26.613198376733166</v>
      </c>
      <c r="L52" s="55">
        <f t="shared" si="6"/>
        <v>27.773387465199249</v>
      </c>
      <c r="M52" s="56">
        <f t="shared" si="6"/>
        <v>29.606911609828572</v>
      </c>
    </row>
    <row r="53" spans="1:13" ht="12.75" customHeight="1" x14ac:dyDescent="0.2">
      <c r="A53" s="53">
        <f t="shared" si="4"/>
        <v>2023</v>
      </c>
      <c r="B53" s="54">
        <f t="shared" si="6"/>
        <v>31.444787077790309</v>
      </c>
      <c r="C53" s="55">
        <f t="shared" si="6"/>
        <v>22.987236481390134</v>
      </c>
      <c r="D53" s="55">
        <f t="shared" si="6"/>
        <v>28.539908068298004</v>
      </c>
      <c r="E53" s="55">
        <f t="shared" si="6"/>
        <v>24.820000379948056</v>
      </c>
      <c r="F53" s="55">
        <f t="shared" si="6"/>
        <v>24.32517743960058</v>
      </c>
      <c r="G53" s="54">
        <f t="shared" si="6"/>
        <v>26.699695076427325</v>
      </c>
      <c r="H53" s="55">
        <f t="shared" si="6"/>
        <v>35.372748179237291</v>
      </c>
      <c r="I53" s="55">
        <f t="shared" si="6"/>
        <v>35.573570290595924</v>
      </c>
      <c r="J53" s="55">
        <f t="shared" si="6"/>
        <v>35.270328168018018</v>
      </c>
      <c r="K53" s="54">
        <f t="shared" si="6"/>
        <v>28.553580266025804</v>
      </c>
      <c r="L53" s="55">
        <f t="shared" si="6"/>
        <v>30.640290944429474</v>
      </c>
      <c r="M53" s="56">
        <f t="shared" si="6"/>
        <v>33.447549030011267</v>
      </c>
    </row>
    <row r="54" spans="1:13" ht="12.75" customHeight="1" x14ac:dyDescent="0.2">
      <c r="A54" s="53">
        <f t="shared" si="4"/>
        <v>2024</v>
      </c>
      <c r="B54" s="54">
        <f t="shared" si="6"/>
        <v>34.60768243881293</v>
      </c>
      <c r="C54" s="55">
        <f t="shared" si="6"/>
        <v>32.886901303328813</v>
      </c>
      <c r="D54" s="55">
        <f t="shared" si="6"/>
        <v>30.230863035639764</v>
      </c>
      <c r="E54" s="55">
        <f t="shared" si="6"/>
        <v>27.31028345672285</v>
      </c>
      <c r="F54" s="55">
        <f t="shared" si="6"/>
        <v>26.358810538303338</v>
      </c>
      <c r="G54" s="54">
        <f t="shared" si="6"/>
        <v>29.469865272543906</v>
      </c>
      <c r="H54" s="55">
        <f t="shared" si="6"/>
        <v>38.933718493528978</v>
      </c>
      <c r="I54" s="55">
        <f t="shared" si="6"/>
        <v>39.609162277635612</v>
      </c>
      <c r="J54" s="55">
        <f t="shared" si="6"/>
        <v>37.06394699894507</v>
      </c>
      <c r="K54" s="54">
        <f t="shared" si="6"/>
        <v>32.588745955935337</v>
      </c>
      <c r="L54" s="55">
        <f t="shared" si="6"/>
        <v>35.981934025461271</v>
      </c>
      <c r="M54" s="56">
        <f t="shared" si="6"/>
        <v>39.729361237821465</v>
      </c>
    </row>
    <row r="55" spans="1:13" ht="12.75" customHeight="1" x14ac:dyDescent="0.2">
      <c r="A55" s="53">
        <f t="shared" si="4"/>
        <v>2025</v>
      </c>
      <c r="B55" s="54">
        <f t="shared" si="6"/>
        <v>36.242065220593815</v>
      </c>
      <c r="C55" s="55">
        <f t="shared" si="6"/>
        <v>48.608913608536021</v>
      </c>
      <c r="D55" s="55">
        <f t="shared" si="6"/>
        <v>29.52492767638681</v>
      </c>
      <c r="E55" s="55">
        <f t="shared" si="6"/>
        <v>31.217487928928627</v>
      </c>
      <c r="F55" s="55">
        <f t="shared" si="6"/>
        <v>28.393747836936615</v>
      </c>
      <c r="G55" s="54">
        <f t="shared" si="6"/>
        <v>31.968956283183822</v>
      </c>
      <c r="H55" s="55">
        <f t="shared" si="6"/>
        <v>42.114995261328566</v>
      </c>
      <c r="I55" s="55">
        <f t="shared" si="6"/>
        <v>41.869640941991157</v>
      </c>
      <c r="J55" s="55">
        <f t="shared" si="6"/>
        <v>35.915633527279084</v>
      </c>
      <c r="K55" s="54">
        <f t="shared" si="6"/>
        <v>33.854190831140336</v>
      </c>
      <c r="L55" s="55">
        <f t="shared" si="6"/>
        <v>34.809977108350289</v>
      </c>
      <c r="M55" s="56">
        <f t="shared" si="6"/>
        <v>38.080877011699585</v>
      </c>
    </row>
    <row r="56" spans="1:13" ht="12.75" customHeight="1" x14ac:dyDescent="0.2">
      <c r="A56" s="53">
        <f t="shared" si="4"/>
        <v>2026</v>
      </c>
      <c r="B56" s="54">
        <f t="shared" si="6"/>
        <v>37.52590354516466</v>
      </c>
      <c r="C56" s="55">
        <f t="shared" si="6"/>
        <v>37.505002778796388</v>
      </c>
      <c r="D56" s="55">
        <f t="shared" si="6"/>
        <v>33.997693571600898</v>
      </c>
      <c r="E56" s="55">
        <f t="shared" si="6"/>
        <v>30.570311211873253</v>
      </c>
      <c r="F56" s="55">
        <f t="shared" si="6"/>
        <v>30.336400140262462</v>
      </c>
      <c r="G56" s="54">
        <f t="shared" si="6"/>
        <v>33.227590126283886</v>
      </c>
      <c r="H56" s="55">
        <f t="shared" si="6"/>
        <v>44.083971319330644</v>
      </c>
      <c r="I56" s="55">
        <f t="shared" si="6"/>
        <v>43.854662866180796</v>
      </c>
      <c r="J56" s="55">
        <f t="shared" si="6"/>
        <v>37.75570383729702</v>
      </c>
      <c r="K56" s="54">
        <f t="shared" si="6"/>
        <v>34.540634807114103</v>
      </c>
      <c r="L56" s="55">
        <f t="shared" si="6"/>
        <v>36.582410319688712</v>
      </c>
      <c r="M56" s="56">
        <f t="shared" si="6"/>
        <v>39.543506833268125</v>
      </c>
    </row>
    <row r="57" spans="1:13" ht="12.75" customHeight="1" x14ac:dyDescent="0.2">
      <c r="A57" s="53">
        <f t="shared" si="4"/>
        <v>2027</v>
      </c>
      <c r="B57" s="54">
        <f t="shared" si="6"/>
        <v>38.639309523281</v>
      </c>
      <c r="C57" s="55">
        <f t="shared" si="6"/>
        <v>39.63948875054534</v>
      </c>
      <c r="D57" s="55">
        <f t="shared" si="6"/>
        <v>36.21518987374111</v>
      </c>
      <c r="E57" s="55">
        <f t="shared" si="6"/>
        <v>33.583050481085415</v>
      </c>
      <c r="F57" s="55">
        <f t="shared" si="6"/>
        <v>31.155359764874667</v>
      </c>
      <c r="G57" s="54">
        <f t="shared" si="6"/>
        <v>34.724011272723068</v>
      </c>
      <c r="H57" s="55">
        <f t="shared" si="6"/>
        <v>45.702162834068289</v>
      </c>
      <c r="I57" s="55">
        <f t="shared" si="6"/>
        <v>45.937899037584657</v>
      </c>
      <c r="J57" s="55">
        <f t="shared" si="6"/>
        <v>40.228495086289655</v>
      </c>
      <c r="K57" s="54">
        <f t="shared" si="6"/>
        <v>38.186788691008886</v>
      </c>
      <c r="L57" s="55">
        <f t="shared" si="6"/>
        <v>39.836265966185572</v>
      </c>
      <c r="M57" s="56">
        <f t="shared" si="6"/>
        <v>43.228759009334098</v>
      </c>
    </row>
    <row r="58" spans="1:13" ht="12.75" customHeight="1" x14ac:dyDescent="0.2">
      <c r="A58" s="53"/>
      <c r="B58" s="54"/>
      <c r="C58" s="55"/>
      <c r="D58" s="55"/>
      <c r="E58" s="55"/>
      <c r="F58" s="55"/>
      <c r="G58" s="54"/>
      <c r="H58" s="55"/>
      <c r="I58" s="55"/>
      <c r="J58" s="55"/>
      <c r="K58" s="54"/>
      <c r="L58" s="55"/>
      <c r="M58" s="56"/>
    </row>
    <row r="59" spans="1:13" ht="12.75" hidden="1" customHeight="1" x14ac:dyDescent="0.2">
      <c r="A59" s="53"/>
      <c r="B59" s="54"/>
      <c r="C59" s="55"/>
      <c r="D59" s="55"/>
      <c r="E59" s="55"/>
      <c r="F59" s="55"/>
      <c r="G59" s="54"/>
      <c r="H59" s="55"/>
      <c r="I59" s="55"/>
      <c r="J59" s="55"/>
      <c r="K59" s="54"/>
      <c r="L59" s="55"/>
      <c r="M59" s="56"/>
    </row>
    <row r="60" spans="1:13" ht="12.75" hidden="1" customHeight="1" x14ac:dyDescent="0.2">
      <c r="A60" s="53"/>
      <c r="B60" s="54"/>
      <c r="C60" s="55"/>
      <c r="D60" s="55"/>
      <c r="E60" s="55"/>
      <c r="F60" s="55"/>
      <c r="G60" s="54"/>
      <c r="H60" s="55"/>
      <c r="I60" s="55"/>
      <c r="J60" s="55"/>
      <c r="K60" s="54"/>
      <c r="L60" s="55"/>
      <c r="M60" s="56"/>
    </row>
    <row r="61" spans="1:13" ht="12.75" hidden="1" customHeight="1" x14ac:dyDescent="0.2">
      <c r="A61" s="57"/>
      <c r="B61" s="58"/>
      <c r="C61" s="59"/>
      <c r="D61" s="59"/>
      <c r="E61" s="59"/>
      <c r="F61" s="59"/>
      <c r="G61" s="58"/>
      <c r="H61" s="59"/>
      <c r="I61" s="59"/>
      <c r="J61" s="59"/>
      <c r="K61" s="58"/>
      <c r="L61" s="59"/>
      <c r="M61" s="60"/>
    </row>
    <row r="62" spans="1:13" ht="12.75" customHeight="1" x14ac:dyDescent="0.2">
      <c r="A62" s="108"/>
      <c r="B62" s="109"/>
      <c r="C62" s="109"/>
      <c r="D62" s="109"/>
      <c r="E62" s="108"/>
      <c r="F62" s="108"/>
      <c r="G62" s="108"/>
      <c r="H62" s="108"/>
      <c r="I62" s="108"/>
      <c r="J62" s="108"/>
      <c r="K62" s="110"/>
      <c r="L62" s="108"/>
      <c r="M62" s="108"/>
    </row>
    <row r="63" spans="1:13" ht="12.75" customHeight="1" x14ac:dyDescent="0.2">
      <c r="A63" s="12" t="s">
        <v>66</v>
      </c>
      <c r="C63" s="62"/>
      <c r="D63" s="62"/>
      <c r="K63" s="61"/>
    </row>
    <row r="64" spans="1:13" ht="12.75" customHeight="1" x14ac:dyDescent="0.2">
      <c r="A64" s="63" t="s">
        <v>2</v>
      </c>
      <c r="C64" s="64" t="s">
        <v>56</v>
      </c>
      <c r="D64" s="33"/>
      <c r="E64" s="34"/>
      <c r="F64" s="37"/>
      <c r="G64" s="64" t="s">
        <v>57</v>
      </c>
      <c r="H64" s="33"/>
      <c r="I64" s="34"/>
      <c r="J64" s="37"/>
      <c r="K64" s="64" t="s">
        <v>67</v>
      </c>
      <c r="L64" s="33"/>
      <c r="M64" s="34"/>
    </row>
    <row r="65" spans="1:13" s="37" customFormat="1" ht="12.75" customHeight="1" x14ac:dyDescent="0.2">
      <c r="A65" s="47"/>
      <c r="C65" s="17" t="s">
        <v>79</v>
      </c>
      <c r="D65" s="18" t="s">
        <v>1</v>
      </c>
      <c r="E65" s="18" t="s">
        <v>10</v>
      </c>
      <c r="F65" s="47"/>
      <c r="G65" s="17" t="s">
        <v>79</v>
      </c>
      <c r="H65" s="18" t="s">
        <v>1</v>
      </c>
      <c r="I65" s="18" t="s">
        <v>10</v>
      </c>
      <c r="J65" s="47"/>
      <c r="K65" s="17" t="s">
        <v>79</v>
      </c>
      <c r="L65" s="18" t="s">
        <v>1</v>
      </c>
      <c r="M65" s="18" t="s">
        <v>10</v>
      </c>
    </row>
    <row r="66" spans="1:13" s="37" customFormat="1" ht="12.75" customHeight="1" x14ac:dyDescent="0.2">
      <c r="A66" s="65">
        <f t="shared" ref="A66:A77" si="7">A10</f>
        <v>2016</v>
      </c>
      <c r="C66" s="38">
        <f>ROUND(AVERAGE(B10:F10,K10:M10),2)</f>
        <v>17.059999999999999</v>
      </c>
      <c r="D66" s="38">
        <f t="shared" ref="D66:D77" si="8">ROUND(AVERAGE(B28:F28,K28:M28),2)</f>
        <v>14.32</v>
      </c>
      <c r="E66" s="38">
        <f>ROUND(AVERAGE(B46:F46,K46:M46),2)</f>
        <v>15.85</v>
      </c>
      <c r="G66" s="55">
        <f t="shared" ref="G66:G77" si="9">ROUND(AVERAGE(G10:J10),2)</f>
        <v>20.56</v>
      </c>
      <c r="H66" s="55">
        <f t="shared" ref="H66:H77" si="10">ROUND(AVERAGE(G28:J28),2)</f>
        <v>14.99</v>
      </c>
      <c r="I66" s="55">
        <f>ROUND(AVERAGE(G46:J46),2)</f>
        <v>18.11</v>
      </c>
      <c r="K66" s="38">
        <f t="shared" ref="K66:K77" si="11">ROUND(AVERAGE(B10:M10),2)</f>
        <v>18.809999999999999</v>
      </c>
      <c r="L66" s="38">
        <f t="shared" ref="L66:L77" si="12">ROUND(AVERAGE(B28:M28),2)</f>
        <v>14.65</v>
      </c>
      <c r="M66" s="38">
        <f>ROUND(AVERAGE(B46:M46),2)</f>
        <v>16.98</v>
      </c>
    </row>
    <row r="67" spans="1:13" s="37" customFormat="1" ht="12.75" customHeight="1" x14ac:dyDescent="0.2">
      <c r="A67" s="65">
        <f t="shared" si="7"/>
        <v>2017</v>
      </c>
      <c r="C67" s="38">
        <f t="shared" ref="C67:C77" si="13">ROUND(AVERAGE(B11:F11,K11:M11),2)</f>
        <v>19.28</v>
      </c>
      <c r="D67" s="38">
        <f t="shared" si="8"/>
        <v>16.670000000000002</v>
      </c>
      <c r="E67" s="38">
        <f>ROUND(AVERAGE(B47:F47,K47:M47),2)</f>
        <v>18.13</v>
      </c>
      <c r="G67" s="55">
        <f t="shared" si="9"/>
        <v>21.03</v>
      </c>
      <c r="H67" s="55">
        <f t="shared" si="10"/>
        <v>16.45</v>
      </c>
      <c r="I67" s="55">
        <f>ROUND(AVERAGE(G47:J47),2)</f>
        <v>19.02</v>
      </c>
      <c r="K67" s="38">
        <f t="shared" si="11"/>
        <v>19.87</v>
      </c>
      <c r="L67" s="38">
        <f t="shared" si="12"/>
        <v>16.600000000000001</v>
      </c>
      <c r="M67" s="38">
        <f>ROUND(AVERAGE(B47:M47),2)</f>
        <v>18.43</v>
      </c>
    </row>
    <row r="68" spans="1:13" s="37" customFormat="1" ht="12.75" customHeight="1" x14ac:dyDescent="0.2">
      <c r="A68" s="65">
        <f t="shared" si="7"/>
        <v>2018</v>
      </c>
      <c r="C68" s="38">
        <f>ROUND(AVERAGE(B12:F12,K12:M12),2)</f>
        <v>21.89</v>
      </c>
      <c r="D68" s="38">
        <f t="shared" si="8"/>
        <v>19.16</v>
      </c>
      <c r="E68" s="38">
        <f t="shared" ref="E68:E77" si="14">ROUND(AVERAGE(B48:F48,K48:M48),2)</f>
        <v>20.69</v>
      </c>
      <c r="G68" s="55">
        <f t="shared" si="9"/>
        <v>23.1</v>
      </c>
      <c r="H68" s="55">
        <f t="shared" si="10"/>
        <v>17.420000000000002</v>
      </c>
      <c r="I68" s="55">
        <f t="shared" ref="I68:I77" si="15">ROUND(AVERAGE(G48:J48),2)</f>
        <v>20.6</v>
      </c>
      <c r="K68" s="38">
        <f t="shared" si="11"/>
        <v>22.29</v>
      </c>
      <c r="L68" s="38">
        <f t="shared" si="12"/>
        <v>18.579999999999998</v>
      </c>
      <c r="M68" s="38">
        <f t="shared" ref="M68:M77" si="16">ROUND(AVERAGE(B48:M48),2)</f>
        <v>20.66</v>
      </c>
    </row>
    <row r="69" spans="1:13" s="37" customFormat="1" ht="12.75" customHeight="1" x14ac:dyDescent="0.2">
      <c r="A69" s="65">
        <f t="shared" si="7"/>
        <v>2019</v>
      </c>
      <c r="C69" s="38">
        <f t="shared" si="13"/>
        <v>22.54</v>
      </c>
      <c r="D69" s="38">
        <f t="shared" si="8"/>
        <v>19.62</v>
      </c>
      <c r="E69" s="38">
        <f t="shared" si="14"/>
        <v>21.25</v>
      </c>
      <c r="G69" s="55">
        <f t="shared" si="9"/>
        <v>25.71</v>
      </c>
      <c r="H69" s="55">
        <f t="shared" si="10"/>
        <v>19.579999999999998</v>
      </c>
      <c r="I69" s="55">
        <f t="shared" si="15"/>
        <v>23.01</v>
      </c>
      <c r="K69" s="38">
        <f t="shared" si="11"/>
        <v>23.6</v>
      </c>
      <c r="L69" s="38">
        <f t="shared" si="12"/>
        <v>19.61</v>
      </c>
      <c r="M69" s="38">
        <f t="shared" si="16"/>
        <v>21.84</v>
      </c>
    </row>
    <row r="70" spans="1:13" s="37" customFormat="1" ht="12.75" customHeight="1" x14ac:dyDescent="0.2">
      <c r="A70" s="65">
        <f t="shared" si="7"/>
        <v>2020</v>
      </c>
      <c r="C70" s="38">
        <f t="shared" si="13"/>
        <v>24.91</v>
      </c>
      <c r="D70" s="38">
        <f t="shared" si="8"/>
        <v>21.72</v>
      </c>
      <c r="E70" s="38">
        <f t="shared" si="14"/>
        <v>23.51</v>
      </c>
      <c r="G70" s="55">
        <f t="shared" si="9"/>
        <v>26.14</v>
      </c>
      <c r="H70" s="55">
        <f t="shared" si="10"/>
        <v>19.53</v>
      </c>
      <c r="I70" s="55">
        <f t="shared" si="15"/>
        <v>23.23</v>
      </c>
      <c r="K70" s="38">
        <f t="shared" si="11"/>
        <v>25.32</v>
      </c>
      <c r="L70" s="38">
        <f t="shared" si="12"/>
        <v>20.99</v>
      </c>
      <c r="M70" s="38">
        <f t="shared" si="16"/>
        <v>23.42</v>
      </c>
    </row>
    <row r="71" spans="1:13" s="37" customFormat="1" ht="12.75" customHeight="1" x14ac:dyDescent="0.2">
      <c r="A71" s="65">
        <f t="shared" si="7"/>
        <v>2021</v>
      </c>
      <c r="C71" s="38">
        <f t="shared" si="13"/>
        <v>26.14</v>
      </c>
      <c r="D71" s="38">
        <f t="shared" si="8"/>
        <v>22.76</v>
      </c>
      <c r="E71" s="38">
        <f t="shared" si="14"/>
        <v>24.65</v>
      </c>
      <c r="G71" s="55">
        <f t="shared" si="9"/>
        <v>28.95</v>
      </c>
      <c r="H71" s="55">
        <f t="shared" si="10"/>
        <v>22.35</v>
      </c>
      <c r="I71" s="55">
        <f t="shared" si="15"/>
        <v>26.05</v>
      </c>
      <c r="K71" s="38">
        <f t="shared" si="11"/>
        <v>27.08</v>
      </c>
      <c r="L71" s="38">
        <f t="shared" si="12"/>
        <v>22.63</v>
      </c>
      <c r="M71" s="38">
        <f t="shared" si="16"/>
        <v>25.12</v>
      </c>
    </row>
    <row r="72" spans="1:13" s="37" customFormat="1" ht="12.75" customHeight="1" x14ac:dyDescent="0.2">
      <c r="A72" s="65">
        <f t="shared" si="7"/>
        <v>2022</v>
      </c>
      <c r="C72" s="38">
        <f t="shared" si="13"/>
        <v>27.91</v>
      </c>
      <c r="D72" s="38">
        <f t="shared" si="8"/>
        <v>24.47</v>
      </c>
      <c r="E72" s="38">
        <f t="shared" si="14"/>
        <v>26.4</v>
      </c>
      <c r="G72" s="55">
        <f t="shared" si="9"/>
        <v>32.770000000000003</v>
      </c>
      <c r="H72" s="55">
        <f t="shared" si="10"/>
        <v>26.31</v>
      </c>
      <c r="I72" s="55">
        <f t="shared" si="15"/>
        <v>29.93</v>
      </c>
      <c r="K72" s="38">
        <f t="shared" si="11"/>
        <v>29.53</v>
      </c>
      <c r="L72" s="38">
        <f t="shared" si="12"/>
        <v>25.09</v>
      </c>
      <c r="M72" s="38">
        <f t="shared" si="16"/>
        <v>27.57</v>
      </c>
    </row>
    <row r="73" spans="1:13" s="37" customFormat="1" ht="12.75" customHeight="1" x14ac:dyDescent="0.2">
      <c r="A73" s="65">
        <f t="shared" si="7"/>
        <v>2023</v>
      </c>
      <c r="C73" s="38">
        <f t="shared" si="13"/>
        <v>29.64</v>
      </c>
      <c r="D73" s="38">
        <f t="shared" si="8"/>
        <v>26.13</v>
      </c>
      <c r="E73" s="38">
        <f t="shared" si="14"/>
        <v>28.09</v>
      </c>
      <c r="G73" s="55">
        <f t="shared" si="9"/>
        <v>35.950000000000003</v>
      </c>
      <c r="H73" s="55">
        <f t="shared" si="10"/>
        <v>29.76</v>
      </c>
      <c r="I73" s="55">
        <f t="shared" si="15"/>
        <v>33.229999999999997</v>
      </c>
      <c r="K73" s="38">
        <f t="shared" si="11"/>
        <v>31.74</v>
      </c>
      <c r="L73" s="38">
        <f t="shared" si="12"/>
        <v>27.34</v>
      </c>
      <c r="M73" s="38">
        <f t="shared" si="16"/>
        <v>29.81</v>
      </c>
    </row>
    <row r="74" spans="1:13" s="37" customFormat="1" ht="12.75" customHeight="1" x14ac:dyDescent="0.2">
      <c r="A74" s="65">
        <f t="shared" si="7"/>
        <v>2024</v>
      </c>
      <c r="C74" s="38">
        <f t="shared" si="13"/>
        <v>34.26</v>
      </c>
      <c r="D74" s="38">
        <f t="shared" si="8"/>
        <v>30.17</v>
      </c>
      <c r="E74" s="38">
        <f t="shared" si="14"/>
        <v>32.46</v>
      </c>
      <c r="G74" s="55">
        <f t="shared" si="9"/>
        <v>39.299999999999997</v>
      </c>
      <c r="H74" s="55">
        <f t="shared" si="10"/>
        <v>32.409999999999997</v>
      </c>
      <c r="I74" s="55">
        <f t="shared" si="15"/>
        <v>36.270000000000003</v>
      </c>
      <c r="K74" s="38">
        <f t="shared" si="11"/>
        <v>35.94</v>
      </c>
      <c r="L74" s="38">
        <f t="shared" si="12"/>
        <v>30.92</v>
      </c>
      <c r="M74" s="38">
        <f t="shared" si="16"/>
        <v>33.729999999999997</v>
      </c>
    </row>
    <row r="75" spans="1:13" s="37" customFormat="1" ht="12.75" customHeight="1" x14ac:dyDescent="0.2">
      <c r="A75" s="65">
        <f t="shared" si="7"/>
        <v>2025</v>
      </c>
      <c r="C75" s="38">
        <f t="shared" si="13"/>
        <v>36.9</v>
      </c>
      <c r="D75" s="38">
        <f t="shared" si="8"/>
        <v>32.79</v>
      </c>
      <c r="E75" s="38">
        <f t="shared" si="14"/>
        <v>35.090000000000003</v>
      </c>
      <c r="G75" s="55">
        <f t="shared" si="9"/>
        <v>41.18</v>
      </c>
      <c r="H75" s="55">
        <f t="shared" si="10"/>
        <v>33.880000000000003</v>
      </c>
      <c r="I75" s="55">
        <f t="shared" si="15"/>
        <v>37.97</v>
      </c>
      <c r="K75" s="38">
        <f t="shared" si="11"/>
        <v>38.33</v>
      </c>
      <c r="L75" s="38">
        <f t="shared" si="12"/>
        <v>33.15</v>
      </c>
      <c r="M75" s="38">
        <f t="shared" si="16"/>
        <v>36.049999999999997</v>
      </c>
    </row>
    <row r="76" spans="1:13" s="37" customFormat="1" ht="12.75" customHeight="1" x14ac:dyDescent="0.2">
      <c r="A76" s="65">
        <f t="shared" si="7"/>
        <v>2026</v>
      </c>
      <c r="C76" s="38">
        <f t="shared" si="13"/>
        <v>36.92</v>
      </c>
      <c r="D76" s="38">
        <f t="shared" si="8"/>
        <v>32.729999999999997</v>
      </c>
      <c r="E76" s="38">
        <f t="shared" si="14"/>
        <v>35.08</v>
      </c>
      <c r="G76" s="55">
        <f t="shared" si="9"/>
        <v>42.83</v>
      </c>
      <c r="H76" s="55">
        <f t="shared" si="10"/>
        <v>35.78</v>
      </c>
      <c r="I76" s="55">
        <f t="shared" si="15"/>
        <v>39.729999999999997</v>
      </c>
      <c r="K76" s="38">
        <f t="shared" si="11"/>
        <v>38.89</v>
      </c>
      <c r="L76" s="38">
        <f t="shared" si="12"/>
        <v>33.75</v>
      </c>
      <c r="M76" s="38">
        <f t="shared" si="16"/>
        <v>36.630000000000003</v>
      </c>
    </row>
    <row r="77" spans="1:13" s="37" customFormat="1" ht="12.75" customHeight="1" x14ac:dyDescent="0.2">
      <c r="A77" s="65">
        <f t="shared" si="7"/>
        <v>2027</v>
      </c>
      <c r="C77" s="38">
        <f t="shared" si="13"/>
        <v>39.51</v>
      </c>
      <c r="D77" s="38">
        <f t="shared" si="8"/>
        <v>35.08</v>
      </c>
      <c r="E77" s="38">
        <f t="shared" si="14"/>
        <v>37.56</v>
      </c>
      <c r="G77" s="55">
        <f t="shared" si="9"/>
        <v>44.76</v>
      </c>
      <c r="H77" s="55">
        <f t="shared" si="10"/>
        <v>37.69</v>
      </c>
      <c r="I77" s="55">
        <f t="shared" si="15"/>
        <v>41.65</v>
      </c>
      <c r="K77" s="38">
        <f t="shared" si="11"/>
        <v>41.26</v>
      </c>
      <c r="L77" s="38">
        <f t="shared" si="12"/>
        <v>35.950000000000003</v>
      </c>
      <c r="M77" s="38">
        <f t="shared" si="16"/>
        <v>38.92</v>
      </c>
    </row>
    <row r="78" spans="1:13" s="37" customFormat="1" ht="12.75" customHeight="1" x14ac:dyDescent="0.2">
      <c r="A78" s="65"/>
      <c r="C78" s="38"/>
      <c r="D78" s="38"/>
      <c r="E78" s="38"/>
      <c r="G78" s="55"/>
      <c r="H78" s="55"/>
      <c r="I78" s="55"/>
      <c r="K78" s="38"/>
      <c r="L78" s="38"/>
      <c r="M78" s="38"/>
    </row>
    <row r="79" spans="1:13" s="37" customFormat="1" ht="12.75" customHeight="1" x14ac:dyDescent="0.2">
      <c r="A79" s="65"/>
      <c r="C79" s="38"/>
      <c r="D79" s="38"/>
      <c r="E79" s="38"/>
      <c r="G79" s="55"/>
      <c r="H79" s="55"/>
      <c r="I79" s="55"/>
      <c r="K79" s="38"/>
      <c r="L79" s="38"/>
      <c r="M79" s="38"/>
    </row>
    <row r="80" spans="1:13" s="37" customFormat="1" ht="12.75" hidden="1" customHeight="1" x14ac:dyDescent="0.2">
      <c r="A80" s="66"/>
      <c r="K80" s="61"/>
    </row>
    <row r="81" spans="1:11" s="37" customFormat="1" ht="12.75" hidden="1" customHeight="1" x14ac:dyDescent="0.2">
      <c r="A81" s="66"/>
      <c r="K81" s="61"/>
    </row>
    <row r="82" spans="1:11" s="37" customFormat="1" ht="12.75" customHeight="1" x14ac:dyDescent="0.2">
      <c r="A82" s="35" t="s">
        <v>80</v>
      </c>
      <c r="D82" s="38"/>
      <c r="E82" s="55"/>
      <c r="F82" s="55"/>
      <c r="G82" s="55"/>
      <c r="J82" s="55"/>
      <c r="K82" s="55"/>
    </row>
    <row r="83" spans="1:11" ht="12.75" customHeight="1" x14ac:dyDescent="0.2">
      <c r="A83" s="275" t="s">
        <v>304</v>
      </c>
      <c r="C83" s="67"/>
      <c r="D83" s="38"/>
      <c r="E83" s="55"/>
      <c r="F83" s="55"/>
      <c r="G83" s="55"/>
      <c r="H83" s="37"/>
    </row>
    <row r="84" spans="1:11" ht="12.75" customHeight="1" x14ac:dyDescent="0.2">
      <c r="A84" s="275" t="s">
        <v>305</v>
      </c>
      <c r="C84" s="67"/>
      <c r="D84" s="38"/>
      <c r="E84" s="55"/>
      <c r="F84" s="55"/>
      <c r="G84" s="55"/>
      <c r="H84" s="37"/>
    </row>
    <row r="85" spans="1:11" ht="12.75" customHeight="1" x14ac:dyDescent="0.2">
      <c r="A85" s="213" t="s">
        <v>298</v>
      </c>
      <c r="C85" s="67"/>
      <c r="D85" s="38"/>
      <c r="E85" s="55"/>
      <c r="F85" s="55"/>
      <c r="G85" s="55"/>
      <c r="H85" s="37"/>
    </row>
    <row r="86" spans="1:11" ht="12.75" customHeight="1" x14ac:dyDescent="0.2">
      <c r="A86" s="213" t="s">
        <v>306</v>
      </c>
      <c r="C86" s="67"/>
      <c r="D86" s="38"/>
      <c r="E86" s="55"/>
      <c r="F86" s="55"/>
      <c r="G86" s="55"/>
      <c r="H86" s="37"/>
    </row>
    <row r="87" spans="1:11" ht="12.75" customHeight="1" x14ac:dyDescent="0.2">
      <c r="A87" s="213" t="s">
        <v>299</v>
      </c>
      <c r="C87" s="67"/>
      <c r="D87" s="38"/>
      <c r="E87" s="55"/>
      <c r="F87" s="55"/>
      <c r="G87" s="55"/>
      <c r="H87" s="37"/>
    </row>
    <row r="88" spans="1:11" ht="12.75" customHeight="1" x14ac:dyDescent="0.2">
      <c r="A88" s="213" t="s">
        <v>300</v>
      </c>
      <c r="C88" s="67"/>
      <c r="D88" s="38"/>
      <c r="E88" s="55"/>
      <c r="F88" s="55"/>
      <c r="G88" s="55"/>
      <c r="H88" s="37"/>
    </row>
    <row r="89" spans="1:11" ht="12.75" customHeight="1" x14ac:dyDescent="0.2">
      <c r="A89" s="213" t="s">
        <v>306</v>
      </c>
      <c r="C89" s="67"/>
      <c r="D89" s="38"/>
      <c r="E89" s="55"/>
      <c r="F89" s="55"/>
      <c r="G89" s="55"/>
      <c r="H89" s="37"/>
    </row>
    <row r="90" spans="1:11" ht="12.75" customHeight="1" x14ac:dyDescent="0.2">
      <c r="A90" s="35" t="s">
        <v>301</v>
      </c>
      <c r="D90" s="37"/>
      <c r="E90" s="37"/>
      <c r="F90" s="37"/>
      <c r="G90" s="37"/>
    </row>
    <row r="91" spans="1:11" ht="9" customHeight="1" x14ac:dyDescent="0.2"/>
    <row r="92" spans="1:11" x14ac:dyDescent="0.2">
      <c r="C92" s="35" t="s">
        <v>129</v>
      </c>
      <c r="H92" s="35" t="s">
        <v>302</v>
      </c>
    </row>
    <row r="93" spans="1:11" x14ac:dyDescent="0.2">
      <c r="C93" s="35" t="s">
        <v>143</v>
      </c>
      <c r="F93" s="36">
        <v>0.39100000000000001</v>
      </c>
      <c r="H93" s="350">
        <f>Solar_Tracking_integr_cost</f>
        <v>2.1800000000000002</v>
      </c>
      <c r="I93" s="62" t="s">
        <v>308</v>
      </c>
    </row>
    <row r="111" ht="24.75" customHeight="1" x14ac:dyDescent="0.2"/>
  </sheetData>
  <printOptions horizontalCentered="1"/>
  <pageMargins left="0.25" right="0.25" top="0.75" bottom="0.75" header="0.3" footer="0.3"/>
  <pageSetup scale="62" fitToWidth="0" orientation="portrait" r:id="rId1"/>
  <headerFooter alignWithMargins="0">
    <oddFooter>&amp;L&amp;8NPC Group - &amp;F   ( &amp;A )&amp;C &amp;R &amp;8&amp;D  &amp;T</oddFooter>
  </headerFooter>
  <rowBreaks count="1" manualBreakCount="1">
    <brk id="44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AS52"/>
  <sheetViews>
    <sheetView zoomScale="80" zoomScaleNormal="80" workbookViewId="0">
      <selection activeCell="C45" sqref="C45"/>
    </sheetView>
  </sheetViews>
  <sheetFormatPr defaultRowHeight="12.75" x14ac:dyDescent="0.2"/>
  <cols>
    <col min="1" max="1" width="1.6640625" style="35" customWidth="1"/>
    <col min="2" max="2" width="12.1640625" style="35" customWidth="1"/>
    <col min="3" max="6" width="20" style="35" customWidth="1"/>
    <col min="7" max="7" width="1.6640625" style="37" customWidth="1"/>
    <col min="8" max="8" width="12.1640625" style="35" customWidth="1"/>
    <col min="9" max="12" width="20" style="35" customWidth="1"/>
    <col min="13" max="13" width="1.83203125" style="37" customWidth="1"/>
    <col min="14" max="14" width="11.1640625" style="35" customWidth="1"/>
    <col min="15" max="15" width="16" style="35" customWidth="1"/>
    <col min="16" max="17" width="16.5" style="35" customWidth="1"/>
    <col min="18" max="18" width="14" style="35" customWidth="1"/>
    <col min="19" max="20" width="14.83203125" style="35" customWidth="1"/>
    <col min="21" max="21" width="1.6640625" style="37" customWidth="1"/>
    <col min="22" max="22" width="11.1640625" style="35" customWidth="1"/>
    <col min="23" max="23" width="17.83203125" style="35" customWidth="1"/>
    <col min="24" max="24" width="16.5" style="35" customWidth="1"/>
    <col min="25" max="25" width="13.6640625" style="35" customWidth="1"/>
    <col min="26" max="26" width="14" style="35" customWidth="1"/>
    <col min="27" max="28" width="14.83203125" style="35" customWidth="1"/>
    <col min="29" max="29" width="1.6640625" style="37" customWidth="1"/>
    <col min="30" max="30" width="11.1640625" style="35" customWidth="1"/>
    <col min="31" max="32" width="16.5" style="35" customWidth="1"/>
    <col min="33" max="33" width="13.6640625" style="35" customWidth="1"/>
    <col min="34" max="34" width="14" style="35" customWidth="1"/>
    <col min="35" max="36" width="14.83203125" style="35" customWidth="1"/>
    <col min="37" max="37" width="1.6640625" style="37" customWidth="1"/>
    <col min="38" max="38" width="11.1640625" style="35" customWidth="1"/>
    <col min="39" max="40" width="16.5" style="35" customWidth="1"/>
    <col min="41" max="41" width="13.6640625" style="35" customWidth="1"/>
    <col min="42" max="42" width="14" style="35" customWidth="1"/>
    <col min="43" max="44" width="14.83203125" style="35" customWidth="1"/>
    <col min="45" max="45" width="5" style="35" customWidth="1"/>
    <col min="46" max="16384" width="9.33203125" style="35"/>
  </cols>
  <sheetData>
    <row r="1" spans="2:45" s="5" customFormat="1" ht="15.75" x14ac:dyDescent="0.25">
      <c r="B1" s="1" t="s">
        <v>31</v>
      </c>
      <c r="C1" s="1"/>
      <c r="D1" s="1"/>
      <c r="E1" s="1"/>
      <c r="F1" s="1"/>
      <c r="G1" s="8"/>
      <c r="H1" s="1" t="s">
        <v>32</v>
      </c>
      <c r="I1" s="1"/>
      <c r="J1" s="1"/>
      <c r="K1" s="1"/>
      <c r="L1" s="1"/>
      <c r="M1" s="9"/>
      <c r="N1" s="147" t="s">
        <v>271</v>
      </c>
      <c r="O1" s="148"/>
      <c r="P1" s="148"/>
      <c r="Q1" s="148"/>
      <c r="R1" s="148"/>
      <c r="S1" s="148"/>
      <c r="T1" s="148"/>
      <c r="U1" s="148"/>
      <c r="V1" s="147" t="s">
        <v>272</v>
      </c>
      <c r="W1" s="148"/>
      <c r="X1" s="148"/>
      <c r="Y1" s="148"/>
      <c r="Z1" s="148"/>
      <c r="AA1" s="148"/>
      <c r="AB1" s="150"/>
      <c r="AC1" s="142"/>
      <c r="AD1" s="147" t="s">
        <v>273</v>
      </c>
      <c r="AE1" s="147"/>
      <c r="AF1" s="147"/>
      <c r="AG1" s="148"/>
      <c r="AH1" s="148"/>
      <c r="AI1" s="148"/>
      <c r="AJ1" s="148"/>
      <c r="AK1" s="142"/>
      <c r="AL1" s="147" t="s">
        <v>274</v>
      </c>
      <c r="AM1" s="148"/>
      <c r="AN1" s="148"/>
      <c r="AO1" s="148"/>
      <c r="AP1" s="148"/>
      <c r="AQ1" s="148"/>
      <c r="AR1" s="148"/>
      <c r="AS1" s="142"/>
    </row>
    <row r="2" spans="2:45" s="7" customFormat="1" ht="15" x14ac:dyDescent="0.25">
      <c r="B2" s="3" t="s">
        <v>16</v>
      </c>
      <c r="C2" s="3"/>
      <c r="D2" s="3"/>
      <c r="E2" s="3"/>
      <c r="F2" s="3"/>
      <c r="G2" s="9"/>
      <c r="H2" s="3" t="s">
        <v>17</v>
      </c>
      <c r="I2" s="3"/>
      <c r="J2" s="3"/>
      <c r="K2" s="3"/>
      <c r="L2" s="3"/>
      <c r="M2" s="9"/>
      <c r="N2" s="149" t="s">
        <v>156</v>
      </c>
      <c r="O2" s="148"/>
      <c r="P2" s="148"/>
      <c r="Q2" s="148"/>
      <c r="R2" s="148"/>
      <c r="S2" s="148"/>
      <c r="T2" s="148"/>
      <c r="U2" s="148"/>
      <c r="V2" s="149" t="s">
        <v>157</v>
      </c>
      <c r="W2" s="148"/>
      <c r="X2" s="148"/>
      <c r="Y2" s="148"/>
      <c r="Z2" s="148"/>
      <c r="AA2" s="148"/>
      <c r="AB2" s="151"/>
      <c r="AC2" s="143"/>
      <c r="AD2" s="149" t="s">
        <v>158</v>
      </c>
      <c r="AE2" s="149"/>
      <c r="AF2" s="149"/>
      <c r="AG2" s="148"/>
      <c r="AH2" s="148"/>
      <c r="AI2" s="148"/>
      <c r="AJ2" s="148"/>
      <c r="AK2" s="148"/>
      <c r="AL2" s="149" t="s">
        <v>159</v>
      </c>
      <c r="AM2" s="148"/>
      <c r="AN2" s="148"/>
      <c r="AO2" s="148"/>
      <c r="AP2" s="148"/>
      <c r="AQ2" s="148"/>
      <c r="AR2" s="148"/>
      <c r="AS2" s="143"/>
    </row>
    <row r="3" spans="2:45" s="7" customFormat="1" ht="15" x14ac:dyDescent="0.25">
      <c r="B3" s="3"/>
      <c r="C3" s="3"/>
      <c r="D3" s="323"/>
      <c r="E3" s="3"/>
      <c r="F3" s="3"/>
      <c r="G3" s="9"/>
      <c r="H3" s="3"/>
      <c r="I3" s="3"/>
      <c r="J3" s="3"/>
      <c r="K3" s="3"/>
      <c r="L3" s="3"/>
      <c r="M3" s="9"/>
      <c r="N3" s="3"/>
      <c r="O3" s="3"/>
      <c r="P3" s="3"/>
      <c r="Q3" s="3"/>
      <c r="R3" s="3"/>
      <c r="S3" s="3"/>
      <c r="T3" s="3"/>
      <c r="U3" s="9"/>
      <c r="V3" s="3"/>
      <c r="W3" s="3"/>
      <c r="X3" s="3"/>
      <c r="Y3" s="3"/>
      <c r="Z3" s="3"/>
      <c r="AA3" s="3"/>
      <c r="AB3" s="3"/>
      <c r="AC3" s="9"/>
      <c r="AD3" s="3"/>
      <c r="AE3" s="3"/>
      <c r="AF3" s="3"/>
      <c r="AG3" s="3"/>
      <c r="AH3" s="3"/>
      <c r="AI3" s="3"/>
      <c r="AJ3" s="3"/>
      <c r="AK3" s="9"/>
      <c r="AL3" s="3"/>
      <c r="AM3" s="3"/>
      <c r="AN3" s="3"/>
      <c r="AO3" s="3"/>
      <c r="AP3" s="3"/>
      <c r="AQ3" s="3"/>
      <c r="AR3" s="3"/>
    </row>
    <row r="4" spans="2:45" x14ac:dyDescent="0.2">
      <c r="G4" s="47"/>
      <c r="M4" s="47"/>
      <c r="N4" s="140"/>
      <c r="O4" s="141"/>
      <c r="P4" s="473" t="s">
        <v>140</v>
      </c>
      <c r="Q4" s="474"/>
      <c r="R4" s="474"/>
      <c r="S4" s="474"/>
      <c r="T4" s="475"/>
      <c r="U4" s="47"/>
      <c r="V4" s="140"/>
      <c r="W4" s="473" t="s">
        <v>141</v>
      </c>
      <c r="X4" s="474"/>
      <c r="Y4" s="474"/>
      <c r="Z4" s="474"/>
      <c r="AA4" s="474"/>
      <c r="AB4" s="475"/>
      <c r="AC4" s="47"/>
      <c r="AD4" s="140"/>
      <c r="AE4" s="473" t="s">
        <v>142</v>
      </c>
      <c r="AF4" s="474"/>
      <c r="AG4" s="474"/>
      <c r="AH4" s="474"/>
      <c r="AI4" s="474"/>
      <c r="AJ4" s="475"/>
      <c r="AK4" s="47"/>
      <c r="AL4" s="140"/>
      <c r="AM4" s="473" t="s">
        <v>143</v>
      </c>
      <c r="AN4" s="474"/>
      <c r="AO4" s="474"/>
      <c r="AP4" s="474"/>
      <c r="AQ4" s="474"/>
      <c r="AR4" s="475"/>
    </row>
    <row r="5" spans="2:45" x14ac:dyDescent="0.2">
      <c r="B5" s="75"/>
      <c r="C5" s="87" t="s">
        <v>98</v>
      </c>
      <c r="D5" s="78" t="s">
        <v>3</v>
      </c>
      <c r="E5" s="41"/>
      <c r="F5" s="88" t="s">
        <v>9</v>
      </c>
      <c r="G5" s="47"/>
      <c r="H5" s="89"/>
      <c r="I5" s="76"/>
      <c r="J5" s="76"/>
      <c r="K5" s="88" t="s">
        <v>9</v>
      </c>
      <c r="L5" s="76" t="s">
        <v>15</v>
      </c>
      <c r="M5" s="47"/>
      <c r="N5" s="75"/>
      <c r="O5" s="87" t="s">
        <v>24</v>
      </c>
      <c r="P5" s="41" t="s">
        <v>26</v>
      </c>
      <c r="Q5" s="78" t="s">
        <v>15</v>
      </c>
      <c r="R5" s="78" t="s">
        <v>15</v>
      </c>
      <c r="S5" s="41" t="s">
        <v>144</v>
      </c>
      <c r="T5" s="41" t="s">
        <v>145</v>
      </c>
      <c r="U5" s="47"/>
      <c r="V5" s="75"/>
      <c r="W5" s="41" t="s">
        <v>26</v>
      </c>
      <c r="X5" s="78" t="s">
        <v>15</v>
      </c>
      <c r="Y5" s="78" t="s">
        <v>15</v>
      </c>
      <c r="Z5" s="87" t="s">
        <v>130</v>
      </c>
      <c r="AA5" s="41" t="s">
        <v>144</v>
      </c>
      <c r="AB5" s="41" t="s">
        <v>145</v>
      </c>
      <c r="AC5" s="47"/>
      <c r="AD5" s="75"/>
      <c r="AE5" s="41" t="s">
        <v>26</v>
      </c>
      <c r="AF5" s="78" t="s">
        <v>15</v>
      </c>
      <c r="AG5" s="78" t="s">
        <v>15</v>
      </c>
      <c r="AH5" s="87" t="s">
        <v>148</v>
      </c>
      <c r="AI5" s="41" t="s">
        <v>144</v>
      </c>
      <c r="AJ5" s="41" t="s">
        <v>145</v>
      </c>
      <c r="AK5" s="47"/>
      <c r="AL5" s="75"/>
      <c r="AM5" s="41" t="s">
        <v>26</v>
      </c>
      <c r="AN5" s="78" t="s">
        <v>15</v>
      </c>
      <c r="AO5" s="78" t="s">
        <v>15</v>
      </c>
      <c r="AP5" s="87" t="s">
        <v>148</v>
      </c>
      <c r="AQ5" s="41" t="s">
        <v>144</v>
      </c>
      <c r="AR5" s="41" t="s">
        <v>145</v>
      </c>
    </row>
    <row r="6" spans="2:45" x14ac:dyDescent="0.2">
      <c r="B6" s="80" t="s">
        <v>2</v>
      </c>
      <c r="C6" s="90" t="s">
        <v>11</v>
      </c>
      <c r="D6" s="90" t="s">
        <v>11</v>
      </c>
      <c r="E6" s="80" t="s">
        <v>6</v>
      </c>
      <c r="F6" s="79" t="s">
        <v>7</v>
      </c>
      <c r="G6" s="47"/>
      <c r="H6" s="77" t="s">
        <v>2</v>
      </c>
      <c r="I6" s="80" t="s">
        <v>96</v>
      </c>
      <c r="J6" s="80" t="s">
        <v>13</v>
      </c>
      <c r="K6" s="79" t="s">
        <v>7</v>
      </c>
      <c r="L6" s="91" t="s">
        <v>14</v>
      </c>
      <c r="M6" s="47"/>
      <c r="N6" s="80" t="s">
        <v>2</v>
      </c>
      <c r="O6" s="77" t="s">
        <v>25</v>
      </c>
      <c r="P6" s="80" t="s">
        <v>27</v>
      </c>
      <c r="Q6" s="90" t="s">
        <v>14</v>
      </c>
      <c r="R6" s="90" t="s">
        <v>14</v>
      </c>
      <c r="S6" s="80" t="str">
        <f>TEXT((0.56*8760),"0,000")&amp;" Hours"</f>
        <v>4,906 Hours</v>
      </c>
      <c r="T6" s="80" t="str">
        <f>TEXT((0.44*8760),"0,000")&amp;" Hours"</f>
        <v>3,854 Hours</v>
      </c>
      <c r="U6" s="47"/>
      <c r="V6" s="80" t="s">
        <v>2</v>
      </c>
      <c r="W6" s="80" t="s">
        <v>27</v>
      </c>
      <c r="X6" s="90" t="s">
        <v>14</v>
      </c>
      <c r="Y6" s="90" t="s">
        <v>14</v>
      </c>
      <c r="Z6" s="77" t="s">
        <v>147</v>
      </c>
      <c r="AA6" s="80" t="str">
        <f>TEXT((0.56*8760),"0,000")&amp;" Hours"</f>
        <v>4,906 Hours</v>
      </c>
      <c r="AB6" s="80" t="str">
        <f>TEXT((0.44*8760),"0,000")&amp;" Hours"</f>
        <v>3,854 Hours</v>
      </c>
      <c r="AC6" s="47"/>
      <c r="AD6" s="80" t="s">
        <v>2</v>
      </c>
      <c r="AE6" s="80" t="s">
        <v>27</v>
      </c>
      <c r="AF6" s="90" t="s">
        <v>14</v>
      </c>
      <c r="AG6" s="90" t="s">
        <v>14</v>
      </c>
      <c r="AH6" s="77" t="s">
        <v>147</v>
      </c>
      <c r="AI6" s="80" t="str">
        <f>TEXT((0.56*8760),"0,000")&amp;" Hours"</f>
        <v>4,906 Hours</v>
      </c>
      <c r="AJ6" s="80" t="str">
        <f>TEXT((0.44*8760),"0,000")&amp;" Hours"</f>
        <v>3,854 Hours</v>
      </c>
      <c r="AK6" s="47"/>
      <c r="AL6" s="80" t="s">
        <v>2</v>
      </c>
      <c r="AM6" s="80" t="s">
        <v>27</v>
      </c>
      <c r="AN6" s="90" t="s">
        <v>14</v>
      </c>
      <c r="AO6" s="90" t="s">
        <v>14</v>
      </c>
      <c r="AP6" s="77" t="s">
        <v>147</v>
      </c>
      <c r="AQ6" s="80" t="str">
        <f>TEXT((0.56*8760),"0,000")&amp;" Hours"</f>
        <v>4,906 Hours</v>
      </c>
      <c r="AR6" s="80" t="str">
        <f>TEXT((0.44*8760),"0,000")&amp;" Hours"</f>
        <v>3,854 Hours</v>
      </c>
    </row>
    <row r="7" spans="2:45" ht="25.5" x14ac:dyDescent="0.2">
      <c r="B7" s="92"/>
      <c r="C7" s="77" t="s">
        <v>4</v>
      </c>
      <c r="D7" s="90" t="s">
        <v>4</v>
      </c>
      <c r="E7" s="80" t="s">
        <v>7</v>
      </c>
      <c r="F7" s="93" t="str">
        <f>TEXT('Table 7'!$D$115,"0.0%")&amp;" CF"</f>
        <v>69.5% CF</v>
      </c>
      <c r="G7" s="40"/>
      <c r="H7" s="81"/>
      <c r="I7" s="44" t="s">
        <v>97</v>
      </c>
      <c r="J7" s="31"/>
      <c r="K7" s="93" t="str">
        <f>F7</f>
        <v>69.5% CF</v>
      </c>
      <c r="L7" s="91" t="s">
        <v>13</v>
      </c>
      <c r="M7" s="40"/>
      <c r="N7" s="92"/>
      <c r="O7" s="77" t="s">
        <v>8</v>
      </c>
      <c r="P7" s="80" t="s">
        <v>0</v>
      </c>
      <c r="Q7" s="276" t="s">
        <v>234</v>
      </c>
      <c r="R7" s="276" t="s">
        <v>235</v>
      </c>
      <c r="S7" s="80"/>
      <c r="T7" s="80"/>
      <c r="U7" s="40"/>
      <c r="V7" s="92"/>
      <c r="W7" s="80" t="s">
        <v>0</v>
      </c>
      <c r="X7" s="276" t="s">
        <v>234</v>
      </c>
      <c r="Y7" s="276" t="s">
        <v>235</v>
      </c>
      <c r="Z7" s="77" t="s">
        <v>146</v>
      </c>
      <c r="AA7" s="80"/>
      <c r="AB7" s="80"/>
      <c r="AC7" s="40"/>
      <c r="AD7" s="92"/>
      <c r="AE7" s="80" t="s">
        <v>0</v>
      </c>
      <c r="AF7" s="276" t="s">
        <v>234</v>
      </c>
      <c r="AG7" s="276" t="s">
        <v>235</v>
      </c>
      <c r="AH7" s="77" t="s">
        <v>146</v>
      </c>
      <c r="AI7" s="80"/>
      <c r="AJ7" s="80"/>
      <c r="AK7" s="40"/>
      <c r="AL7" s="92"/>
      <c r="AM7" s="80" t="s">
        <v>0</v>
      </c>
      <c r="AN7" s="276" t="s">
        <v>234</v>
      </c>
      <c r="AO7" s="276" t="s">
        <v>235</v>
      </c>
      <c r="AP7" s="77" t="s">
        <v>146</v>
      </c>
      <c r="AQ7" s="80"/>
      <c r="AR7" s="80"/>
    </row>
    <row r="8" spans="2:45" x14ac:dyDescent="0.2">
      <c r="B8" s="94"/>
      <c r="C8" s="43" t="s">
        <v>5</v>
      </c>
      <c r="D8" s="96" t="s">
        <v>5</v>
      </c>
      <c r="E8" s="43" t="s">
        <v>5</v>
      </c>
      <c r="F8" s="107" t="s">
        <v>100</v>
      </c>
      <c r="G8" s="40"/>
      <c r="H8" s="94"/>
      <c r="I8" s="95" t="s">
        <v>12</v>
      </c>
      <c r="J8" s="44" t="s">
        <v>100</v>
      </c>
      <c r="K8" s="63" t="s">
        <v>100</v>
      </c>
      <c r="L8" s="42" t="s">
        <v>100</v>
      </c>
      <c r="M8" s="40"/>
      <c r="N8" s="94"/>
      <c r="O8" s="96" t="s">
        <v>5</v>
      </c>
      <c r="P8" s="63" t="s">
        <v>100</v>
      </c>
      <c r="Q8" s="64" t="s">
        <v>100</v>
      </c>
      <c r="R8" s="64" t="s">
        <v>100</v>
      </c>
      <c r="S8" s="63" t="s">
        <v>100</v>
      </c>
      <c r="T8" s="63" t="s">
        <v>100</v>
      </c>
      <c r="U8" s="40"/>
      <c r="V8" s="94"/>
      <c r="W8" s="63" t="s">
        <v>100</v>
      </c>
      <c r="X8" s="64" t="s">
        <v>100</v>
      </c>
      <c r="Y8" s="64" t="s">
        <v>100</v>
      </c>
      <c r="Z8" s="64" t="s">
        <v>100</v>
      </c>
      <c r="AA8" s="63" t="s">
        <v>100</v>
      </c>
      <c r="AB8" s="63" t="s">
        <v>100</v>
      </c>
      <c r="AC8" s="40"/>
      <c r="AD8" s="94"/>
      <c r="AE8" s="63" t="s">
        <v>100</v>
      </c>
      <c r="AF8" s="64" t="s">
        <v>100</v>
      </c>
      <c r="AG8" s="64" t="s">
        <v>100</v>
      </c>
      <c r="AH8" s="64" t="s">
        <v>100</v>
      </c>
      <c r="AI8" s="63" t="s">
        <v>100</v>
      </c>
      <c r="AJ8" s="63" t="s">
        <v>100</v>
      </c>
      <c r="AK8" s="40"/>
      <c r="AL8" s="94"/>
      <c r="AM8" s="63" t="s">
        <v>100</v>
      </c>
      <c r="AN8" s="64" t="s">
        <v>100</v>
      </c>
      <c r="AO8" s="64" t="s">
        <v>100</v>
      </c>
      <c r="AP8" s="64" t="s">
        <v>100</v>
      </c>
      <c r="AQ8" s="63" t="s">
        <v>100</v>
      </c>
      <c r="AR8" s="63" t="s">
        <v>100</v>
      </c>
    </row>
    <row r="9" spans="2:45" x14ac:dyDescent="0.2">
      <c r="C9" s="40" t="s">
        <v>19</v>
      </c>
      <c r="D9" s="82" t="s">
        <v>20</v>
      </c>
      <c r="E9" s="40" t="s">
        <v>21</v>
      </c>
      <c r="F9" s="40" t="s">
        <v>22</v>
      </c>
      <c r="I9" s="40" t="s">
        <v>19</v>
      </c>
      <c r="J9" s="40" t="s">
        <v>20</v>
      </c>
      <c r="K9" s="40" t="s">
        <v>21</v>
      </c>
      <c r="L9" s="82" t="s">
        <v>22</v>
      </c>
      <c r="O9" s="40" t="s">
        <v>19</v>
      </c>
      <c r="P9" s="82" t="s">
        <v>20</v>
      </c>
      <c r="Q9" s="40" t="s">
        <v>21</v>
      </c>
      <c r="R9" s="40" t="s">
        <v>22</v>
      </c>
      <c r="S9" s="40" t="s">
        <v>23</v>
      </c>
      <c r="T9" s="40" t="s">
        <v>29</v>
      </c>
      <c r="W9" s="40" t="s">
        <v>19</v>
      </c>
      <c r="X9" s="40" t="s">
        <v>20</v>
      </c>
      <c r="Y9" s="40" t="s">
        <v>21</v>
      </c>
      <c r="Z9" s="40" t="s">
        <v>22</v>
      </c>
      <c r="AA9" s="40" t="s">
        <v>23</v>
      </c>
      <c r="AB9" s="40" t="s">
        <v>29</v>
      </c>
      <c r="AE9" s="40" t="s">
        <v>19</v>
      </c>
      <c r="AF9" s="40" t="s">
        <v>20</v>
      </c>
      <c r="AG9" s="40" t="s">
        <v>21</v>
      </c>
      <c r="AH9" s="40" t="s">
        <v>22</v>
      </c>
      <c r="AI9" s="40" t="s">
        <v>23</v>
      </c>
      <c r="AJ9" s="40" t="s">
        <v>29</v>
      </c>
      <c r="AM9" s="40" t="s">
        <v>19</v>
      </c>
      <c r="AN9" s="40" t="s">
        <v>20</v>
      </c>
      <c r="AO9" s="40" t="s">
        <v>21</v>
      </c>
      <c r="AP9" s="40" t="s">
        <v>22</v>
      </c>
      <c r="AQ9" s="40" t="s">
        <v>23</v>
      </c>
      <c r="AR9" s="40" t="s">
        <v>29</v>
      </c>
    </row>
    <row r="10" spans="2:45" x14ac:dyDescent="0.2">
      <c r="C10" s="40"/>
      <c r="D10" s="40"/>
      <c r="E10" s="4" t="str">
        <f>"("&amp;C9&amp;" - "&amp;D9&amp;") x 50%)"</f>
        <v>((a) - (b)) x 50%)</v>
      </c>
      <c r="F10" s="4" t="str">
        <f>E9&amp;"/(8.760 x "&amp;TEXT('Table 7'!$D$115,"0.0%")&amp;")"</f>
        <v>(c)/(8.760 x 69.5%)</v>
      </c>
      <c r="I10" s="40"/>
      <c r="K10" s="40"/>
      <c r="L10" s="10" t="str">
        <f>J9&amp;" + "&amp;K9</f>
        <v>(b) + (c)</v>
      </c>
      <c r="O10" s="11"/>
      <c r="P10" s="4" t="str">
        <f>" "&amp;O9&amp;" /(8.76 x "&amp;TEXT('Table 7'!D116,"0.0%")&amp;" x 56%)"</f>
        <v xml:space="preserve"> (a) /(8.76 x 100.0% x 56%)</v>
      </c>
      <c r="Q10" s="4"/>
      <c r="R10" s="40"/>
      <c r="S10" s="4" t="str">
        <f>P9&amp;" + "&amp;R9</f>
        <v>(b) + (d)</v>
      </c>
      <c r="T10" s="113" t="str">
        <f>R9</f>
        <v>(d)</v>
      </c>
      <c r="W10" s="4" t="str">
        <f>N1&amp;" "&amp;P9&amp;" *  "&amp;TEXT('Table 2B Wind'!Capacity_Contr_Wind,"0.0%")</f>
        <v>Table 5a (b) *  14.5%</v>
      </c>
      <c r="X10" s="4"/>
      <c r="Y10" s="40"/>
      <c r="Z10" s="40"/>
      <c r="AA10" s="4" t="str">
        <f>W9&amp;" + "&amp;X9&amp;" - "&amp;Z9</f>
        <v>(a) + (b) - (d)</v>
      </c>
      <c r="AB10" s="4" t="str">
        <f>Y9&amp;"-"&amp;Z9</f>
        <v>(c)-(d)</v>
      </c>
      <c r="AE10" s="4" t="str">
        <f>N1&amp;" "&amp;P9&amp;" *  "&amp;TEXT('Table 2C SolarFixed'!Capacity_Contr_Solar_Fixed,"0.0%")</f>
        <v>Table 5a (b) *  34.1%</v>
      </c>
      <c r="AF10" s="4"/>
      <c r="AG10" s="40"/>
      <c r="AH10" s="40"/>
      <c r="AI10" s="4" t="str">
        <f>AE9&amp;" + "&amp;AF9&amp;" - "&amp;AH9</f>
        <v>(a) + (b) - (d)</v>
      </c>
      <c r="AJ10" s="4" t="str">
        <f>AG9&amp;"-"&amp;AH9</f>
        <v>(c)-(d)</v>
      </c>
      <c r="AM10" s="4" t="str">
        <f>N1&amp;" "&amp;P9&amp;" *  "&amp;TEXT('Table 2D SolarTracking'!Capacity_Contr_Solar_Tracking,"0.0%")</f>
        <v>Table 5a (b) *  39.1%</v>
      </c>
      <c r="AN10" s="4"/>
      <c r="AO10" s="40"/>
      <c r="AP10" s="40"/>
      <c r="AQ10" s="4" t="str">
        <f>AM9&amp;" + "&amp;AN9&amp;" - "&amp;AP9</f>
        <v>(a) + (b) - (d)</v>
      </c>
      <c r="AR10" s="4" t="str">
        <f>AO9&amp;"-"&amp;AP9</f>
        <v>(c)-(d)</v>
      </c>
    </row>
    <row r="11" spans="2:45" ht="3.75" customHeight="1" x14ac:dyDescent="0.2">
      <c r="C11" s="62"/>
      <c r="D11" s="62"/>
    </row>
    <row r="12" spans="2:45" s="37" customFormat="1" x14ac:dyDescent="0.2">
      <c r="B12" s="12" t="s">
        <v>62</v>
      </c>
      <c r="C12" s="55"/>
      <c r="D12" s="28"/>
      <c r="E12" s="97"/>
      <c r="F12" s="55"/>
      <c r="G12" s="55"/>
      <c r="H12" s="12" t="s">
        <v>62</v>
      </c>
      <c r="I12" s="83"/>
      <c r="K12" s="83"/>
      <c r="L12" s="83"/>
      <c r="M12" s="55"/>
      <c r="N12" s="12" t="s">
        <v>62</v>
      </c>
      <c r="O12" s="55"/>
      <c r="P12" s="83"/>
      <c r="Q12" s="83"/>
      <c r="R12" s="83"/>
      <c r="S12" s="83"/>
      <c r="T12" s="83"/>
      <c r="U12" s="55"/>
      <c r="V12" s="12" t="s">
        <v>62</v>
      </c>
      <c r="W12" s="83"/>
      <c r="X12" s="83"/>
      <c r="Y12" s="83"/>
      <c r="Z12" s="83"/>
      <c r="AA12" s="83"/>
      <c r="AB12" s="83"/>
      <c r="AC12" s="55"/>
      <c r="AD12" s="12" t="s">
        <v>62</v>
      </c>
      <c r="AE12" s="83"/>
      <c r="AF12" s="83"/>
      <c r="AG12" s="83"/>
      <c r="AH12" s="83"/>
      <c r="AI12" s="83"/>
      <c r="AJ12" s="83"/>
      <c r="AK12" s="55"/>
      <c r="AL12" s="12" t="s">
        <v>62</v>
      </c>
      <c r="AM12" s="83"/>
      <c r="AN12" s="83"/>
      <c r="AO12" s="83"/>
      <c r="AP12" s="83"/>
      <c r="AQ12" s="83"/>
      <c r="AR12" s="83"/>
    </row>
    <row r="13" spans="2:45" s="37" customFormat="1" x14ac:dyDescent="0.2">
      <c r="B13" s="98">
        <v>2016</v>
      </c>
      <c r="C13" s="51"/>
      <c r="D13" s="51"/>
      <c r="E13" s="51"/>
      <c r="F13" s="52"/>
      <c r="G13" s="55"/>
      <c r="H13" s="98">
        <f>$B13</f>
        <v>2016</v>
      </c>
      <c r="I13" s="99"/>
      <c r="J13" s="99"/>
      <c r="K13" s="99"/>
      <c r="L13" s="100">
        <f>'Table 2A BaseLoad'!L84</f>
        <v>16.829999999999998</v>
      </c>
      <c r="M13" s="55"/>
      <c r="N13" s="98">
        <f>$B13</f>
        <v>2016</v>
      </c>
      <c r="O13" s="51">
        <f t="shared" ref="O13:O24" si="0">D13</f>
        <v>0</v>
      </c>
      <c r="P13" s="99">
        <f>ROUND(O13/(6.6*'Table 7'!$D$116*0.56),2)</f>
        <v>0</v>
      </c>
      <c r="Q13" s="277">
        <f>'Table 2A BaseLoad'!K84</f>
        <v>20.99</v>
      </c>
      <c r="R13" s="99">
        <f t="shared" ref="R13:R24" si="1">L13</f>
        <v>16.829999999999998</v>
      </c>
      <c r="S13" s="99">
        <f>P13+Q13</f>
        <v>20.99</v>
      </c>
      <c r="T13" s="100">
        <f>R13</f>
        <v>16.829999999999998</v>
      </c>
      <c r="U13" s="55"/>
      <c r="V13" s="98">
        <f>$B13</f>
        <v>2016</v>
      </c>
      <c r="W13" s="99">
        <f>P13*'Table 2B Wind'!Capacity_Contr_Wind</f>
        <v>0</v>
      </c>
      <c r="X13" s="99">
        <f>Q13</f>
        <v>20.99</v>
      </c>
      <c r="Y13" s="99">
        <f>R13</f>
        <v>16.829999999999998</v>
      </c>
      <c r="Z13" s="99">
        <f>INDEX('Table 10'!$E:$E,MATCH($N13,'Table 10'!$B:$B,0))</f>
        <v>1.79</v>
      </c>
      <c r="AA13" s="99">
        <f>W13+X13-Z13</f>
        <v>19.2</v>
      </c>
      <c r="AB13" s="100">
        <f>Y13-Z13</f>
        <v>15.04</v>
      </c>
      <c r="AC13" s="55"/>
      <c r="AD13" s="98">
        <f>$B13</f>
        <v>2016</v>
      </c>
      <c r="AE13" s="99">
        <f>P13*'Table 2C SolarFixed'!Capacity_Contr_Solar_Fixed</f>
        <v>0</v>
      </c>
      <c r="AF13" s="99">
        <f>Q13</f>
        <v>20.99</v>
      </c>
      <c r="AG13" s="99">
        <f t="shared" ref="AG13:AG24" si="2">R13</f>
        <v>16.829999999999998</v>
      </c>
      <c r="AH13" s="99">
        <f t="shared" ref="AH13:AH24" si="3">Solar_Fixed_integr_cost</f>
        <v>2.83</v>
      </c>
      <c r="AI13" s="99">
        <f>AE13+AF13-AH13</f>
        <v>18.159999999999997</v>
      </c>
      <c r="AJ13" s="100">
        <f>AG13-AH13</f>
        <v>13.999999999999998</v>
      </c>
      <c r="AK13" s="55"/>
      <c r="AL13" s="98">
        <f>$B13</f>
        <v>2016</v>
      </c>
      <c r="AM13" s="99">
        <f>P13*'Table 2D SolarTracking'!Capacity_Contr_Solar_Tracking</f>
        <v>0</v>
      </c>
      <c r="AN13" s="99">
        <f>Q13</f>
        <v>20.99</v>
      </c>
      <c r="AO13" s="99">
        <f>R13</f>
        <v>16.829999999999998</v>
      </c>
      <c r="AP13" s="99">
        <f t="shared" ref="AP13:AP24" si="4">Solar_Tracking_integr_cost</f>
        <v>2.1800000000000002</v>
      </c>
      <c r="AQ13" s="99">
        <f>AM13+AN13-AP13</f>
        <v>18.809999999999999</v>
      </c>
      <c r="AR13" s="100">
        <f>AO13-AP13</f>
        <v>14.649999999999999</v>
      </c>
    </row>
    <row r="14" spans="2:45" s="37" customFormat="1" x14ac:dyDescent="0.2">
      <c r="B14" s="53">
        <f>B13+1</f>
        <v>2017</v>
      </c>
      <c r="C14" s="55"/>
      <c r="D14" s="55"/>
      <c r="E14" s="97"/>
      <c r="F14" s="56"/>
      <c r="G14" s="55"/>
      <c r="H14" s="53">
        <f>$B14</f>
        <v>2017</v>
      </c>
      <c r="I14" s="83"/>
      <c r="J14" s="83"/>
      <c r="K14" s="83"/>
      <c r="L14" s="101">
        <f>'Table 2A BaseLoad'!L85</f>
        <v>18.78</v>
      </c>
      <c r="M14" s="55"/>
      <c r="N14" s="53">
        <f t="shared" ref="N14:N24" si="5">$B14</f>
        <v>2017</v>
      </c>
      <c r="O14" s="55">
        <f t="shared" si="0"/>
        <v>0</v>
      </c>
      <c r="P14" s="83">
        <f>ROUND(O14/(8.76*'Table 7'!$D$116*0.56),2)</f>
        <v>0</v>
      </c>
      <c r="Q14" s="83">
        <f>'Table 2A BaseLoad'!K85</f>
        <v>22.05</v>
      </c>
      <c r="R14" s="83">
        <f t="shared" si="1"/>
        <v>18.78</v>
      </c>
      <c r="S14" s="83">
        <f t="shared" ref="S14:S24" si="6">P14+Q14</f>
        <v>22.05</v>
      </c>
      <c r="T14" s="101">
        <f t="shared" ref="T14:T24" si="7">R14</f>
        <v>18.78</v>
      </c>
      <c r="U14" s="55"/>
      <c r="V14" s="53">
        <f t="shared" ref="V14:V24" si="8">$B14</f>
        <v>2017</v>
      </c>
      <c r="W14" s="83">
        <f>P14*'Table 2B Wind'!Capacity_Contr_Wind</f>
        <v>0</v>
      </c>
      <c r="X14" s="83">
        <f t="shared" ref="X14:X24" si="9">Q14</f>
        <v>22.05</v>
      </c>
      <c r="Y14" s="83">
        <f t="shared" ref="Y14:Y24" si="10">R14</f>
        <v>18.78</v>
      </c>
      <c r="Z14" s="83">
        <f>INDEX('Table 10'!$E:$E,MATCH($N14,'Table 10'!$B:$B,0))</f>
        <v>1.38</v>
      </c>
      <c r="AA14" s="83">
        <f t="shared" ref="AA14:AA24" si="11">W14+X14-Z14</f>
        <v>20.67</v>
      </c>
      <c r="AB14" s="101">
        <f t="shared" ref="AB14:AB24" si="12">Y14-Z14</f>
        <v>17.400000000000002</v>
      </c>
      <c r="AC14" s="55"/>
      <c r="AD14" s="53">
        <f t="shared" ref="AD14:AD24" si="13">$B14</f>
        <v>2017</v>
      </c>
      <c r="AE14" s="83">
        <f>P14*'Table 2C SolarFixed'!Capacity_Contr_Solar_Fixed</f>
        <v>0</v>
      </c>
      <c r="AF14" s="83">
        <f t="shared" ref="AF14:AF24" si="14">Q14</f>
        <v>22.05</v>
      </c>
      <c r="AG14" s="83">
        <f t="shared" si="2"/>
        <v>18.78</v>
      </c>
      <c r="AH14" s="83">
        <f t="shared" si="3"/>
        <v>2.83</v>
      </c>
      <c r="AI14" s="83">
        <f t="shared" ref="AI14:AI24" si="15">AE14+AF14-AH14</f>
        <v>19.22</v>
      </c>
      <c r="AJ14" s="101">
        <f t="shared" ref="AJ14:AJ24" si="16">AG14-AH14</f>
        <v>15.950000000000001</v>
      </c>
      <c r="AK14" s="55"/>
      <c r="AL14" s="53">
        <f t="shared" ref="AL14:AL24" si="17">$B14</f>
        <v>2017</v>
      </c>
      <c r="AM14" s="83">
        <f>P14*'Table 2D SolarTracking'!Capacity_Contr_Solar_Tracking</f>
        <v>0</v>
      </c>
      <c r="AN14" s="83">
        <f t="shared" ref="AN14:AN24" si="18">Q14</f>
        <v>22.05</v>
      </c>
      <c r="AO14" s="83">
        <f t="shared" ref="AO14:AO24" si="19">R14</f>
        <v>18.78</v>
      </c>
      <c r="AP14" s="83">
        <f t="shared" si="4"/>
        <v>2.1800000000000002</v>
      </c>
      <c r="AQ14" s="83">
        <f t="shared" ref="AQ14:AQ24" si="20">AM14+AN14-AP14</f>
        <v>19.87</v>
      </c>
      <c r="AR14" s="101">
        <f t="shared" ref="AR14:AR24" si="21">AO14-AP14</f>
        <v>16.600000000000001</v>
      </c>
    </row>
    <row r="15" spans="2:45" s="37" customFormat="1" x14ac:dyDescent="0.2">
      <c r="B15" s="53">
        <f t="shared" ref="B15:B24" si="22">B14+1</f>
        <v>2018</v>
      </c>
      <c r="C15" s="55"/>
      <c r="D15" s="55"/>
      <c r="E15" s="97"/>
      <c r="F15" s="56"/>
      <c r="G15" s="55"/>
      <c r="H15" s="53">
        <f t="shared" ref="H15:H24" si="23">$B15</f>
        <v>2018</v>
      </c>
      <c r="I15" s="83"/>
      <c r="J15" s="83"/>
      <c r="K15" s="83"/>
      <c r="L15" s="101">
        <f>'Table 2A BaseLoad'!L86</f>
        <v>20.76</v>
      </c>
      <c r="M15" s="55"/>
      <c r="N15" s="53">
        <f t="shared" si="5"/>
        <v>2018</v>
      </c>
      <c r="O15" s="55">
        <f t="shared" si="0"/>
        <v>0</v>
      </c>
      <c r="P15" s="83">
        <f>ROUND(O15/(8.76*'Table 7'!$D$116*0.56),2)</f>
        <v>0</v>
      </c>
      <c r="Q15" s="83">
        <f>'Table 2A BaseLoad'!K86</f>
        <v>24.47</v>
      </c>
      <c r="R15" s="83">
        <f t="shared" si="1"/>
        <v>20.76</v>
      </c>
      <c r="S15" s="83">
        <f t="shared" si="6"/>
        <v>24.47</v>
      </c>
      <c r="T15" s="101">
        <f t="shared" si="7"/>
        <v>20.76</v>
      </c>
      <c r="U15" s="55"/>
      <c r="V15" s="53">
        <f t="shared" si="8"/>
        <v>2018</v>
      </c>
      <c r="W15" s="83">
        <f>P15*'Table 2B Wind'!Capacity_Contr_Wind</f>
        <v>0</v>
      </c>
      <c r="X15" s="83">
        <f t="shared" si="9"/>
        <v>24.47</v>
      </c>
      <c r="Y15" s="83">
        <f t="shared" si="10"/>
        <v>20.76</v>
      </c>
      <c r="Z15" s="83">
        <f>INDEX('Table 10'!$E:$E,MATCH($N15,'Table 10'!$B:$B,0))</f>
        <v>1.6099999999999999</v>
      </c>
      <c r="AA15" s="83">
        <f t="shared" si="11"/>
        <v>22.86</v>
      </c>
      <c r="AB15" s="101">
        <f t="shared" si="12"/>
        <v>19.150000000000002</v>
      </c>
      <c r="AC15" s="55"/>
      <c r="AD15" s="53">
        <f t="shared" si="13"/>
        <v>2018</v>
      </c>
      <c r="AE15" s="83">
        <f>P15*'Table 2C SolarFixed'!Capacity_Contr_Solar_Fixed</f>
        <v>0</v>
      </c>
      <c r="AF15" s="83">
        <f t="shared" si="14"/>
        <v>24.47</v>
      </c>
      <c r="AG15" s="83">
        <f t="shared" si="2"/>
        <v>20.76</v>
      </c>
      <c r="AH15" s="83">
        <f t="shared" si="3"/>
        <v>2.83</v>
      </c>
      <c r="AI15" s="83">
        <f t="shared" si="15"/>
        <v>21.64</v>
      </c>
      <c r="AJ15" s="101">
        <f t="shared" si="16"/>
        <v>17.93</v>
      </c>
      <c r="AK15" s="55"/>
      <c r="AL15" s="53">
        <f t="shared" si="17"/>
        <v>2018</v>
      </c>
      <c r="AM15" s="83">
        <f>P15*'Table 2D SolarTracking'!Capacity_Contr_Solar_Tracking</f>
        <v>0</v>
      </c>
      <c r="AN15" s="83">
        <f t="shared" si="18"/>
        <v>24.47</v>
      </c>
      <c r="AO15" s="83">
        <f t="shared" si="19"/>
        <v>20.76</v>
      </c>
      <c r="AP15" s="83">
        <f t="shared" si="4"/>
        <v>2.1800000000000002</v>
      </c>
      <c r="AQ15" s="83">
        <f t="shared" si="20"/>
        <v>22.29</v>
      </c>
      <c r="AR15" s="101">
        <f t="shared" si="21"/>
        <v>18.580000000000002</v>
      </c>
    </row>
    <row r="16" spans="2:45" x14ac:dyDescent="0.2">
      <c r="B16" s="53">
        <f t="shared" si="22"/>
        <v>2019</v>
      </c>
      <c r="C16" s="55"/>
      <c r="D16" s="55"/>
      <c r="E16" s="55"/>
      <c r="F16" s="56"/>
      <c r="G16" s="55"/>
      <c r="H16" s="53">
        <f t="shared" si="23"/>
        <v>2019</v>
      </c>
      <c r="I16" s="83"/>
      <c r="J16" s="83"/>
      <c r="K16" s="83"/>
      <c r="L16" s="101">
        <f>'Table 2A BaseLoad'!L87</f>
        <v>21.79</v>
      </c>
      <c r="M16" s="55"/>
      <c r="N16" s="53">
        <f t="shared" si="5"/>
        <v>2019</v>
      </c>
      <c r="O16" s="55">
        <f t="shared" si="0"/>
        <v>0</v>
      </c>
      <c r="P16" s="83">
        <f>ROUND(O16/(8.76*'Table 7'!$D$116*0.56),2)</f>
        <v>0</v>
      </c>
      <c r="Q16" s="83">
        <f>'Table 2A BaseLoad'!K87</f>
        <v>25.78</v>
      </c>
      <c r="R16" s="83">
        <f t="shared" si="1"/>
        <v>21.79</v>
      </c>
      <c r="S16" s="83">
        <f t="shared" si="6"/>
        <v>25.78</v>
      </c>
      <c r="T16" s="101">
        <f t="shared" si="7"/>
        <v>21.79</v>
      </c>
      <c r="U16" s="55"/>
      <c r="V16" s="53">
        <f t="shared" si="8"/>
        <v>2019</v>
      </c>
      <c r="W16" s="83">
        <f>P16*'Table 2B Wind'!Capacity_Contr_Wind</f>
        <v>0</v>
      </c>
      <c r="X16" s="83">
        <f t="shared" si="9"/>
        <v>25.78</v>
      </c>
      <c r="Y16" s="83">
        <f t="shared" si="10"/>
        <v>21.79</v>
      </c>
      <c r="Z16" s="83">
        <f>INDEX('Table 10'!$E:$E,MATCH($N16,'Table 10'!$B:$B,0))</f>
        <v>1.71</v>
      </c>
      <c r="AA16" s="83">
        <f t="shared" si="11"/>
        <v>24.07</v>
      </c>
      <c r="AB16" s="101">
        <f t="shared" si="12"/>
        <v>20.079999999999998</v>
      </c>
      <c r="AC16" s="55"/>
      <c r="AD16" s="53">
        <f t="shared" si="13"/>
        <v>2019</v>
      </c>
      <c r="AE16" s="83">
        <f>P16*'Table 2C SolarFixed'!Capacity_Contr_Solar_Fixed</f>
        <v>0</v>
      </c>
      <c r="AF16" s="83">
        <f t="shared" si="14"/>
        <v>25.78</v>
      </c>
      <c r="AG16" s="83">
        <f t="shared" si="2"/>
        <v>21.79</v>
      </c>
      <c r="AH16" s="83">
        <f t="shared" si="3"/>
        <v>2.83</v>
      </c>
      <c r="AI16" s="83">
        <f t="shared" si="15"/>
        <v>22.950000000000003</v>
      </c>
      <c r="AJ16" s="101">
        <f t="shared" si="16"/>
        <v>18.96</v>
      </c>
      <c r="AK16" s="55"/>
      <c r="AL16" s="53">
        <f t="shared" si="17"/>
        <v>2019</v>
      </c>
      <c r="AM16" s="83">
        <f>P16*'Table 2D SolarTracking'!Capacity_Contr_Solar_Tracking</f>
        <v>0</v>
      </c>
      <c r="AN16" s="83">
        <f t="shared" si="18"/>
        <v>25.78</v>
      </c>
      <c r="AO16" s="83">
        <f t="shared" si="19"/>
        <v>21.79</v>
      </c>
      <c r="AP16" s="83">
        <f t="shared" si="4"/>
        <v>2.1800000000000002</v>
      </c>
      <c r="AQ16" s="83">
        <f t="shared" si="20"/>
        <v>23.6</v>
      </c>
      <c r="AR16" s="101">
        <f t="shared" si="21"/>
        <v>19.61</v>
      </c>
    </row>
    <row r="17" spans="2:45" x14ac:dyDescent="0.2">
      <c r="B17" s="53">
        <f t="shared" si="22"/>
        <v>2020</v>
      </c>
      <c r="C17" s="55"/>
      <c r="D17" s="55"/>
      <c r="E17" s="55"/>
      <c r="F17" s="56"/>
      <c r="G17" s="55"/>
      <c r="H17" s="53">
        <f t="shared" si="23"/>
        <v>2020</v>
      </c>
      <c r="I17" s="83"/>
      <c r="J17" s="83"/>
      <c r="K17" s="83"/>
      <c r="L17" s="101">
        <f>'Table 2A BaseLoad'!L88</f>
        <v>23.17</v>
      </c>
      <c r="M17" s="55"/>
      <c r="N17" s="53">
        <f t="shared" si="5"/>
        <v>2020</v>
      </c>
      <c r="O17" s="55">
        <f t="shared" si="0"/>
        <v>0</v>
      </c>
      <c r="P17" s="83">
        <f>ROUND(O17/(8.76*'Table 7'!$D$116*0.56),2)</f>
        <v>0</v>
      </c>
      <c r="Q17" s="83">
        <f>'Table 2A BaseLoad'!K88</f>
        <v>27.5</v>
      </c>
      <c r="R17" s="83">
        <f t="shared" si="1"/>
        <v>23.17</v>
      </c>
      <c r="S17" s="83">
        <f t="shared" si="6"/>
        <v>27.5</v>
      </c>
      <c r="T17" s="101">
        <f t="shared" si="7"/>
        <v>23.17</v>
      </c>
      <c r="U17" s="55"/>
      <c r="V17" s="53">
        <f t="shared" si="8"/>
        <v>2020</v>
      </c>
      <c r="W17" s="83">
        <f>P17*'Table 2B Wind'!Capacity_Contr_Wind</f>
        <v>0</v>
      </c>
      <c r="X17" s="83">
        <f t="shared" si="9"/>
        <v>27.5</v>
      </c>
      <c r="Y17" s="83">
        <f t="shared" si="10"/>
        <v>23.17</v>
      </c>
      <c r="Z17" s="83">
        <f>INDEX('Table 10'!$E:$E,MATCH($N17,'Table 10'!$B:$B,0))</f>
        <v>1.6</v>
      </c>
      <c r="AA17" s="83">
        <f t="shared" si="11"/>
        <v>25.9</v>
      </c>
      <c r="AB17" s="101">
        <f t="shared" si="12"/>
        <v>21.57</v>
      </c>
      <c r="AC17" s="55"/>
      <c r="AD17" s="53">
        <f t="shared" si="13"/>
        <v>2020</v>
      </c>
      <c r="AE17" s="83">
        <f>P17*'Table 2C SolarFixed'!Capacity_Contr_Solar_Fixed</f>
        <v>0</v>
      </c>
      <c r="AF17" s="83">
        <f t="shared" si="14"/>
        <v>27.5</v>
      </c>
      <c r="AG17" s="83">
        <f t="shared" si="2"/>
        <v>23.17</v>
      </c>
      <c r="AH17" s="83">
        <f t="shared" si="3"/>
        <v>2.83</v>
      </c>
      <c r="AI17" s="83">
        <f t="shared" si="15"/>
        <v>24.67</v>
      </c>
      <c r="AJ17" s="101">
        <f t="shared" si="16"/>
        <v>20.340000000000003</v>
      </c>
      <c r="AK17" s="55"/>
      <c r="AL17" s="53">
        <f t="shared" si="17"/>
        <v>2020</v>
      </c>
      <c r="AM17" s="83">
        <f>P17*'Table 2D SolarTracking'!Capacity_Contr_Solar_Tracking</f>
        <v>0</v>
      </c>
      <c r="AN17" s="83">
        <f t="shared" si="18"/>
        <v>27.5</v>
      </c>
      <c r="AO17" s="83">
        <f t="shared" si="19"/>
        <v>23.17</v>
      </c>
      <c r="AP17" s="83">
        <f t="shared" si="4"/>
        <v>2.1800000000000002</v>
      </c>
      <c r="AQ17" s="83">
        <f t="shared" si="20"/>
        <v>25.32</v>
      </c>
      <c r="AR17" s="101">
        <f t="shared" si="21"/>
        <v>20.990000000000002</v>
      </c>
    </row>
    <row r="18" spans="2:45" x14ac:dyDescent="0.2">
      <c r="B18" s="53">
        <f t="shared" si="22"/>
        <v>2021</v>
      </c>
      <c r="C18" s="55"/>
      <c r="D18" s="55"/>
      <c r="E18" s="55"/>
      <c r="F18" s="56"/>
      <c r="G18" s="55"/>
      <c r="H18" s="53">
        <f t="shared" si="23"/>
        <v>2021</v>
      </c>
      <c r="I18" s="83"/>
      <c r="J18" s="83"/>
      <c r="K18" s="83"/>
      <c r="L18" s="101">
        <f>'Table 2A BaseLoad'!L89</f>
        <v>24.81</v>
      </c>
      <c r="M18" s="55"/>
      <c r="N18" s="53">
        <f t="shared" si="5"/>
        <v>2021</v>
      </c>
      <c r="O18" s="55">
        <f t="shared" si="0"/>
        <v>0</v>
      </c>
      <c r="P18" s="83">
        <f>ROUND(O18/(8.76*'Table 7'!$D$116*0.56),2)</f>
        <v>0</v>
      </c>
      <c r="Q18" s="83">
        <f>'Table 2A BaseLoad'!K89</f>
        <v>29.26</v>
      </c>
      <c r="R18" s="83">
        <f t="shared" si="1"/>
        <v>24.81</v>
      </c>
      <c r="S18" s="83">
        <f t="shared" si="6"/>
        <v>29.26</v>
      </c>
      <c r="T18" s="101">
        <f t="shared" si="7"/>
        <v>24.81</v>
      </c>
      <c r="U18" s="55"/>
      <c r="V18" s="53">
        <f t="shared" si="8"/>
        <v>2021</v>
      </c>
      <c r="W18" s="83">
        <f>P18*'Table 2B Wind'!Capacity_Contr_Wind</f>
        <v>0</v>
      </c>
      <c r="X18" s="83">
        <f t="shared" si="9"/>
        <v>29.26</v>
      </c>
      <c r="Y18" s="83">
        <f t="shared" si="10"/>
        <v>24.81</v>
      </c>
      <c r="Z18" s="83">
        <f>INDEX('Table 10'!$E:$E,MATCH($N18,'Table 10'!$B:$B,0))</f>
        <v>1.57</v>
      </c>
      <c r="AA18" s="83">
        <f t="shared" si="11"/>
        <v>27.69</v>
      </c>
      <c r="AB18" s="101">
        <f t="shared" si="12"/>
        <v>23.24</v>
      </c>
      <c r="AC18" s="55"/>
      <c r="AD18" s="53">
        <f t="shared" si="13"/>
        <v>2021</v>
      </c>
      <c r="AE18" s="83">
        <f>P18*'Table 2C SolarFixed'!Capacity_Contr_Solar_Fixed</f>
        <v>0</v>
      </c>
      <c r="AF18" s="83">
        <f t="shared" si="14"/>
        <v>29.26</v>
      </c>
      <c r="AG18" s="83">
        <f t="shared" si="2"/>
        <v>24.81</v>
      </c>
      <c r="AH18" s="83">
        <f t="shared" si="3"/>
        <v>2.83</v>
      </c>
      <c r="AI18" s="83">
        <f t="shared" si="15"/>
        <v>26.43</v>
      </c>
      <c r="AJ18" s="101">
        <f t="shared" si="16"/>
        <v>21.979999999999997</v>
      </c>
      <c r="AK18" s="55"/>
      <c r="AL18" s="53">
        <f t="shared" si="17"/>
        <v>2021</v>
      </c>
      <c r="AM18" s="83">
        <f>P18*'Table 2D SolarTracking'!Capacity_Contr_Solar_Tracking</f>
        <v>0</v>
      </c>
      <c r="AN18" s="83">
        <f t="shared" si="18"/>
        <v>29.26</v>
      </c>
      <c r="AO18" s="83">
        <f t="shared" si="19"/>
        <v>24.81</v>
      </c>
      <c r="AP18" s="83">
        <f t="shared" si="4"/>
        <v>2.1800000000000002</v>
      </c>
      <c r="AQ18" s="83">
        <f t="shared" si="20"/>
        <v>27.080000000000002</v>
      </c>
      <c r="AR18" s="101">
        <f t="shared" si="21"/>
        <v>22.63</v>
      </c>
    </row>
    <row r="19" spans="2:45" x14ac:dyDescent="0.2">
      <c r="B19" s="53">
        <f t="shared" si="22"/>
        <v>2022</v>
      </c>
      <c r="C19" s="55"/>
      <c r="D19" s="55"/>
      <c r="E19" s="55"/>
      <c r="F19" s="56"/>
      <c r="G19" s="55"/>
      <c r="H19" s="53">
        <f t="shared" si="23"/>
        <v>2022</v>
      </c>
      <c r="I19" s="83"/>
      <c r="J19" s="83"/>
      <c r="K19" s="83"/>
      <c r="L19" s="101">
        <f>'Table 2A BaseLoad'!L90</f>
        <v>27.27</v>
      </c>
      <c r="M19" s="55"/>
      <c r="N19" s="53">
        <f t="shared" si="5"/>
        <v>2022</v>
      </c>
      <c r="O19" s="55">
        <f t="shared" si="0"/>
        <v>0</v>
      </c>
      <c r="P19" s="83">
        <f>ROUND(O19/(8.76*'Table 7'!$D$116*0.56),2)</f>
        <v>0</v>
      </c>
      <c r="Q19" s="83">
        <f>'Table 2A BaseLoad'!K90</f>
        <v>31.71</v>
      </c>
      <c r="R19" s="83">
        <f t="shared" si="1"/>
        <v>27.27</v>
      </c>
      <c r="S19" s="83">
        <f t="shared" si="6"/>
        <v>31.71</v>
      </c>
      <c r="T19" s="101">
        <f t="shared" si="7"/>
        <v>27.27</v>
      </c>
      <c r="U19" s="55"/>
      <c r="V19" s="53">
        <f t="shared" si="8"/>
        <v>2022</v>
      </c>
      <c r="W19" s="83">
        <f>P19*'Table 2B Wind'!Capacity_Contr_Wind</f>
        <v>0</v>
      </c>
      <c r="X19" s="83">
        <f t="shared" si="9"/>
        <v>31.71</v>
      </c>
      <c r="Y19" s="83">
        <f t="shared" si="10"/>
        <v>27.27</v>
      </c>
      <c r="Z19" s="83">
        <f>INDEX('Table 10'!$E:$E,MATCH($N19,'Table 10'!$B:$B,0))</f>
        <v>1.67</v>
      </c>
      <c r="AA19" s="83">
        <f t="shared" si="11"/>
        <v>30.04</v>
      </c>
      <c r="AB19" s="101">
        <f t="shared" si="12"/>
        <v>25.6</v>
      </c>
      <c r="AC19" s="55"/>
      <c r="AD19" s="53">
        <f t="shared" si="13"/>
        <v>2022</v>
      </c>
      <c r="AE19" s="83">
        <f>P19*'Table 2C SolarFixed'!Capacity_Contr_Solar_Fixed</f>
        <v>0</v>
      </c>
      <c r="AF19" s="83">
        <f t="shared" si="14"/>
        <v>31.71</v>
      </c>
      <c r="AG19" s="83">
        <f t="shared" si="2"/>
        <v>27.27</v>
      </c>
      <c r="AH19" s="83">
        <f t="shared" si="3"/>
        <v>2.83</v>
      </c>
      <c r="AI19" s="83">
        <f t="shared" si="15"/>
        <v>28.880000000000003</v>
      </c>
      <c r="AJ19" s="101">
        <f t="shared" si="16"/>
        <v>24.439999999999998</v>
      </c>
      <c r="AK19" s="55"/>
      <c r="AL19" s="53">
        <f t="shared" si="17"/>
        <v>2022</v>
      </c>
      <c r="AM19" s="83">
        <f>P19*'Table 2D SolarTracking'!Capacity_Contr_Solar_Tracking</f>
        <v>0</v>
      </c>
      <c r="AN19" s="83">
        <f t="shared" si="18"/>
        <v>31.71</v>
      </c>
      <c r="AO19" s="83">
        <f t="shared" si="19"/>
        <v>27.27</v>
      </c>
      <c r="AP19" s="83">
        <f t="shared" si="4"/>
        <v>2.1800000000000002</v>
      </c>
      <c r="AQ19" s="83">
        <f t="shared" si="20"/>
        <v>29.53</v>
      </c>
      <c r="AR19" s="101">
        <f t="shared" si="21"/>
        <v>25.09</v>
      </c>
    </row>
    <row r="20" spans="2:45" x14ac:dyDescent="0.2">
      <c r="B20" s="53">
        <f t="shared" si="22"/>
        <v>2023</v>
      </c>
      <c r="C20" s="55"/>
      <c r="D20" s="55"/>
      <c r="E20" s="55"/>
      <c r="F20" s="56"/>
      <c r="G20" s="55"/>
      <c r="H20" s="53">
        <f t="shared" si="23"/>
        <v>2023</v>
      </c>
      <c r="I20" s="83"/>
      <c r="J20" s="83"/>
      <c r="K20" s="83"/>
      <c r="L20" s="101">
        <f>'Table 2A BaseLoad'!L91</f>
        <v>29.52</v>
      </c>
      <c r="M20" s="55"/>
      <c r="N20" s="53">
        <f t="shared" si="5"/>
        <v>2023</v>
      </c>
      <c r="O20" s="55">
        <f t="shared" si="0"/>
        <v>0</v>
      </c>
      <c r="P20" s="83">
        <f>ROUND(O20/(8.76*'Table 7'!$D$116*0.56),2)</f>
        <v>0</v>
      </c>
      <c r="Q20" s="83">
        <f>'Table 2A BaseLoad'!K91</f>
        <v>33.92</v>
      </c>
      <c r="R20" s="83">
        <f t="shared" si="1"/>
        <v>29.52</v>
      </c>
      <c r="S20" s="83">
        <f t="shared" si="6"/>
        <v>33.92</v>
      </c>
      <c r="T20" s="101">
        <f t="shared" si="7"/>
        <v>29.52</v>
      </c>
      <c r="U20" s="55"/>
      <c r="V20" s="53">
        <f t="shared" si="8"/>
        <v>2023</v>
      </c>
      <c r="W20" s="83">
        <f>P20*'Table 2B Wind'!Capacity_Contr_Wind</f>
        <v>0</v>
      </c>
      <c r="X20" s="83">
        <f t="shared" si="9"/>
        <v>33.92</v>
      </c>
      <c r="Y20" s="83">
        <f t="shared" si="10"/>
        <v>29.52</v>
      </c>
      <c r="Z20" s="83">
        <f>INDEX('Table 10'!$E:$E,MATCH($N20,'Table 10'!$B:$B,0))</f>
        <v>1.9300000000000002</v>
      </c>
      <c r="AA20" s="83">
        <f t="shared" si="11"/>
        <v>31.990000000000002</v>
      </c>
      <c r="AB20" s="101">
        <f t="shared" si="12"/>
        <v>27.59</v>
      </c>
      <c r="AC20" s="55"/>
      <c r="AD20" s="53">
        <f t="shared" si="13"/>
        <v>2023</v>
      </c>
      <c r="AE20" s="83">
        <f>P20*'Table 2C SolarFixed'!Capacity_Contr_Solar_Fixed</f>
        <v>0</v>
      </c>
      <c r="AF20" s="83">
        <f t="shared" si="14"/>
        <v>33.92</v>
      </c>
      <c r="AG20" s="83">
        <f t="shared" si="2"/>
        <v>29.52</v>
      </c>
      <c r="AH20" s="83">
        <f t="shared" si="3"/>
        <v>2.83</v>
      </c>
      <c r="AI20" s="83">
        <f t="shared" si="15"/>
        <v>31.090000000000003</v>
      </c>
      <c r="AJ20" s="101">
        <f t="shared" si="16"/>
        <v>26.689999999999998</v>
      </c>
      <c r="AK20" s="55"/>
      <c r="AL20" s="53">
        <f t="shared" si="17"/>
        <v>2023</v>
      </c>
      <c r="AM20" s="83">
        <f>P20*'Table 2D SolarTracking'!Capacity_Contr_Solar_Tracking</f>
        <v>0</v>
      </c>
      <c r="AN20" s="83">
        <f t="shared" si="18"/>
        <v>33.92</v>
      </c>
      <c r="AO20" s="83">
        <f t="shared" si="19"/>
        <v>29.52</v>
      </c>
      <c r="AP20" s="83">
        <f t="shared" si="4"/>
        <v>2.1800000000000002</v>
      </c>
      <c r="AQ20" s="83">
        <f t="shared" si="20"/>
        <v>31.740000000000002</v>
      </c>
      <c r="AR20" s="101">
        <f t="shared" si="21"/>
        <v>27.34</v>
      </c>
    </row>
    <row r="21" spans="2:45" x14ac:dyDescent="0.2">
      <c r="B21" s="53">
        <f t="shared" si="22"/>
        <v>2024</v>
      </c>
      <c r="C21" s="55"/>
      <c r="D21" s="55"/>
      <c r="E21" s="55"/>
      <c r="F21" s="56"/>
      <c r="G21" s="55"/>
      <c r="H21" s="53">
        <f t="shared" si="23"/>
        <v>2024</v>
      </c>
      <c r="I21" s="83"/>
      <c r="J21" s="83"/>
      <c r="K21" s="83"/>
      <c r="L21" s="101">
        <f>'Table 2A BaseLoad'!L92</f>
        <v>33.1</v>
      </c>
      <c r="M21" s="55"/>
      <c r="N21" s="53">
        <f t="shared" si="5"/>
        <v>2024</v>
      </c>
      <c r="O21" s="55">
        <f t="shared" si="0"/>
        <v>0</v>
      </c>
      <c r="P21" s="83">
        <f>ROUND(O21/(8.76*'Table 7'!$D$116*0.56),2)</f>
        <v>0</v>
      </c>
      <c r="Q21" s="83">
        <f>'Table 2A BaseLoad'!K92</f>
        <v>38.119999999999997</v>
      </c>
      <c r="R21" s="83">
        <f t="shared" si="1"/>
        <v>33.1</v>
      </c>
      <c r="S21" s="83">
        <f t="shared" si="6"/>
        <v>38.119999999999997</v>
      </c>
      <c r="T21" s="101">
        <f t="shared" si="7"/>
        <v>33.1</v>
      </c>
      <c r="U21" s="55"/>
      <c r="V21" s="53">
        <f t="shared" si="8"/>
        <v>2024</v>
      </c>
      <c r="W21" s="83">
        <f>P21*'Table 2B Wind'!Capacity_Contr_Wind</f>
        <v>0</v>
      </c>
      <c r="X21" s="83">
        <f t="shared" si="9"/>
        <v>38.119999999999997</v>
      </c>
      <c r="Y21" s="83">
        <f t="shared" si="10"/>
        <v>33.1</v>
      </c>
      <c r="Z21" s="83">
        <f>INDEX('Table 10'!$E:$E,MATCH($N21,'Table 10'!$B:$B,0))</f>
        <v>1.98</v>
      </c>
      <c r="AA21" s="83">
        <f t="shared" si="11"/>
        <v>36.14</v>
      </c>
      <c r="AB21" s="101">
        <f t="shared" si="12"/>
        <v>31.12</v>
      </c>
      <c r="AC21" s="55"/>
      <c r="AD21" s="53">
        <f t="shared" si="13"/>
        <v>2024</v>
      </c>
      <c r="AE21" s="83">
        <f>P21*'Table 2C SolarFixed'!Capacity_Contr_Solar_Fixed</f>
        <v>0</v>
      </c>
      <c r="AF21" s="83">
        <f t="shared" si="14"/>
        <v>38.119999999999997</v>
      </c>
      <c r="AG21" s="83">
        <f t="shared" si="2"/>
        <v>33.1</v>
      </c>
      <c r="AH21" s="83">
        <f t="shared" si="3"/>
        <v>2.83</v>
      </c>
      <c r="AI21" s="83">
        <f t="shared" si="15"/>
        <v>35.29</v>
      </c>
      <c r="AJ21" s="101">
        <f t="shared" si="16"/>
        <v>30.270000000000003</v>
      </c>
      <c r="AK21" s="55"/>
      <c r="AL21" s="53">
        <f t="shared" si="17"/>
        <v>2024</v>
      </c>
      <c r="AM21" s="83">
        <f>P21*'Table 2D SolarTracking'!Capacity_Contr_Solar_Tracking</f>
        <v>0</v>
      </c>
      <c r="AN21" s="83">
        <f t="shared" si="18"/>
        <v>38.119999999999997</v>
      </c>
      <c r="AO21" s="83">
        <f t="shared" si="19"/>
        <v>33.1</v>
      </c>
      <c r="AP21" s="83">
        <f t="shared" si="4"/>
        <v>2.1800000000000002</v>
      </c>
      <c r="AQ21" s="83">
        <f t="shared" si="20"/>
        <v>35.94</v>
      </c>
      <c r="AR21" s="101">
        <f t="shared" si="21"/>
        <v>30.92</v>
      </c>
    </row>
    <row r="22" spans="2:45" x14ac:dyDescent="0.2">
      <c r="B22" s="53">
        <f t="shared" si="22"/>
        <v>2025</v>
      </c>
      <c r="C22" s="55"/>
      <c r="D22" s="55"/>
      <c r="E22" s="55"/>
      <c r="F22" s="56"/>
      <c r="G22" s="55"/>
      <c r="H22" s="53">
        <f t="shared" si="23"/>
        <v>2025</v>
      </c>
      <c r="I22" s="83"/>
      <c r="J22" s="83"/>
      <c r="K22" s="83"/>
      <c r="L22" s="101">
        <f>'Table 2A BaseLoad'!L93</f>
        <v>35.33</v>
      </c>
      <c r="M22" s="55"/>
      <c r="N22" s="53">
        <f t="shared" si="5"/>
        <v>2025</v>
      </c>
      <c r="O22" s="55">
        <f t="shared" si="0"/>
        <v>0</v>
      </c>
      <c r="P22" s="83">
        <f>ROUND(O22/(8.76*'Table 7'!$D$116*0.56),2)</f>
        <v>0</v>
      </c>
      <c r="Q22" s="83">
        <f>'Table 2A BaseLoad'!K93</f>
        <v>40.51</v>
      </c>
      <c r="R22" s="83">
        <f t="shared" si="1"/>
        <v>35.33</v>
      </c>
      <c r="S22" s="83">
        <f t="shared" si="6"/>
        <v>40.51</v>
      </c>
      <c r="T22" s="101">
        <f t="shared" si="7"/>
        <v>35.33</v>
      </c>
      <c r="U22" s="55"/>
      <c r="V22" s="53">
        <f t="shared" si="8"/>
        <v>2025</v>
      </c>
      <c r="W22" s="83">
        <f>P22*'Table 2B Wind'!Capacity_Contr_Wind</f>
        <v>0</v>
      </c>
      <c r="X22" s="83">
        <f t="shared" si="9"/>
        <v>40.51</v>
      </c>
      <c r="Y22" s="83">
        <f t="shared" si="10"/>
        <v>35.33</v>
      </c>
      <c r="Z22" s="83">
        <f>INDEX('Table 10'!$E:$E,MATCH($N22,'Table 10'!$B:$B,0))</f>
        <v>2.04</v>
      </c>
      <c r="AA22" s="83">
        <f t="shared" si="11"/>
        <v>38.47</v>
      </c>
      <c r="AB22" s="101">
        <f t="shared" si="12"/>
        <v>33.29</v>
      </c>
      <c r="AC22" s="55"/>
      <c r="AD22" s="53">
        <f t="shared" si="13"/>
        <v>2025</v>
      </c>
      <c r="AE22" s="83">
        <f>P22*'Table 2C SolarFixed'!Capacity_Contr_Solar_Fixed</f>
        <v>0</v>
      </c>
      <c r="AF22" s="83">
        <f t="shared" si="14"/>
        <v>40.51</v>
      </c>
      <c r="AG22" s="83">
        <f t="shared" si="2"/>
        <v>35.33</v>
      </c>
      <c r="AH22" s="83">
        <f t="shared" si="3"/>
        <v>2.83</v>
      </c>
      <c r="AI22" s="83">
        <f t="shared" si="15"/>
        <v>37.68</v>
      </c>
      <c r="AJ22" s="101">
        <f t="shared" si="16"/>
        <v>32.5</v>
      </c>
      <c r="AK22" s="55"/>
      <c r="AL22" s="53">
        <f t="shared" si="17"/>
        <v>2025</v>
      </c>
      <c r="AM22" s="83">
        <f>P22*'Table 2D SolarTracking'!Capacity_Contr_Solar_Tracking</f>
        <v>0</v>
      </c>
      <c r="AN22" s="83">
        <f t="shared" si="18"/>
        <v>40.51</v>
      </c>
      <c r="AO22" s="83">
        <f t="shared" si="19"/>
        <v>35.33</v>
      </c>
      <c r="AP22" s="83">
        <f t="shared" si="4"/>
        <v>2.1800000000000002</v>
      </c>
      <c r="AQ22" s="83">
        <f t="shared" si="20"/>
        <v>38.33</v>
      </c>
      <c r="AR22" s="101">
        <f t="shared" si="21"/>
        <v>33.15</v>
      </c>
    </row>
    <row r="23" spans="2:45" x14ac:dyDescent="0.2">
      <c r="B23" s="53">
        <f t="shared" si="22"/>
        <v>2026</v>
      </c>
      <c r="C23" s="55"/>
      <c r="D23" s="55"/>
      <c r="E23" s="55"/>
      <c r="F23" s="56"/>
      <c r="G23" s="55"/>
      <c r="H23" s="53">
        <f t="shared" si="23"/>
        <v>2026</v>
      </c>
      <c r="I23" s="83"/>
      <c r="J23" s="83"/>
      <c r="K23" s="83"/>
      <c r="L23" s="101">
        <f>'Table 2A BaseLoad'!L94</f>
        <v>35.93</v>
      </c>
      <c r="M23" s="55"/>
      <c r="N23" s="53">
        <f t="shared" si="5"/>
        <v>2026</v>
      </c>
      <c r="O23" s="55">
        <f t="shared" si="0"/>
        <v>0</v>
      </c>
      <c r="P23" s="83">
        <f>ROUND(O23/(8.76*'Table 7'!$D$116*0.56),2)</f>
        <v>0</v>
      </c>
      <c r="Q23" s="83">
        <f>'Table 2A BaseLoad'!K94</f>
        <v>41.07</v>
      </c>
      <c r="R23" s="83">
        <f t="shared" si="1"/>
        <v>35.93</v>
      </c>
      <c r="S23" s="83">
        <f t="shared" si="6"/>
        <v>41.07</v>
      </c>
      <c r="T23" s="101">
        <f t="shared" si="7"/>
        <v>35.93</v>
      </c>
      <c r="U23" s="55"/>
      <c r="V23" s="53">
        <f t="shared" si="8"/>
        <v>2026</v>
      </c>
      <c r="W23" s="83">
        <f>P23*'Table 2B Wind'!Capacity_Contr_Wind</f>
        <v>0</v>
      </c>
      <c r="X23" s="83">
        <f t="shared" si="9"/>
        <v>41.07</v>
      </c>
      <c r="Y23" s="83">
        <f t="shared" si="10"/>
        <v>35.93</v>
      </c>
      <c r="Z23" s="83">
        <f>INDEX('Table 10'!$E:$E,MATCH($N23,'Table 10'!$B:$B,0))</f>
        <v>2.23</v>
      </c>
      <c r="AA23" s="83">
        <f t="shared" si="11"/>
        <v>38.840000000000003</v>
      </c>
      <c r="AB23" s="101">
        <f t="shared" si="12"/>
        <v>33.700000000000003</v>
      </c>
      <c r="AC23" s="55"/>
      <c r="AD23" s="53">
        <f t="shared" si="13"/>
        <v>2026</v>
      </c>
      <c r="AE23" s="83">
        <f>P23*'Table 2C SolarFixed'!Capacity_Contr_Solar_Fixed</f>
        <v>0</v>
      </c>
      <c r="AF23" s="83">
        <f t="shared" si="14"/>
        <v>41.07</v>
      </c>
      <c r="AG23" s="83">
        <f t="shared" si="2"/>
        <v>35.93</v>
      </c>
      <c r="AH23" s="83">
        <f t="shared" si="3"/>
        <v>2.83</v>
      </c>
      <c r="AI23" s="83">
        <f t="shared" si="15"/>
        <v>38.24</v>
      </c>
      <c r="AJ23" s="101">
        <f t="shared" si="16"/>
        <v>33.1</v>
      </c>
      <c r="AK23" s="55"/>
      <c r="AL23" s="53">
        <f t="shared" si="17"/>
        <v>2026</v>
      </c>
      <c r="AM23" s="83">
        <f>P23*'Table 2D SolarTracking'!Capacity_Contr_Solar_Tracking</f>
        <v>0</v>
      </c>
      <c r="AN23" s="83">
        <f t="shared" si="18"/>
        <v>41.07</v>
      </c>
      <c r="AO23" s="83">
        <f t="shared" si="19"/>
        <v>35.93</v>
      </c>
      <c r="AP23" s="83">
        <f t="shared" si="4"/>
        <v>2.1800000000000002</v>
      </c>
      <c r="AQ23" s="83">
        <f t="shared" si="20"/>
        <v>38.89</v>
      </c>
      <c r="AR23" s="101">
        <f t="shared" si="21"/>
        <v>33.75</v>
      </c>
    </row>
    <row r="24" spans="2:45" x14ac:dyDescent="0.2">
      <c r="B24" s="57">
        <f t="shared" si="22"/>
        <v>2027</v>
      </c>
      <c r="C24" s="59"/>
      <c r="D24" s="59"/>
      <c r="E24" s="59"/>
      <c r="F24" s="60"/>
      <c r="G24" s="55"/>
      <c r="H24" s="57">
        <f t="shared" si="23"/>
        <v>2027</v>
      </c>
      <c r="I24" s="102"/>
      <c r="J24" s="102"/>
      <c r="K24" s="102"/>
      <c r="L24" s="103">
        <f>'Table 2A BaseLoad'!L95</f>
        <v>38.130000000000003</v>
      </c>
      <c r="M24" s="55"/>
      <c r="N24" s="57">
        <f t="shared" si="5"/>
        <v>2027</v>
      </c>
      <c r="O24" s="59">
        <f t="shared" si="0"/>
        <v>0</v>
      </c>
      <c r="P24" s="102">
        <f>ROUND(O24/(8.76*'Table 7'!$D$116*0.56),2)</f>
        <v>0</v>
      </c>
      <c r="Q24" s="102">
        <f>'Table 2A BaseLoad'!K95</f>
        <v>43.44</v>
      </c>
      <c r="R24" s="102">
        <f t="shared" si="1"/>
        <v>38.130000000000003</v>
      </c>
      <c r="S24" s="102">
        <f t="shared" si="6"/>
        <v>43.44</v>
      </c>
      <c r="T24" s="103">
        <f t="shared" si="7"/>
        <v>38.130000000000003</v>
      </c>
      <c r="U24" s="55"/>
      <c r="V24" s="57">
        <f t="shared" si="8"/>
        <v>2027</v>
      </c>
      <c r="W24" s="102">
        <f>P24*'Table 2B Wind'!Capacity_Contr_Wind</f>
        <v>0</v>
      </c>
      <c r="X24" s="102">
        <f t="shared" si="9"/>
        <v>43.44</v>
      </c>
      <c r="Y24" s="102">
        <f t="shared" si="10"/>
        <v>38.130000000000003</v>
      </c>
      <c r="Z24" s="102">
        <f>INDEX('Table 10'!$E:$E,MATCH($N24,'Table 10'!$B:$B,0))</f>
        <v>2.19</v>
      </c>
      <c r="AA24" s="102">
        <f t="shared" si="11"/>
        <v>41.25</v>
      </c>
      <c r="AB24" s="103">
        <f t="shared" si="12"/>
        <v>35.940000000000005</v>
      </c>
      <c r="AC24" s="55"/>
      <c r="AD24" s="57">
        <f t="shared" si="13"/>
        <v>2027</v>
      </c>
      <c r="AE24" s="102">
        <f>P24*'Table 2C SolarFixed'!Capacity_Contr_Solar_Fixed</f>
        <v>0</v>
      </c>
      <c r="AF24" s="102">
        <f t="shared" si="14"/>
        <v>43.44</v>
      </c>
      <c r="AG24" s="102">
        <f t="shared" si="2"/>
        <v>38.130000000000003</v>
      </c>
      <c r="AH24" s="102">
        <f t="shared" si="3"/>
        <v>2.83</v>
      </c>
      <c r="AI24" s="102">
        <f t="shared" si="15"/>
        <v>40.61</v>
      </c>
      <c r="AJ24" s="103">
        <f t="shared" si="16"/>
        <v>35.300000000000004</v>
      </c>
      <c r="AK24" s="55"/>
      <c r="AL24" s="57">
        <f t="shared" si="17"/>
        <v>2027</v>
      </c>
      <c r="AM24" s="102">
        <f>P24*'Table 2D SolarTracking'!Capacity_Contr_Solar_Tracking</f>
        <v>0</v>
      </c>
      <c r="AN24" s="102">
        <f t="shared" si="18"/>
        <v>43.44</v>
      </c>
      <c r="AO24" s="102">
        <f t="shared" si="19"/>
        <v>38.130000000000003</v>
      </c>
      <c r="AP24" s="102">
        <f t="shared" si="4"/>
        <v>2.1800000000000002</v>
      </c>
      <c r="AQ24" s="102">
        <f t="shared" si="20"/>
        <v>41.26</v>
      </c>
      <c r="AR24" s="103">
        <f t="shared" si="21"/>
        <v>35.950000000000003</v>
      </c>
    </row>
    <row r="25" spans="2:45" ht="7.5" customHeight="1" x14ac:dyDescent="0.2">
      <c r="B25" s="65"/>
      <c r="C25" s="104"/>
      <c r="D25" s="104"/>
      <c r="E25" s="104"/>
      <c r="F25" s="104"/>
      <c r="G25" s="55"/>
      <c r="H25" s="65"/>
      <c r="I25" s="83"/>
      <c r="J25" s="83"/>
      <c r="K25" s="83"/>
      <c r="L25" s="83"/>
      <c r="M25" s="55"/>
      <c r="N25" s="65"/>
      <c r="O25" s="55"/>
      <c r="P25" s="83"/>
      <c r="Q25" s="83"/>
      <c r="R25" s="83"/>
      <c r="S25" s="83"/>
      <c r="T25" s="83"/>
      <c r="U25" s="55"/>
      <c r="V25" s="65"/>
      <c r="W25" s="83"/>
      <c r="X25" s="83"/>
      <c r="Y25" s="83"/>
      <c r="Z25" s="83"/>
      <c r="AA25" s="83"/>
      <c r="AB25" s="83"/>
      <c r="AC25" s="55"/>
      <c r="AD25" s="65"/>
      <c r="AE25" s="83"/>
      <c r="AF25" s="83"/>
      <c r="AG25" s="83"/>
      <c r="AH25" s="83"/>
      <c r="AI25" s="83"/>
      <c r="AJ25" s="83"/>
      <c r="AK25" s="55"/>
      <c r="AL25" s="65"/>
      <c r="AM25" s="83"/>
      <c r="AN25" s="83"/>
      <c r="AO25" s="83"/>
      <c r="AP25" s="83"/>
      <c r="AQ25" s="83"/>
      <c r="AR25" s="83"/>
    </row>
    <row r="26" spans="2:45" x14ac:dyDescent="0.2">
      <c r="B26" s="19" t="s">
        <v>81</v>
      </c>
      <c r="C26" s="55"/>
      <c r="D26" s="28" t="s">
        <v>78</v>
      </c>
      <c r="E26" s="55"/>
      <c r="F26" s="55"/>
      <c r="G26" s="55"/>
      <c r="H26" s="19" t="s">
        <v>81</v>
      </c>
      <c r="I26" s="83"/>
      <c r="J26" s="39" t="str">
        <f>$I$9&amp;" x "&amp;TEXT('Table 7'!$K$95/1000,"0.000")</f>
        <v>(a) x 6.630</v>
      </c>
      <c r="K26" s="83"/>
      <c r="L26" s="83"/>
      <c r="M26" s="55"/>
      <c r="N26" s="19" t="s">
        <v>81</v>
      </c>
      <c r="O26" s="55"/>
      <c r="P26" s="83"/>
      <c r="Q26" s="83"/>
      <c r="R26" s="83"/>
      <c r="S26" s="83"/>
      <c r="T26" s="83"/>
      <c r="U26" s="55"/>
      <c r="V26" s="19" t="s">
        <v>81</v>
      </c>
      <c r="W26" s="83"/>
      <c r="X26" s="83"/>
      <c r="Y26" s="83"/>
      <c r="Z26" s="83"/>
      <c r="AA26" s="83"/>
      <c r="AB26" s="83"/>
      <c r="AC26" s="55"/>
      <c r="AD26" s="19" t="s">
        <v>81</v>
      </c>
      <c r="AE26" s="83"/>
      <c r="AF26" s="83"/>
      <c r="AG26" s="83"/>
      <c r="AH26" s="83"/>
      <c r="AI26" s="83"/>
      <c r="AJ26" s="83"/>
      <c r="AK26" s="55"/>
      <c r="AL26" s="19" t="s">
        <v>81</v>
      </c>
      <c r="AM26" s="83"/>
      <c r="AN26" s="83"/>
      <c r="AO26" s="83"/>
      <c r="AP26" s="83"/>
      <c r="AQ26" s="83"/>
      <c r="AR26" s="83"/>
    </row>
    <row r="27" spans="2:45" x14ac:dyDescent="0.2">
      <c r="B27" s="98">
        <f>B24+1</f>
        <v>2028</v>
      </c>
      <c r="C27" s="51">
        <f>INDEX('Table 7'!$H$57:$H$82,MATCH($B27,'Table 7'!$B$57:$B$82,0))</f>
        <v>142.57</v>
      </c>
      <c r="D27" s="51">
        <f>INDEX('Table 7'!$H$12:$H$29,MATCH($B27,'Table 7'!$B$12:$B$29,0))</f>
        <v>142.91999999999999</v>
      </c>
      <c r="E27" s="51">
        <f>IF((C27-D27)*0.5&lt;0,0,ROUND((C27-D27)*0.5,2))</f>
        <v>0</v>
      </c>
      <c r="F27" s="52">
        <f>ROUND(E27/(8.76*'Table 7'!$D$115),2)</f>
        <v>0</v>
      </c>
      <c r="G27" s="55"/>
      <c r="H27" s="98">
        <f t="shared" ref="H27:H32" si="24">$B27</f>
        <v>2028</v>
      </c>
      <c r="I27" s="99">
        <f>INDEX('Table 8'!E:E,MATCH('Tables 3 to 5'!$H27,'Table 8'!B:B,0))</f>
        <v>4.8600000000000003</v>
      </c>
      <c r="J27" s="99">
        <f>I27*'Table 7'!$K$95/1000</f>
        <v>32.221800000000002</v>
      </c>
      <c r="K27" s="99">
        <f t="shared" ref="K27" si="25">F27</f>
        <v>0</v>
      </c>
      <c r="L27" s="100">
        <f t="shared" ref="L27" si="26">J27+K27</f>
        <v>32.221800000000002</v>
      </c>
      <c r="M27" s="55"/>
      <c r="N27" s="98">
        <f t="shared" ref="N27:N32" si="27">$B27</f>
        <v>2028</v>
      </c>
      <c r="O27" s="51">
        <f t="shared" ref="O27:O32" si="28">D27+E27</f>
        <v>142.91999999999999</v>
      </c>
      <c r="P27" s="99">
        <f>ROUND(O27/(8.76*'Table 7'!$D$116*0.56),2)</f>
        <v>29.13</v>
      </c>
      <c r="Q27" s="99">
        <f>R27</f>
        <v>32.221800000000002</v>
      </c>
      <c r="R27" s="99">
        <f t="shared" ref="R27:R32" si="29">L27</f>
        <v>32.221800000000002</v>
      </c>
      <c r="S27" s="99">
        <f>P27+Q27</f>
        <v>61.351799999999997</v>
      </c>
      <c r="T27" s="100">
        <f t="shared" ref="T27" si="30">R27</f>
        <v>32.221800000000002</v>
      </c>
      <c r="U27" s="55"/>
      <c r="V27" s="98">
        <f t="shared" ref="V27:V32" si="31">$B27</f>
        <v>2028</v>
      </c>
      <c r="W27" s="99">
        <f>P27*'Table 2B Wind'!Capacity_Contr_Wind</f>
        <v>4.2238499999999997</v>
      </c>
      <c r="X27" s="99">
        <f t="shared" ref="X27:X32" si="32">Q27</f>
        <v>32.221800000000002</v>
      </c>
      <c r="Y27" s="99">
        <f t="shared" ref="Y27:Y32" si="33">R27</f>
        <v>32.221800000000002</v>
      </c>
      <c r="Z27" s="99">
        <f>INDEX('Table 10'!$E:$E,MATCH($N27,'Table 10'!$B:$B,0))</f>
        <v>2.37</v>
      </c>
      <c r="AA27" s="99">
        <f t="shared" ref="AA27:AA32" si="34">W27+X27-Z27</f>
        <v>34.075650000000003</v>
      </c>
      <c r="AB27" s="100">
        <f t="shared" ref="AB27:AB32" si="35">Y27-Z27</f>
        <v>29.851800000000001</v>
      </c>
      <c r="AC27" s="55"/>
      <c r="AD27" s="98">
        <f t="shared" ref="AD27:AD32" si="36">$B27</f>
        <v>2028</v>
      </c>
      <c r="AE27" s="99">
        <f>P27*'Table 2C SolarFixed'!Capacity_Contr_Solar_Fixed</f>
        <v>9.9333299999999998</v>
      </c>
      <c r="AF27" s="99">
        <f t="shared" ref="AF27:AF32" si="37">Q27</f>
        <v>32.221800000000002</v>
      </c>
      <c r="AG27" s="99">
        <f t="shared" ref="AG27:AG32" si="38">R27</f>
        <v>32.221800000000002</v>
      </c>
      <c r="AH27" s="99">
        <f t="shared" ref="AH27:AH32" si="39">Solar_Fixed_integr_cost</f>
        <v>2.83</v>
      </c>
      <c r="AI27" s="99">
        <f t="shared" ref="AI27:AI32" si="40">AE27+AF27-AH27</f>
        <v>39.325130000000001</v>
      </c>
      <c r="AJ27" s="100">
        <f t="shared" ref="AJ27:AJ32" si="41">AG27-AH27</f>
        <v>29.391800000000003</v>
      </c>
      <c r="AK27" s="55"/>
      <c r="AL27" s="98">
        <f t="shared" ref="AL27:AL32" si="42">$B27</f>
        <v>2028</v>
      </c>
      <c r="AM27" s="99">
        <f>P27*'Table 2D SolarTracking'!Capacity_Contr_Solar_Tracking</f>
        <v>11.38983</v>
      </c>
      <c r="AN27" s="99">
        <f t="shared" ref="AN27:AN32" si="43">Q27</f>
        <v>32.221800000000002</v>
      </c>
      <c r="AO27" s="99">
        <f t="shared" ref="AO27:AO32" si="44">R27</f>
        <v>32.221800000000002</v>
      </c>
      <c r="AP27" s="99">
        <f t="shared" ref="AP27:AP32" si="45">Solar_Tracking_integr_cost</f>
        <v>2.1800000000000002</v>
      </c>
      <c r="AQ27" s="99">
        <f t="shared" ref="AQ27:AQ32" si="46">AM27+AN27-AP27</f>
        <v>41.431630000000006</v>
      </c>
      <c r="AR27" s="100">
        <f t="shared" ref="AR27:AR32" si="47">AO27-AP27</f>
        <v>30.041800000000002</v>
      </c>
      <c r="AS27" s="37"/>
    </row>
    <row r="28" spans="2:45" x14ac:dyDescent="0.2">
      <c r="B28" s="53">
        <f t="shared" ref="B28:B32" si="48">B27+1</f>
        <v>2029</v>
      </c>
      <c r="C28" s="55">
        <f>INDEX('Table 7'!$H$57:$H$82,MATCH($B28,'Table 7'!$B$57:$B$82,0))</f>
        <v>145.55000000000001</v>
      </c>
      <c r="D28" s="55">
        <f>INDEX('Table 7'!$H$12:$H$29,MATCH($B28,'Table 7'!$B$12:$B$29,0))</f>
        <v>145.94</v>
      </c>
      <c r="E28" s="55">
        <f t="shared" ref="E28:E32" si="49">IF((C28-D28)*0.5&lt;0,0,ROUND((C28-D28)*0.5,2))</f>
        <v>0</v>
      </c>
      <c r="F28" s="56">
        <f>ROUND(E28/(8.76*'Table 7'!$D$115),2)</f>
        <v>0</v>
      </c>
      <c r="G28" s="55"/>
      <c r="H28" s="53">
        <f t="shared" si="24"/>
        <v>2029</v>
      </c>
      <c r="I28" s="83">
        <f>INDEX('Table 8'!E:E,MATCH('Tables 3 to 5'!$H28,'Table 8'!B:B,0))</f>
        <v>5</v>
      </c>
      <c r="J28" s="83">
        <f>I28*'Table 7'!$K$95/1000</f>
        <v>33.15</v>
      </c>
      <c r="K28" s="83">
        <f t="shared" ref="K28:K32" si="50">F28</f>
        <v>0</v>
      </c>
      <c r="L28" s="101">
        <f t="shared" ref="L28:L32" si="51">J28+K28</f>
        <v>33.15</v>
      </c>
      <c r="M28" s="55"/>
      <c r="N28" s="53">
        <f t="shared" si="27"/>
        <v>2029</v>
      </c>
      <c r="O28" s="55">
        <f t="shared" si="28"/>
        <v>145.94</v>
      </c>
      <c r="P28" s="83">
        <f>ROUND(O28/(8.76*'Table 7'!$D$116*0.56),2)</f>
        <v>29.75</v>
      </c>
      <c r="Q28" s="83">
        <f t="shared" ref="Q28:Q32" si="52">R28</f>
        <v>33.15</v>
      </c>
      <c r="R28" s="83">
        <f t="shared" si="29"/>
        <v>33.15</v>
      </c>
      <c r="S28" s="83">
        <f t="shared" ref="S28:S32" si="53">P28+Q28</f>
        <v>62.9</v>
      </c>
      <c r="T28" s="101">
        <f t="shared" ref="T28:T32" si="54">R28</f>
        <v>33.15</v>
      </c>
      <c r="U28" s="55"/>
      <c r="V28" s="53">
        <f t="shared" si="31"/>
        <v>2029</v>
      </c>
      <c r="W28" s="83">
        <f>P28*'Table 2B Wind'!Capacity_Contr_Wind</f>
        <v>4.3137499999999998</v>
      </c>
      <c r="X28" s="83">
        <f t="shared" si="32"/>
        <v>33.15</v>
      </c>
      <c r="Y28" s="83">
        <f t="shared" si="33"/>
        <v>33.15</v>
      </c>
      <c r="Z28" s="83">
        <f>INDEX('Table 10'!$E:$E,MATCH($N28,'Table 10'!$B:$B,0))</f>
        <v>2.7800000000000002</v>
      </c>
      <c r="AA28" s="83">
        <f t="shared" si="34"/>
        <v>34.683749999999996</v>
      </c>
      <c r="AB28" s="101">
        <f t="shared" si="35"/>
        <v>30.369999999999997</v>
      </c>
      <c r="AC28" s="55"/>
      <c r="AD28" s="53">
        <f t="shared" si="36"/>
        <v>2029</v>
      </c>
      <c r="AE28" s="83">
        <f>P28*'Table 2C SolarFixed'!Capacity_Contr_Solar_Fixed</f>
        <v>10.14475</v>
      </c>
      <c r="AF28" s="83">
        <f t="shared" si="37"/>
        <v>33.15</v>
      </c>
      <c r="AG28" s="83">
        <f t="shared" si="38"/>
        <v>33.15</v>
      </c>
      <c r="AH28" s="83">
        <f t="shared" si="39"/>
        <v>2.83</v>
      </c>
      <c r="AI28" s="83">
        <f t="shared" si="40"/>
        <v>40.464750000000002</v>
      </c>
      <c r="AJ28" s="101">
        <f t="shared" si="41"/>
        <v>30.32</v>
      </c>
      <c r="AK28" s="55"/>
      <c r="AL28" s="53">
        <f t="shared" si="42"/>
        <v>2029</v>
      </c>
      <c r="AM28" s="83">
        <f>P28*'Table 2D SolarTracking'!Capacity_Contr_Solar_Tracking</f>
        <v>11.632250000000001</v>
      </c>
      <c r="AN28" s="83">
        <f t="shared" si="43"/>
        <v>33.15</v>
      </c>
      <c r="AO28" s="83">
        <f t="shared" si="44"/>
        <v>33.15</v>
      </c>
      <c r="AP28" s="83">
        <f t="shared" si="45"/>
        <v>2.1800000000000002</v>
      </c>
      <c r="AQ28" s="83">
        <f t="shared" si="46"/>
        <v>42.602249999999998</v>
      </c>
      <c r="AR28" s="101">
        <f t="shared" si="47"/>
        <v>30.97</v>
      </c>
    </row>
    <row r="29" spans="2:45" x14ac:dyDescent="0.2">
      <c r="B29" s="53">
        <f t="shared" si="48"/>
        <v>2030</v>
      </c>
      <c r="C29" s="55">
        <f>INDEX('Table 7'!$H$57:$H$82,MATCH($B29,'Table 7'!$B$57:$B$82,0))</f>
        <v>148.79</v>
      </c>
      <c r="D29" s="55">
        <f>INDEX('Table 7'!$H$12:$H$29,MATCH($B29,'Table 7'!$B$12:$B$29,0))</f>
        <v>149.16</v>
      </c>
      <c r="E29" s="55">
        <f t="shared" si="49"/>
        <v>0</v>
      </c>
      <c r="F29" s="56">
        <f>ROUND(E29/(8.76*'Table 7'!$D$115),2)</f>
        <v>0</v>
      </c>
      <c r="G29" s="55"/>
      <c r="H29" s="53">
        <f t="shared" si="24"/>
        <v>2030</v>
      </c>
      <c r="I29" s="83">
        <f>INDEX('Table 8'!E:E,MATCH('Tables 3 to 5'!$H29,'Table 8'!B:B,0))</f>
        <v>5.31</v>
      </c>
      <c r="J29" s="83">
        <f>I29*'Table 7'!$K$95/1000</f>
        <v>35.205299999999994</v>
      </c>
      <c r="K29" s="83">
        <f t="shared" si="50"/>
        <v>0</v>
      </c>
      <c r="L29" s="101">
        <f t="shared" si="51"/>
        <v>35.205299999999994</v>
      </c>
      <c r="M29" s="55"/>
      <c r="N29" s="53">
        <f t="shared" si="27"/>
        <v>2030</v>
      </c>
      <c r="O29" s="55">
        <f t="shared" si="28"/>
        <v>149.16</v>
      </c>
      <c r="P29" s="83">
        <f>ROUND(O29/(8.76*'Table 7'!$D$116*0.56),2)</f>
        <v>30.41</v>
      </c>
      <c r="Q29" s="83">
        <f t="shared" si="52"/>
        <v>35.205299999999994</v>
      </c>
      <c r="R29" s="83">
        <f t="shared" si="29"/>
        <v>35.205299999999994</v>
      </c>
      <c r="S29" s="83">
        <f t="shared" si="53"/>
        <v>65.615299999999991</v>
      </c>
      <c r="T29" s="101">
        <f t="shared" si="54"/>
        <v>35.205299999999994</v>
      </c>
      <c r="U29" s="55"/>
      <c r="V29" s="53">
        <f t="shared" si="31"/>
        <v>2030</v>
      </c>
      <c r="W29" s="83">
        <f>P29*'Table 2B Wind'!Capacity_Contr_Wind</f>
        <v>4.4094499999999996</v>
      </c>
      <c r="X29" s="83">
        <f t="shared" si="32"/>
        <v>35.205299999999994</v>
      </c>
      <c r="Y29" s="83">
        <f t="shared" si="33"/>
        <v>35.205299999999994</v>
      </c>
      <c r="Z29" s="83">
        <f>INDEX('Table 10'!$E:$E,MATCH($N29,'Table 10'!$B:$B,0))</f>
        <v>3.2</v>
      </c>
      <c r="AA29" s="83">
        <f t="shared" si="34"/>
        <v>36.414749999999991</v>
      </c>
      <c r="AB29" s="101">
        <f t="shared" si="35"/>
        <v>32.005299999999991</v>
      </c>
      <c r="AC29" s="55"/>
      <c r="AD29" s="53">
        <f t="shared" si="36"/>
        <v>2030</v>
      </c>
      <c r="AE29" s="83">
        <f>P29*'Table 2C SolarFixed'!Capacity_Contr_Solar_Fixed</f>
        <v>10.369810000000001</v>
      </c>
      <c r="AF29" s="83">
        <f t="shared" si="37"/>
        <v>35.205299999999994</v>
      </c>
      <c r="AG29" s="83">
        <f t="shared" si="38"/>
        <v>35.205299999999994</v>
      </c>
      <c r="AH29" s="83">
        <f t="shared" si="39"/>
        <v>2.83</v>
      </c>
      <c r="AI29" s="83">
        <f t="shared" si="40"/>
        <v>42.745109999999997</v>
      </c>
      <c r="AJ29" s="101">
        <f t="shared" si="41"/>
        <v>32.375299999999996</v>
      </c>
      <c r="AK29" s="55"/>
      <c r="AL29" s="53">
        <f t="shared" si="42"/>
        <v>2030</v>
      </c>
      <c r="AM29" s="83">
        <f>P29*'Table 2D SolarTracking'!Capacity_Contr_Solar_Tracking</f>
        <v>11.890310000000001</v>
      </c>
      <c r="AN29" s="83">
        <f t="shared" si="43"/>
        <v>35.205299999999994</v>
      </c>
      <c r="AO29" s="83">
        <f t="shared" si="44"/>
        <v>35.205299999999994</v>
      </c>
      <c r="AP29" s="83">
        <f t="shared" si="45"/>
        <v>2.1800000000000002</v>
      </c>
      <c r="AQ29" s="83">
        <f t="shared" si="46"/>
        <v>44.915609999999994</v>
      </c>
      <c r="AR29" s="101">
        <f t="shared" si="47"/>
        <v>33.025299999999994</v>
      </c>
    </row>
    <row r="30" spans="2:45" x14ac:dyDescent="0.2">
      <c r="B30" s="53">
        <f t="shared" si="48"/>
        <v>2031</v>
      </c>
      <c r="C30" s="55">
        <f>INDEX('Table 7'!$H$57:$H$82,MATCH($B30,'Table 7'!$B$57:$B$82,0))</f>
        <v>152.08000000000001</v>
      </c>
      <c r="D30" s="55">
        <f>INDEX('Table 7'!$H$12:$H$29,MATCH($B30,'Table 7'!$B$12:$B$29,0))</f>
        <v>152.44</v>
      </c>
      <c r="E30" s="55">
        <f t="shared" si="49"/>
        <v>0</v>
      </c>
      <c r="F30" s="56">
        <f>ROUND(E30/(8.76*'Table 7'!$D$115),2)</f>
        <v>0</v>
      </c>
      <c r="G30" s="55"/>
      <c r="H30" s="53">
        <f t="shared" si="24"/>
        <v>2031</v>
      </c>
      <c r="I30" s="83">
        <f>INDEX('Table 8'!E:E,MATCH('Tables 3 to 5'!$H30,'Table 8'!B:B,0))</f>
        <v>5.45</v>
      </c>
      <c r="J30" s="83">
        <f>I30*'Table 7'!$K$95/1000</f>
        <v>36.133499999999998</v>
      </c>
      <c r="K30" s="83">
        <f t="shared" si="50"/>
        <v>0</v>
      </c>
      <c r="L30" s="101">
        <f t="shared" si="51"/>
        <v>36.133499999999998</v>
      </c>
      <c r="M30" s="55"/>
      <c r="N30" s="53">
        <f t="shared" si="27"/>
        <v>2031</v>
      </c>
      <c r="O30" s="55">
        <f t="shared" si="28"/>
        <v>152.44</v>
      </c>
      <c r="P30" s="83">
        <f>ROUND(O30/(8.76*'Table 7'!$D$116*0.56),2)</f>
        <v>31.07</v>
      </c>
      <c r="Q30" s="83">
        <f t="shared" si="52"/>
        <v>36.133499999999998</v>
      </c>
      <c r="R30" s="83">
        <f t="shared" si="29"/>
        <v>36.133499999999998</v>
      </c>
      <c r="S30" s="83">
        <f t="shared" si="53"/>
        <v>67.203499999999991</v>
      </c>
      <c r="T30" s="101">
        <f t="shared" si="54"/>
        <v>36.133499999999998</v>
      </c>
      <c r="U30" s="55"/>
      <c r="V30" s="53">
        <f t="shared" si="31"/>
        <v>2031</v>
      </c>
      <c r="W30" s="83">
        <f>P30*'Table 2B Wind'!Capacity_Contr_Wind</f>
        <v>4.5051499999999995</v>
      </c>
      <c r="X30" s="83">
        <f t="shared" si="32"/>
        <v>36.133499999999998</v>
      </c>
      <c r="Y30" s="83">
        <f t="shared" si="33"/>
        <v>36.133499999999998</v>
      </c>
      <c r="Z30" s="83">
        <f>INDEX('Table 10'!$E:$E,MATCH($N30,'Table 10'!$B:$B,0))</f>
        <v>3.4</v>
      </c>
      <c r="AA30" s="83">
        <f t="shared" si="34"/>
        <v>37.23865</v>
      </c>
      <c r="AB30" s="101">
        <f t="shared" si="35"/>
        <v>32.733499999999999</v>
      </c>
      <c r="AC30" s="55"/>
      <c r="AD30" s="53">
        <f t="shared" si="36"/>
        <v>2031</v>
      </c>
      <c r="AE30" s="83">
        <f>P30*'Table 2C SolarFixed'!Capacity_Contr_Solar_Fixed</f>
        <v>10.59487</v>
      </c>
      <c r="AF30" s="83">
        <f t="shared" si="37"/>
        <v>36.133499999999998</v>
      </c>
      <c r="AG30" s="83">
        <f t="shared" si="38"/>
        <v>36.133499999999998</v>
      </c>
      <c r="AH30" s="83">
        <f t="shared" si="39"/>
        <v>2.83</v>
      </c>
      <c r="AI30" s="83">
        <f t="shared" si="40"/>
        <v>43.89837</v>
      </c>
      <c r="AJ30" s="101">
        <f t="shared" si="41"/>
        <v>33.3035</v>
      </c>
      <c r="AK30" s="55"/>
      <c r="AL30" s="53">
        <f t="shared" si="42"/>
        <v>2031</v>
      </c>
      <c r="AM30" s="83">
        <f>P30*'Table 2D SolarTracking'!Capacity_Contr_Solar_Tracking</f>
        <v>12.14837</v>
      </c>
      <c r="AN30" s="83">
        <f t="shared" si="43"/>
        <v>36.133499999999998</v>
      </c>
      <c r="AO30" s="83">
        <f t="shared" si="44"/>
        <v>36.133499999999998</v>
      </c>
      <c r="AP30" s="83">
        <f t="shared" si="45"/>
        <v>2.1800000000000002</v>
      </c>
      <c r="AQ30" s="83">
        <f t="shared" si="46"/>
        <v>46.101869999999998</v>
      </c>
      <c r="AR30" s="101">
        <f t="shared" si="47"/>
        <v>33.953499999999998</v>
      </c>
    </row>
    <row r="31" spans="2:45" x14ac:dyDescent="0.2">
      <c r="B31" s="53">
        <f t="shared" si="48"/>
        <v>2032</v>
      </c>
      <c r="C31" s="55">
        <f>INDEX('Table 7'!$H$57:$H$82,MATCH($B31,'Table 7'!$B$57:$B$82,0))</f>
        <v>155.44</v>
      </c>
      <c r="D31" s="55">
        <f>INDEX('Table 7'!$H$12:$H$29,MATCH($B31,'Table 7'!$B$12:$B$29,0))</f>
        <v>155.79</v>
      </c>
      <c r="E31" s="55">
        <f t="shared" si="49"/>
        <v>0</v>
      </c>
      <c r="F31" s="56">
        <f>ROUND(E31/(8.76*'Table 7'!$D$115),2)</f>
        <v>0</v>
      </c>
      <c r="G31" s="55"/>
      <c r="H31" s="53">
        <f t="shared" si="24"/>
        <v>2032</v>
      </c>
      <c r="I31" s="83">
        <f>INDEX('Table 8'!E:E,MATCH('Tables 3 to 5'!$H31,'Table 8'!B:B,0))</f>
        <v>5.6</v>
      </c>
      <c r="J31" s="83">
        <f>I31*'Table 7'!$K$95/1000</f>
        <v>37.128</v>
      </c>
      <c r="K31" s="83">
        <f t="shared" si="50"/>
        <v>0</v>
      </c>
      <c r="L31" s="101">
        <f t="shared" si="51"/>
        <v>37.128</v>
      </c>
      <c r="M31" s="55"/>
      <c r="N31" s="53">
        <f t="shared" si="27"/>
        <v>2032</v>
      </c>
      <c r="O31" s="55">
        <f t="shared" si="28"/>
        <v>155.79</v>
      </c>
      <c r="P31" s="83">
        <f>ROUND(O31/(8.76*'Table 7'!$D$116*0.56),2)</f>
        <v>31.76</v>
      </c>
      <c r="Q31" s="83">
        <f t="shared" si="52"/>
        <v>37.128</v>
      </c>
      <c r="R31" s="83">
        <f t="shared" si="29"/>
        <v>37.128</v>
      </c>
      <c r="S31" s="83">
        <f t="shared" si="53"/>
        <v>68.888000000000005</v>
      </c>
      <c r="T31" s="101">
        <f t="shared" si="54"/>
        <v>37.128</v>
      </c>
      <c r="U31" s="55"/>
      <c r="V31" s="53">
        <f t="shared" si="31"/>
        <v>2032</v>
      </c>
      <c r="W31" s="83">
        <f>P31*'Table 2B Wind'!Capacity_Contr_Wind</f>
        <v>4.6052</v>
      </c>
      <c r="X31" s="83">
        <f t="shared" si="32"/>
        <v>37.128</v>
      </c>
      <c r="Y31" s="83">
        <f t="shared" si="33"/>
        <v>37.128</v>
      </c>
      <c r="Z31" s="83">
        <f>INDEX('Table 10'!$E:$E,MATCH($N31,'Table 10'!$B:$B,0))</f>
        <v>3.7</v>
      </c>
      <c r="AA31" s="83">
        <f t="shared" si="34"/>
        <v>38.033199999999994</v>
      </c>
      <c r="AB31" s="101">
        <f t="shared" si="35"/>
        <v>33.427999999999997</v>
      </c>
      <c r="AC31" s="55"/>
      <c r="AD31" s="53">
        <f t="shared" si="36"/>
        <v>2032</v>
      </c>
      <c r="AE31" s="83">
        <f>P31*'Table 2C SolarFixed'!Capacity_Contr_Solar_Fixed</f>
        <v>10.830160000000001</v>
      </c>
      <c r="AF31" s="83">
        <f t="shared" si="37"/>
        <v>37.128</v>
      </c>
      <c r="AG31" s="83">
        <f t="shared" si="38"/>
        <v>37.128</v>
      </c>
      <c r="AH31" s="83">
        <f t="shared" si="39"/>
        <v>2.83</v>
      </c>
      <c r="AI31" s="83">
        <f t="shared" si="40"/>
        <v>45.128160000000001</v>
      </c>
      <c r="AJ31" s="101">
        <f t="shared" si="41"/>
        <v>34.298000000000002</v>
      </c>
      <c r="AK31" s="55"/>
      <c r="AL31" s="53">
        <f t="shared" si="42"/>
        <v>2032</v>
      </c>
      <c r="AM31" s="83">
        <f>P31*'Table 2D SolarTracking'!Capacity_Contr_Solar_Tracking</f>
        <v>12.41816</v>
      </c>
      <c r="AN31" s="83">
        <f t="shared" si="43"/>
        <v>37.128</v>
      </c>
      <c r="AO31" s="83">
        <f t="shared" si="44"/>
        <v>37.128</v>
      </c>
      <c r="AP31" s="83">
        <f t="shared" si="45"/>
        <v>2.1800000000000002</v>
      </c>
      <c r="AQ31" s="83">
        <f t="shared" si="46"/>
        <v>47.366160000000001</v>
      </c>
      <c r="AR31" s="101">
        <f t="shared" si="47"/>
        <v>34.948</v>
      </c>
    </row>
    <row r="32" spans="2:45" x14ac:dyDescent="0.2">
      <c r="B32" s="57">
        <f t="shared" si="48"/>
        <v>2033</v>
      </c>
      <c r="C32" s="59">
        <f>INDEX('Table 7'!$H$57:$H$82,MATCH($B32,'Table 7'!$B$57:$B$82,0))</f>
        <v>158.86000000000001</v>
      </c>
      <c r="D32" s="59">
        <f>INDEX('Table 7'!$H$12:$H$29,MATCH($B32,'Table 7'!$B$12:$B$29,0))</f>
        <v>159.22999999999999</v>
      </c>
      <c r="E32" s="59">
        <f t="shared" si="49"/>
        <v>0</v>
      </c>
      <c r="F32" s="60">
        <f>ROUND(E32/(8.76*'Table 7'!$D$115),2)</f>
        <v>0</v>
      </c>
      <c r="G32" s="55"/>
      <c r="H32" s="57">
        <f t="shared" si="24"/>
        <v>2033</v>
      </c>
      <c r="I32" s="102">
        <f>INDEX('Table 8'!E:E,MATCH('Tables 3 to 5'!$H32,'Table 8'!B:B,0))</f>
        <v>5.79</v>
      </c>
      <c r="J32" s="102">
        <f>I32*'Table 7'!$K$95/1000</f>
        <v>38.387699999999995</v>
      </c>
      <c r="K32" s="102">
        <f t="shared" si="50"/>
        <v>0</v>
      </c>
      <c r="L32" s="103">
        <f t="shared" si="51"/>
        <v>38.387699999999995</v>
      </c>
      <c r="M32" s="55"/>
      <c r="N32" s="57">
        <f t="shared" si="27"/>
        <v>2033</v>
      </c>
      <c r="O32" s="59">
        <f t="shared" si="28"/>
        <v>159.22999999999999</v>
      </c>
      <c r="P32" s="102">
        <f>ROUND(O32/(8.76*'Table 7'!$D$116*0.56),2)</f>
        <v>32.46</v>
      </c>
      <c r="Q32" s="102">
        <f t="shared" si="52"/>
        <v>38.387699999999995</v>
      </c>
      <c r="R32" s="102">
        <f t="shared" si="29"/>
        <v>38.387699999999995</v>
      </c>
      <c r="S32" s="102">
        <f t="shared" si="53"/>
        <v>70.847700000000003</v>
      </c>
      <c r="T32" s="103">
        <f t="shared" si="54"/>
        <v>38.387699999999995</v>
      </c>
      <c r="U32" s="55"/>
      <c r="V32" s="57">
        <f t="shared" si="31"/>
        <v>2033</v>
      </c>
      <c r="W32" s="102">
        <f>P32*'Table 2B Wind'!Capacity_Contr_Wind</f>
        <v>4.7066999999999997</v>
      </c>
      <c r="X32" s="102">
        <f t="shared" si="32"/>
        <v>38.387699999999995</v>
      </c>
      <c r="Y32" s="102">
        <f t="shared" si="33"/>
        <v>38.387699999999995</v>
      </c>
      <c r="Z32" s="102">
        <f>INDEX('Table 10'!$E:$E,MATCH($N32,'Table 10'!$B:$B,0))</f>
        <v>3.26</v>
      </c>
      <c r="AA32" s="102">
        <f t="shared" si="34"/>
        <v>39.834399999999995</v>
      </c>
      <c r="AB32" s="103">
        <f t="shared" si="35"/>
        <v>35.127699999999997</v>
      </c>
      <c r="AC32" s="55"/>
      <c r="AD32" s="57">
        <f t="shared" si="36"/>
        <v>2033</v>
      </c>
      <c r="AE32" s="102">
        <f>P32*'Table 2C SolarFixed'!Capacity_Contr_Solar_Fixed</f>
        <v>11.068860000000001</v>
      </c>
      <c r="AF32" s="102">
        <f t="shared" si="37"/>
        <v>38.387699999999995</v>
      </c>
      <c r="AG32" s="102">
        <f t="shared" si="38"/>
        <v>38.387699999999995</v>
      </c>
      <c r="AH32" s="102">
        <f t="shared" si="39"/>
        <v>2.83</v>
      </c>
      <c r="AI32" s="102">
        <f t="shared" si="40"/>
        <v>46.626559999999998</v>
      </c>
      <c r="AJ32" s="103">
        <f t="shared" si="41"/>
        <v>35.557699999999997</v>
      </c>
      <c r="AK32" s="55"/>
      <c r="AL32" s="57">
        <f t="shared" si="42"/>
        <v>2033</v>
      </c>
      <c r="AM32" s="102">
        <f>P32*'Table 2D SolarTracking'!Capacity_Contr_Solar_Tracking</f>
        <v>12.69186</v>
      </c>
      <c r="AN32" s="102">
        <f t="shared" si="43"/>
        <v>38.387699999999995</v>
      </c>
      <c r="AO32" s="102">
        <f t="shared" si="44"/>
        <v>38.387699999999995</v>
      </c>
      <c r="AP32" s="102">
        <f t="shared" si="45"/>
        <v>2.1800000000000002</v>
      </c>
      <c r="AQ32" s="102">
        <f t="shared" si="46"/>
        <v>48.899559999999994</v>
      </c>
      <c r="AR32" s="103">
        <f t="shared" si="47"/>
        <v>36.207699999999996</v>
      </c>
    </row>
    <row r="33" spans="2:44" hidden="1" x14ac:dyDescent="0.2">
      <c r="B33" s="53"/>
      <c r="C33" s="55"/>
      <c r="D33" s="55"/>
      <c r="E33" s="55"/>
      <c r="F33" s="56"/>
      <c r="G33" s="55"/>
      <c r="H33" s="53"/>
      <c r="I33" s="83"/>
      <c r="J33" s="83"/>
      <c r="K33" s="83"/>
      <c r="L33" s="101"/>
      <c r="M33" s="55"/>
      <c r="N33" s="53"/>
      <c r="O33" s="55"/>
      <c r="P33" s="83"/>
      <c r="Q33" s="83"/>
      <c r="R33" s="83"/>
      <c r="S33" s="83"/>
      <c r="T33" s="101"/>
      <c r="U33" s="55"/>
      <c r="V33" s="53"/>
      <c r="W33" s="83"/>
      <c r="X33" s="83"/>
      <c r="Y33" s="83"/>
      <c r="Z33" s="83"/>
      <c r="AA33" s="83"/>
      <c r="AB33" s="101"/>
      <c r="AC33" s="55"/>
      <c r="AD33" s="53"/>
      <c r="AE33" s="83"/>
      <c r="AF33" s="83"/>
      <c r="AG33" s="83"/>
      <c r="AH33" s="83"/>
      <c r="AI33" s="83"/>
      <c r="AJ33" s="101"/>
      <c r="AK33" s="55"/>
      <c r="AL33" s="53"/>
      <c r="AM33" s="83"/>
      <c r="AN33" s="83"/>
      <c r="AO33" s="83"/>
      <c r="AP33" s="83"/>
      <c r="AQ33" s="83"/>
      <c r="AR33" s="101"/>
    </row>
    <row r="34" spans="2:44" hidden="1" x14ac:dyDescent="0.2">
      <c r="B34" s="53"/>
      <c r="C34" s="55"/>
      <c r="D34" s="55"/>
      <c r="E34" s="55"/>
      <c r="F34" s="56"/>
      <c r="G34" s="55"/>
      <c r="H34" s="53"/>
      <c r="I34" s="83"/>
      <c r="J34" s="83"/>
      <c r="K34" s="83"/>
      <c r="L34" s="101"/>
      <c r="M34" s="55"/>
      <c r="N34" s="53"/>
      <c r="O34" s="55"/>
      <c r="P34" s="83"/>
      <c r="Q34" s="83"/>
      <c r="R34" s="83"/>
      <c r="S34" s="83"/>
      <c r="T34" s="101"/>
      <c r="U34" s="55"/>
      <c r="V34" s="53"/>
      <c r="W34" s="83"/>
      <c r="X34" s="83"/>
      <c r="Y34" s="83"/>
      <c r="Z34" s="83"/>
      <c r="AA34" s="83"/>
      <c r="AB34" s="101"/>
      <c r="AC34" s="55"/>
      <c r="AD34" s="53"/>
      <c r="AE34" s="83"/>
      <c r="AF34" s="83"/>
      <c r="AG34" s="83"/>
      <c r="AH34" s="83"/>
      <c r="AI34" s="83"/>
      <c r="AJ34" s="101"/>
      <c r="AK34" s="55"/>
      <c r="AL34" s="53"/>
      <c r="AM34" s="83"/>
      <c r="AN34" s="83"/>
      <c r="AO34" s="83"/>
      <c r="AP34" s="83"/>
      <c r="AQ34" s="83"/>
      <c r="AR34" s="101"/>
    </row>
    <row r="35" spans="2:44" hidden="1" x14ac:dyDescent="0.2">
      <c r="B35" s="53"/>
      <c r="C35" s="55"/>
      <c r="D35" s="55"/>
      <c r="E35" s="55"/>
      <c r="F35" s="56"/>
      <c r="G35" s="55"/>
      <c r="H35" s="53"/>
      <c r="I35" s="83"/>
      <c r="J35" s="83"/>
      <c r="K35" s="83"/>
      <c r="L35" s="101"/>
      <c r="M35" s="55"/>
      <c r="N35" s="53"/>
      <c r="O35" s="55"/>
      <c r="P35" s="83"/>
      <c r="Q35" s="83"/>
      <c r="R35" s="83"/>
      <c r="S35" s="83"/>
      <c r="T35" s="101"/>
      <c r="U35" s="55"/>
      <c r="V35" s="53"/>
      <c r="W35" s="83"/>
      <c r="X35" s="83"/>
      <c r="Y35" s="83"/>
      <c r="Z35" s="83"/>
      <c r="AA35" s="83"/>
      <c r="AB35" s="101"/>
      <c r="AC35" s="55"/>
      <c r="AD35" s="53"/>
      <c r="AE35" s="83"/>
      <c r="AF35" s="83"/>
      <c r="AG35" s="83"/>
      <c r="AH35" s="83"/>
      <c r="AI35" s="83"/>
      <c r="AJ35" s="101"/>
      <c r="AK35" s="55"/>
      <c r="AL35" s="53"/>
      <c r="AM35" s="83"/>
      <c r="AN35" s="83"/>
      <c r="AO35" s="83"/>
      <c r="AP35" s="83"/>
      <c r="AQ35" s="83"/>
      <c r="AR35" s="101"/>
    </row>
    <row r="36" spans="2:44" hidden="1" x14ac:dyDescent="0.2">
      <c r="B36" s="53"/>
      <c r="C36" s="55"/>
      <c r="D36" s="55"/>
      <c r="E36" s="55"/>
      <c r="F36" s="56"/>
      <c r="G36" s="55"/>
      <c r="H36" s="53"/>
      <c r="I36" s="83"/>
      <c r="J36" s="83"/>
      <c r="K36" s="83"/>
      <c r="L36" s="101"/>
      <c r="M36" s="55"/>
      <c r="N36" s="53"/>
      <c r="O36" s="55"/>
      <c r="P36" s="83"/>
      <c r="Q36" s="83"/>
      <c r="R36" s="83"/>
      <c r="S36" s="83"/>
      <c r="T36" s="101"/>
      <c r="U36" s="55"/>
      <c r="V36" s="53"/>
      <c r="W36" s="83"/>
      <c r="X36" s="83"/>
      <c r="Y36" s="83"/>
      <c r="Z36" s="83"/>
      <c r="AA36" s="83"/>
      <c r="AB36" s="101"/>
      <c r="AC36" s="55"/>
      <c r="AD36" s="53"/>
      <c r="AE36" s="83"/>
      <c r="AF36" s="83"/>
      <c r="AG36" s="83"/>
      <c r="AH36" s="83"/>
      <c r="AI36" s="83"/>
      <c r="AJ36" s="101"/>
      <c r="AK36" s="55"/>
      <c r="AL36" s="53"/>
      <c r="AM36" s="83"/>
      <c r="AN36" s="83"/>
      <c r="AO36" s="83"/>
      <c r="AP36" s="83"/>
      <c r="AQ36" s="83"/>
      <c r="AR36" s="101"/>
    </row>
    <row r="37" spans="2:44" hidden="1" x14ac:dyDescent="0.2">
      <c r="B37" s="53"/>
      <c r="C37" s="55"/>
      <c r="D37" s="55"/>
      <c r="E37" s="55"/>
      <c r="F37" s="56"/>
      <c r="G37" s="55"/>
      <c r="H37" s="53"/>
      <c r="I37" s="83"/>
      <c r="J37" s="83"/>
      <c r="K37" s="83"/>
      <c r="L37" s="101"/>
      <c r="M37" s="55"/>
      <c r="N37" s="53"/>
      <c r="O37" s="55"/>
      <c r="P37" s="83"/>
      <c r="Q37" s="83"/>
      <c r="R37" s="83"/>
      <c r="S37" s="83"/>
      <c r="T37" s="101"/>
      <c r="U37" s="55"/>
      <c r="V37" s="53"/>
      <c r="W37" s="83"/>
      <c r="X37" s="83"/>
      <c r="Y37" s="83"/>
      <c r="Z37" s="83"/>
      <c r="AA37" s="83"/>
      <c r="AB37" s="101"/>
      <c r="AC37" s="55"/>
      <c r="AD37" s="53"/>
      <c r="AE37" s="83"/>
      <c r="AF37" s="83"/>
      <c r="AG37" s="83"/>
      <c r="AH37" s="83"/>
      <c r="AI37" s="83"/>
      <c r="AJ37" s="101"/>
      <c r="AK37" s="55"/>
      <c r="AL37" s="53"/>
      <c r="AM37" s="83"/>
      <c r="AN37" s="83"/>
      <c r="AO37" s="83"/>
      <c r="AP37" s="83"/>
      <c r="AQ37" s="83"/>
      <c r="AR37" s="101"/>
    </row>
    <row r="38" spans="2:44" hidden="1" x14ac:dyDescent="0.2">
      <c r="B38" s="57"/>
      <c r="C38" s="59"/>
      <c r="D38" s="59"/>
      <c r="E38" s="59"/>
      <c r="F38" s="60"/>
      <c r="G38" s="55"/>
      <c r="H38" s="57"/>
      <c r="I38" s="102"/>
      <c r="J38" s="102"/>
      <c r="K38" s="102"/>
      <c r="L38" s="103"/>
      <c r="M38" s="55"/>
      <c r="N38" s="57"/>
      <c r="O38" s="59"/>
      <c r="P38" s="102"/>
      <c r="Q38" s="102"/>
      <c r="R38" s="102"/>
      <c r="S38" s="102"/>
      <c r="T38" s="103"/>
      <c r="U38" s="55"/>
      <c r="V38" s="57"/>
      <c r="W38" s="102"/>
      <c r="X38" s="102"/>
      <c r="Y38" s="102"/>
      <c r="Z38" s="102"/>
      <c r="AA38" s="102"/>
      <c r="AB38" s="103"/>
      <c r="AC38" s="55"/>
      <c r="AD38" s="57"/>
      <c r="AE38" s="102"/>
      <c r="AF38" s="102"/>
      <c r="AG38" s="102"/>
      <c r="AH38" s="102"/>
      <c r="AI38" s="102"/>
      <c r="AJ38" s="103"/>
      <c r="AK38" s="55"/>
      <c r="AL38" s="57"/>
      <c r="AM38" s="102"/>
      <c r="AN38" s="102"/>
      <c r="AO38" s="102"/>
      <c r="AP38" s="102"/>
      <c r="AQ38" s="102"/>
      <c r="AR38" s="103"/>
    </row>
    <row r="40" spans="2:44" x14ac:dyDescent="0.2">
      <c r="B40" s="35" t="s">
        <v>18</v>
      </c>
      <c r="H40" s="35" t="s">
        <v>18</v>
      </c>
      <c r="N40" s="35" t="s">
        <v>18</v>
      </c>
      <c r="V40" s="35" t="s">
        <v>18</v>
      </c>
      <c r="AD40" s="35" t="s">
        <v>18</v>
      </c>
      <c r="AL40" s="35" t="s">
        <v>18</v>
      </c>
    </row>
    <row r="41" spans="2:44" x14ac:dyDescent="0.2">
      <c r="B41" s="84" t="str">
        <f>C9</f>
        <v>(a)</v>
      </c>
      <c r="C41" s="106" t="str">
        <f>"  "&amp;'Table 7'!$B$1&amp;"  Column "&amp;'Table 7'!$H$7</f>
        <v xml:space="preserve">  Table 7  Column (f)</v>
      </c>
      <c r="H41" s="84" t="str">
        <f>I9</f>
        <v>(a)</v>
      </c>
      <c r="I41" s="35" t="str">
        <f>"  "&amp;'Table 7'!$B$1&amp;"  Column "&amp;'Table 7'!$I$52</f>
        <v xml:space="preserve">  Table 7  Column (g)</v>
      </c>
      <c r="N41" s="105" t="str">
        <f>O9</f>
        <v>(a)</v>
      </c>
      <c r="O41" s="37" t="str">
        <f>"  "&amp;$B$1&amp;"  Column "&amp;$D$9&amp;" + "&amp;$B$1&amp;"  Column "&amp;$E$9</f>
        <v xml:space="preserve">  Table 3  Column (b) + Table 3  Column (c)</v>
      </c>
      <c r="R41" s="37"/>
      <c r="V41" s="105" t="str">
        <f>W9</f>
        <v>(a)</v>
      </c>
      <c r="W41" s="35" t="str">
        <f>"  "&amp;$N$1&amp;"  Column "&amp;$P$9&amp;" multiplied by Capacity Contribution of "&amp;TEXT('Table 2B Wind'!Capacity_Contr_Wind,"0.0%")</f>
        <v xml:space="preserve">  Table 5a  Column (b) multiplied by Capacity Contribution of 14.5%</v>
      </c>
      <c r="Y41" s="37"/>
      <c r="Z41" s="37"/>
      <c r="AD41" s="105" t="str">
        <f>AE9</f>
        <v>(a)</v>
      </c>
      <c r="AE41" s="35" t="str">
        <f>"  "&amp;$N$1&amp;"  Column "&amp;$P$9&amp;" multiplied by Capacity Contribution of "&amp;TEXT('Table 2C SolarFixed'!Capacity_Contr_Solar_Fixed,"0.0%")</f>
        <v xml:space="preserve">  Table 5a  Column (b) multiplied by Capacity Contribution of 34.1%</v>
      </c>
      <c r="AG41" s="37"/>
      <c r="AH41" s="37"/>
      <c r="AL41" s="105" t="s">
        <v>19</v>
      </c>
      <c r="AM41" s="35" t="str">
        <f>"  "&amp;$N$1&amp;"  Column "&amp;$P$9&amp;" multiplied by Capacity Contribution of "&amp;TEXT('Table 2D SolarTracking'!Capacity_Contr_Solar_Tracking,"0.0%")</f>
        <v xml:space="preserve">  Table 5a  Column (b) multiplied by Capacity Contribution of 39.1%</v>
      </c>
      <c r="AO41" s="37"/>
      <c r="AP41" s="37"/>
    </row>
    <row r="42" spans="2:44" x14ac:dyDescent="0.2">
      <c r="B42" s="84" t="str">
        <f>D9</f>
        <v>(b)</v>
      </c>
      <c r="C42" s="106" t="str">
        <f>C41</f>
        <v xml:space="preserve">  Table 7  Column (f)</v>
      </c>
      <c r="H42" s="84" t="str">
        <f>J9</f>
        <v>(b)</v>
      </c>
      <c r="I42" s="35" t="str">
        <f>"  "&amp;'Table 7'!$B$1&amp;"  Column "&amp;'Table 7'!K52&amp;" Heat rate "&amp;TEXT('Table 7'!$K$95/1000,"?.000")&amp;" MMBtu/MWh"</f>
        <v xml:space="preserve">  Table 7  Column (i) Heat rate 6.630 MMBtu/MWh</v>
      </c>
      <c r="N42" s="105" t="str">
        <f>P9</f>
        <v>(b)</v>
      </c>
      <c r="O42" s="35" t="str">
        <f>"  "&amp;'Table 7'!B1&amp;"   "&amp;TEXT('Table 7'!$D$116,"0.0%")&amp;" is the on-peak capacity factor of the proxy resource"</f>
        <v xml:space="preserve">  Table 7   100.0% is the on-peak capacity factor of the proxy resource</v>
      </c>
      <c r="V42" s="105" t="str">
        <f>X9</f>
        <v>(b)</v>
      </c>
      <c r="W42" s="35" t="str">
        <f>"  "&amp;$N$1&amp;"  Column "&amp;$Q$9</f>
        <v xml:space="preserve">  Table 5a  Column (c)</v>
      </c>
      <c r="AD42" s="105" t="str">
        <f>AF9</f>
        <v>(b)</v>
      </c>
      <c r="AE42" s="35" t="str">
        <f>"  "&amp;$N$1&amp;"  Column "&amp;$Q$9</f>
        <v xml:space="preserve">  Table 5a  Column (c)</v>
      </c>
      <c r="AL42" s="105" t="str">
        <f>AN9</f>
        <v>(b)</v>
      </c>
      <c r="AM42" s="35" t="str">
        <f>"  "&amp;$N$1&amp;"  Column "&amp;$Q$9</f>
        <v xml:space="preserve">  Table 5a  Column (c)</v>
      </c>
    </row>
    <row r="43" spans="2:44" x14ac:dyDescent="0.2">
      <c r="B43" s="84" t="str">
        <f>E9</f>
        <v>(c)</v>
      </c>
      <c r="C43" s="106" t="s">
        <v>128</v>
      </c>
      <c r="H43" s="84" t="str">
        <f>K9</f>
        <v>(c)</v>
      </c>
      <c r="I43" s="35" t="str">
        <f>"  "&amp;$B$1&amp;"  Column "&amp;$F$9</f>
        <v xml:space="preserve">  Table 3  Column (d)</v>
      </c>
      <c r="N43" s="105" t="str">
        <f>Q9</f>
        <v>(c)</v>
      </c>
      <c r="O43" s="35" t="str">
        <f>"  On-Peak Avoided Energy values  for "&amp;N13&amp;"-"&amp;MAX(N15:N26)&amp;" -  from "&amp;'Table 2A BaseLoad'!$A$1</f>
        <v xml:space="preserve">  On-Peak Avoided Energy values  for 2016-2027 -  from Table 2A</v>
      </c>
      <c r="V43" s="105" t="str">
        <f>Y9</f>
        <v>(c)</v>
      </c>
      <c r="W43" s="35" t="str">
        <f>"  "&amp;$N$1&amp;"  Column "&amp;$R$9</f>
        <v xml:space="preserve">  Table 5a  Column (d)</v>
      </c>
      <c r="AD43" s="105" t="str">
        <f>AG9</f>
        <v>(c)</v>
      </c>
      <c r="AE43" s="35" t="str">
        <f>"  "&amp;$N$1&amp;"  Column "&amp;$R$9</f>
        <v xml:space="preserve">  Table 5a  Column (d)</v>
      </c>
      <c r="AL43" s="105" t="str">
        <f>AO9</f>
        <v>(c)</v>
      </c>
      <c r="AM43" s="35" t="str">
        <f>"  "&amp;$N$1&amp;"  Column "&amp;$R$9</f>
        <v xml:space="preserve">  Table 5a  Column (d)</v>
      </c>
    </row>
    <row r="44" spans="2:44" x14ac:dyDescent="0.2">
      <c r="C44" s="35" t="s">
        <v>309</v>
      </c>
      <c r="H44" s="86" t="str">
        <f>L9</f>
        <v>(d)</v>
      </c>
      <c r="I44" s="35" t="str">
        <f>"  For "&amp;H13&amp;"-"&amp;MAX(H15:H26)&amp;" - "&amp;'Table 2A BaseLoad'!A1</f>
        <v xml:space="preserve">  For 2016-2027 - Table 2A</v>
      </c>
      <c r="N44" s="105" t="str">
        <f>R9</f>
        <v>(d)</v>
      </c>
      <c r="O44" s="35" t="str">
        <f>"  "&amp;$H$1&amp;"  Column "&amp;$L$9</f>
        <v xml:space="preserve">  Table 4  Column (d)</v>
      </c>
      <c r="V44" s="105" t="str">
        <f>Z9</f>
        <v>(d)</v>
      </c>
      <c r="W44" s="35" t="str">
        <f>"  "&amp;'Table 10'!$B$1&amp;"  Column (c)"</f>
        <v xml:space="preserve">  Table 10  Column (c)</v>
      </c>
      <c r="AD44" s="105" t="str">
        <f>AH9</f>
        <v>(d)</v>
      </c>
      <c r="AE44" s="35" t="str">
        <f>"  "&amp;'Table 10'!$B$1&amp;"  Column (c)"</f>
        <v xml:space="preserve">  Table 10  Column (c)</v>
      </c>
      <c r="AL44" s="105" t="str">
        <f>AP9</f>
        <v>(d)</v>
      </c>
      <c r="AM44" s="35" t="str">
        <f>"  "&amp;'Table 10'!$B$1&amp;"  Column (c)"</f>
        <v xml:space="preserve">  Table 10  Column (c)</v>
      </c>
    </row>
    <row r="45" spans="2:44" x14ac:dyDescent="0.2">
      <c r="B45" s="84" t="str">
        <f>F9</f>
        <v>(d)</v>
      </c>
      <c r="C45" s="106" t="str">
        <f>"  "&amp;TEXT('Table 7'!$D$115,"0.0%")&amp;" CCCT energy weighted capacity factor - "&amp;'Table 7'!$B$1&amp;" page 3"</f>
        <v xml:space="preserve">  69.5% CCCT energy weighted capacity factor - Table 7 page 3</v>
      </c>
      <c r="H45" s="86"/>
      <c r="V45" s="105"/>
      <c r="AD45" s="105"/>
      <c r="AL45" s="105"/>
    </row>
    <row r="46" spans="2:44" hidden="1" x14ac:dyDescent="0.2">
      <c r="G46" s="35"/>
      <c r="M46" s="35"/>
      <c r="N46" s="105"/>
      <c r="U46" s="35"/>
      <c r="V46" s="105"/>
      <c r="AC46" s="35"/>
      <c r="AD46" s="105"/>
      <c r="AK46" s="35"/>
      <c r="AL46" s="105"/>
    </row>
    <row r="47" spans="2:44" hidden="1" x14ac:dyDescent="0.2">
      <c r="N47" s="105"/>
      <c r="V47" s="105"/>
      <c r="AD47" s="105"/>
      <c r="AL47" s="105"/>
    </row>
    <row r="48" spans="2:44" x14ac:dyDescent="0.2">
      <c r="N48" s="105"/>
      <c r="V48" s="105"/>
      <c r="AD48" s="105"/>
      <c r="AL48" s="105"/>
    </row>
    <row r="49" spans="14:38" x14ac:dyDescent="0.2">
      <c r="N49" s="105"/>
      <c r="V49" s="105"/>
      <c r="AD49" s="105"/>
      <c r="AL49" s="105"/>
    </row>
    <row r="50" spans="14:38" x14ac:dyDescent="0.2">
      <c r="N50" s="105"/>
      <c r="V50" s="105"/>
      <c r="AD50" s="105"/>
      <c r="AL50" s="105"/>
    </row>
    <row r="51" spans="14:38" x14ac:dyDescent="0.2">
      <c r="N51" s="105"/>
      <c r="V51" s="105"/>
      <c r="AD51" s="105"/>
      <c r="AL51" s="105"/>
    </row>
    <row r="52" spans="14:38" x14ac:dyDescent="0.2">
      <c r="N52" s="105"/>
      <c r="V52" s="105"/>
      <c r="AD52" s="105"/>
      <c r="AL52" s="105"/>
    </row>
  </sheetData>
  <mergeCells count="4">
    <mergeCell ref="P4:T4"/>
    <mergeCell ref="W4:AB4"/>
    <mergeCell ref="AE4:AJ4"/>
    <mergeCell ref="AM4:AR4"/>
  </mergeCells>
  <phoneticPr fontId="8" type="noConversion"/>
  <printOptions horizontalCentered="1"/>
  <pageMargins left="0.25" right="0.25" top="0.75" bottom="0.75" header="0.3" footer="0.3"/>
  <pageSetup orientation="portrait" r:id="rId1"/>
  <headerFooter alignWithMargins="0">
    <oddFooter>&amp;L&amp;8NPC Group - &amp;F   ( &amp;A )&amp;C &amp;R &amp;8&amp;D  &amp;T</oddFooter>
  </headerFooter>
  <colBreaks count="5" manualBreakCount="5">
    <brk id="6" max="49" man="1"/>
    <brk id="12" max="49" man="1"/>
    <brk id="20" max="1048575" man="1"/>
    <brk id="28" max="1048575" man="1"/>
    <brk id="36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B1:V56"/>
  <sheetViews>
    <sheetView zoomScale="80" zoomScaleNormal="80" zoomScaleSheetLayoutView="90" workbookViewId="0">
      <pane xSplit="2" ySplit="4" topLeftCell="C5" activePane="bottomRight" state="frozen"/>
      <selection activeCell="D76" sqref="D76"/>
      <selection pane="topRight" activeCell="D76" sqref="D76"/>
      <selection pane="bottomLeft" activeCell="D76" sqref="D76"/>
      <selection pane="bottomRight" activeCell="K24" sqref="K24"/>
    </sheetView>
  </sheetViews>
  <sheetFormatPr defaultColWidth="9.33203125" defaultRowHeight="12.75" x14ac:dyDescent="0.2"/>
  <cols>
    <col min="1" max="1" width="1.6640625" style="213" customWidth="1"/>
    <col min="2" max="2" width="18.83203125" style="213" customWidth="1"/>
    <col min="3" max="14" width="15.33203125" style="213" customWidth="1"/>
    <col min="15" max="15" width="4.5" style="213" customWidth="1"/>
    <col min="16" max="16384" width="9.33203125" style="213"/>
  </cols>
  <sheetData>
    <row r="1" spans="2:19" s="5" customFormat="1" ht="15.75" x14ac:dyDescent="0.25">
      <c r="B1" s="1" t="s">
        <v>275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132"/>
    </row>
    <row r="2" spans="2:19" s="7" customFormat="1" ht="15" x14ac:dyDescent="0.25">
      <c r="B2" s="3" t="s">
        <v>65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132"/>
    </row>
    <row r="3" spans="2:19" s="7" customFormat="1" ht="15" x14ac:dyDescent="0.25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132"/>
    </row>
    <row r="4" spans="2:19" x14ac:dyDescent="0.2">
      <c r="C4" s="359" t="s">
        <v>236</v>
      </c>
      <c r="D4" s="360"/>
      <c r="E4" s="361"/>
      <c r="F4" s="359" t="s">
        <v>237</v>
      </c>
      <c r="G4" s="360"/>
      <c r="H4" s="361"/>
      <c r="I4" s="359" t="s">
        <v>238</v>
      </c>
      <c r="J4" s="360"/>
      <c r="K4" s="361"/>
      <c r="L4" s="359" t="s">
        <v>239</v>
      </c>
      <c r="M4" s="360"/>
      <c r="N4" s="361"/>
      <c r="O4" s="132"/>
    </row>
    <row r="5" spans="2:19" x14ac:dyDescent="0.2">
      <c r="B5" s="132"/>
      <c r="C5" s="354"/>
      <c r="D5" s="354"/>
      <c r="E5" s="354"/>
      <c r="F5" s="354"/>
      <c r="G5" s="354"/>
      <c r="H5" s="354"/>
      <c r="I5" s="354"/>
      <c r="J5" s="354"/>
      <c r="K5" s="354"/>
      <c r="L5" s="354"/>
      <c r="M5" s="354"/>
      <c r="N5" s="354"/>
      <c r="O5" s="132"/>
    </row>
    <row r="6" spans="2:19" x14ac:dyDescent="0.2">
      <c r="B6" s="355"/>
      <c r="C6" s="356" t="s">
        <v>240</v>
      </c>
      <c r="D6" s="357" t="s">
        <v>63</v>
      </c>
      <c r="E6" s="358" t="s">
        <v>28</v>
      </c>
      <c r="F6" s="356" t="s">
        <v>240</v>
      </c>
      <c r="G6" s="357" t="s">
        <v>63</v>
      </c>
      <c r="H6" s="358" t="s">
        <v>28</v>
      </c>
      <c r="I6" s="356" t="s">
        <v>240</v>
      </c>
      <c r="J6" s="357" t="s">
        <v>63</v>
      </c>
      <c r="K6" s="358" t="s">
        <v>28</v>
      </c>
      <c r="L6" s="356" t="s">
        <v>240</v>
      </c>
      <c r="M6" s="357" t="s">
        <v>63</v>
      </c>
      <c r="N6" s="358" t="s">
        <v>28</v>
      </c>
      <c r="O6" s="132"/>
    </row>
    <row r="7" spans="2:19" x14ac:dyDescent="0.2">
      <c r="B7" s="278" t="s">
        <v>2</v>
      </c>
      <c r="C7" s="280" t="s">
        <v>64</v>
      </c>
      <c r="D7" s="281" t="s">
        <v>64</v>
      </c>
      <c r="E7" s="279"/>
      <c r="F7" s="280" t="s">
        <v>64</v>
      </c>
      <c r="G7" s="281" t="s">
        <v>64</v>
      </c>
      <c r="H7" s="279"/>
      <c r="I7" s="280" t="s">
        <v>64</v>
      </c>
      <c r="J7" s="281" t="s">
        <v>64</v>
      </c>
      <c r="K7" s="279"/>
      <c r="L7" s="280" t="s">
        <v>64</v>
      </c>
      <c r="M7" s="281" t="s">
        <v>64</v>
      </c>
      <c r="N7" s="279"/>
      <c r="O7" s="132"/>
    </row>
    <row r="8" spans="2:19" x14ac:dyDescent="0.2">
      <c r="B8" s="282"/>
      <c r="C8" s="283" t="s">
        <v>100</v>
      </c>
      <c r="D8" s="284" t="s">
        <v>100</v>
      </c>
      <c r="E8" s="285" t="s">
        <v>100</v>
      </c>
      <c r="F8" s="283" t="s">
        <v>100</v>
      </c>
      <c r="G8" s="284" t="s">
        <v>100</v>
      </c>
      <c r="H8" s="285" t="s">
        <v>100</v>
      </c>
      <c r="I8" s="283" t="s">
        <v>100</v>
      </c>
      <c r="J8" s="284" t="s">
        <v>100</v>
      </c>
      <c r="K8" s="285" t="s">
        <v>100</v>
      </c>
      <c r="L8" s="283" t="s">
        <v>100</v>
      </c>
      <c r="M8" s="284" t="s">
        <v>100</v>
      </c>
      <c r="N8" s="285" t="s">
        <v>100</v>
      </c>
      <c r="O8" s="132"/>
    </row>
    <row r="9" spans="2:19" x14ac:dyDescent="0.2">
      <c r="C9" s="286" t="s">
        <v>19</v>
      </c>
      <c r="D9" s="287" t="s">
        <v>20</v>
      </c>
      <c r="E9" s="287" t="s">
        <v>21</v>
      </c>
      <c r="F9" s="288" t="s">
        <v>19</v>
      </c>
      <c r="G9" s="287" t="s">
        <v>20</v>
      </c>
      <c r="H9" s="287" t="s">
        <v>21</v>
      </c>
      <c r="I9" s="288" t="s">
        <v>19</v>
      </c>
      <c r="J9" s="287" t="s">
        <v>20</v>
      </c>
      <c r="K9" s="287" t="s">
        <v>21</v>
      </c>
      <c r="L9" s="288" t="s">
        <v>19</v>
      </c>
      <c r="M9" s="287" t="s">
        <v>20</v>
      </c>
      <c r="N9" s="287" t="s">
        <v>21</v>
      </c>
      <c r="O9" s="132"/>
    </row>
    <row r="10" spans="2:19" x14ac:dyDescent="0.2">
      <c r="C10" s="287"/>
      <c r="D10" s="287"/>
      <c r="E10" s="4" t="str">
        <f>C9&amp;" - "&amp;D9</f>
        <v>(a) - (b)</v>
      </c>
      <c r="F10" s="289"/>
      <c r="G10" s="287"/>
      <c r="H10" s="4" t="str">
        <f>F9&amp;" - "&amp;G9</f>
        <v>(a) - (b)</v>
      </c>
      <c r="I10" s="289"/>
      <c r="J10" s="287"/>
      <c r="K10" s="4" t="str">
        <f>I9&amp;" - "&amp;J9</f>
        <v>(a) - (b)</v>
      </c>
      <c r="L10" s="289"/>
      <c r="M10" s="287"/>
      <c r="N10" s="4" t="str">
        <f>L9&amp;" - "&amp;M9</f>
        <v>(a) - (b)</v>
      </c>
      <c r="O10" s="132"/>
    </row>
    <row r="11" spans="2:19" x14ac:dyDescent="0.2">
      <c r="C11" s="287"/>
      <c r="D11" s="287"/>
      <c r="E11" s="4"/>
      <c r="F11" s="289"/>
      <c r="G11" s="287"/>
      <c r="H11" s="4"/>
      <c r="I11" s="289"/>
      <c r="J11" s="287"/>
      <c r="K11" s="4"/>
      <c r="L11" s="289"/>
      <c r="M11" s="287"/>
      <c r="N11" s="4"/>
      <c r="O11" s="132"/>
    </row>
    <row r="12" spans="2:19" x14ac:dyDescent="0.2">
      <c r="B12" s="290">
        <f>'Tables 3 to 5'!B13</f>
        <v>2016</v>
      </c>
      <c r="C12" s="291">
        <f>($D$45*INDEX('Tariff Page'!$D$9:$D$32,MATCH($B12,'Tariff Page'!$B$9:$B$32,0))+$D$46*INDEX('Tariff Page'!$C$9:$C$32,MATCH($B12,'Tariff Page'!$B$9:$B$32,0))+$D$47*INDEX('Tariff Page'!$F$9:$F$32,MATCH($B12,'Tariff Page'!$B$9:$B$32,0))+$D$48*INDEX('Tariff Page'!$E$9:$E$32,MATCH($B12,'Tariff Page'!$B$9:$B$32,0)))*10</f>
        <v>18.787579908675799</v>
      </c>
      <c r="D12" s="291">
        <f>INDEX('[6]Table 6'!$C$12:$C$34,MATCH($B12,'[6]Table 6'!$B$12:$B$34,0),1)</f>
        <v>25.138210045662099</v>
      </c>
      <c r="E12" s="292">
        <f>C12-D12</f>
        <v>-6.3506301369863003</v>
      </c>
      <c r="F12" s="293">
        <f>($H$45*INDEX('Tariff Page Wind'!$D$9:$D$32,MATCH($B12,'Tariff Page Wind'!$B$9:$B$32,0))+$H$46*INDEX('Tariff Page Wind'!$C$9:$C$32,MATCH($B12,'Tariff Page Wind'!$B$9:$B$32,0))+$H$47*INDEX('Tariff Page Wind'!$F$9:$F$32,MATCH($B12,'Tariff Page Wind'!$B$9:$B$32,0))+$H$48*INDEX('Tariff Page Wind'!$E$9:$E$32,MATCH($B12,'Tariff Page Wind'!$B$9:$B$32,0)))*10</f>
        <v>16.943681264814494</v>
      </c>
      <c r="G12" s="291">
        <f>INDEX('[6]Table 6'!$F$12:$F$34,MATCH($B12,'[6]Table 6'!$B$12:$B$34,0),1)</f>
        <v>22.865350705186025</v>
      </c>
      <c r="H12" s="292">
        <f>F12-G12</f>
        <v>-5.9216694403715309</v>
      </c>
      <c r="I12" s="293">
        <f>($K$45*INDEX('Tariff Page Solar Fixed'!$D$9:$D$32,MATCH($B12,'Tariff Page Solar Fixed'!$B$9:$B$32,0))+$K$46*INDEX('Tariff Page Solar Fixed'!$C$9:$C$32,MATCH($B12,'Tariff Page Solar Fixed'!$B$9:$B$32,0))+$K$47*INDEX('Tariff Page Solar Fixed'!$F$9:$F$32,MATCH($B12,'Tariff Page Solar Fixed'!$B$9:$B$32,0))+$K$48*INDEX('Tariff Page Solar Fixed'!$E$9:$E$32,MATCH($B12,'Tariff Page Solar Fixed'!$B$9:$B$32,0)))*10</f>
        <v>17.20221651679973</v>
      </c>
      <c r="J12" s="291">
        <f>INDEX('[6]Table 6'!$I$12:$I$34,MATCH($B12,'[6]Table 6'!$B$12:$B$34,0),1)</f>
        <v>24.317251200992899</v>
      </c>
      <c r="K12" s="292">
        <f>I12-J12</f>
        <v>-7.1150346841931693</v>
      </c>
      <c r="L12" s="293">
        <f>($N$45*INDEX('Tariff Page Solar Tracking'!$D$9:$D$32,MATCH($B12,'Tariff Page Solar Tracking'!$B$9:$B$32,0))+$N$46*INDEX('Tariff Page Solar Tracking'!$C$9:$C$32,MATCH($B12,'Tariff Page Solar Tracking'!$B$9:$B$32,0))+$N$47*INDEX('Tariff Page Solar Tracking'!$F$9:$F$32,MATCH($B12,'Tariff Page Solar Tracking'!$B$9:$B$32,0))+$N$48*INDEX('Tariff Page Solar Tracking'!$E$9:$E$32,MATCH($B12,'Tariff Page Solar Tracking'!$B$9:$B$32,0)))*10</f>
        <v>17.895051332031006</v>
      </c>
      <c r="M12" s="291">
        <f>INDEX('[6]Table 6'!$L$12:$L$34,MATCH($B12,'[6]Table 6'!$B$12:$B$34,0),1)</f>
        <v>24.967251200992891</v>
      </c>
      <c r="N12" s="292">
        <f>L12-M12</f>
        <v>-7.072199868961885</v>
      </c>
      <c r="O12" s="132"/>
      <c r="Q12" s="273"/>
      <c r="R12" s="273"/>
    </row>
    <row r="13" spans="2:19" s="132" customFormat="1" x14ac:dyDescent="0.2">
      <c r="B13" s="290">
        <f>B12+1</f>
        <v>2017</v>
      </c>
      <c r="C13" s="291">
        <f>($D$45*INDEX('Tariff Page'!$D$9:$D$32,MATCH($B13,'Tariff Page'!$B$9:$B$32,0))+$D$46*INDEX('Tariff Page'!$C$9:$C$32,MATCH($B13,'Tariff Page'!$B$9:$B$32,0))+$D$47*INDEX('Tariff Page'!$F$9:$F$32,MATCH($B13,'Tariff Page'!$B$9:$B$32,0))+$D$48*INDEX('Tariff Page'!$E$9:$E$32,MATCH($B13,'Tariff Page'!$B$9:$B$32,0)))*10</f>
        <v>20.606986301369865</v>
      </c>
      <c r="D13" s="291">
        <f>INDEX('[6]Table 6'!$C$12:$C$34,MATCH($B13,'[6]Table 6'!$B$12:$B$34,0),1)</f>
        <v>25.974630136986299</v>
      </c>
      <c r="E13" s="292">
        <f t="shared" ref="E13:E29" si="0">C13-D13</f>
        <v>-5.367643835616434</v>
      </c>
      <c r="F13" s="293">
        <f>($H$45*INDEX('Tariff Page Wind'!$D$9:$D$32,MATCH($B13,'Tariff Page Wind'!$B$9:$B$32,0))+$H$46*INDEX('Tariff Page Wind'!$C$9:$C$32,MATCH($B13,'Tariff Page Wind'!$B$9:$B$32,0))+$H$47*INDEX('Tariff Page Wind'!$F$9:$F$32,MATCH($B13,'Tariff Page Wind'!$B$9:$B$32,0))+$H$48*INDEX('Tariff Page Wind'!$E$9:$E$32,MATCH($B13,'Tariff Page Wind'!$B$9:$B$32,0)))*10</f>
        <v>19.214961564879754</v>
      </c>
      <c r="G13" s="291">
        <f>INDEX('[6]Table 6'!$F$12:$F$34,MATCH($B13,'[6]Table 6'!$B$12:$B$34,0),1)</f>
        <v>23.664227932095237</v>
      </c>
      <c r="H13" s="292">
        <f t="shared" ref="H13:H29" si="1">F13-G13</f>
        <v>-4.4492663672154826</v>
      </c>
      <c r="I13" s="293">
        <f>($K$45*INDEX('Tariff Page Solar Fixed'!$D$9:$D$32,MATCH($B13,'Tariff Page Solar Fixed'!$B$9:$B$32,0))+$K$46*INDEX('Tariff Page Solar Fixed'!$C$9:$C$32,MATCH($B13,'Tariff Page Solar Fixed'!$B$9:$B$32,0))+$K$47*INDEX('Tariff Page Solar Fixed'!$F$9:$F$32,MATCH($B13,'Tariff Page Solar Fixed'!$B$9:$B$32,0))+$K$48*INDEX('Tariff Page Solar Fixed'!$E$9:$E$32,MATCH($B13,'Tariff Page Solar Fixed'!$B$9:$B$32,0)))*10</f>
        <v>18.815334374190765</v>
      </c>
      <c r="J13" s="291">
        <f>INDEX('[6]Table 6'!$I$12:$I$34,MATCH($B13,'[6]Table 6'!$B$12:$B$34,0),1)</f>
        <v>24.935349872677005</v>
      </c>
      <c r="K13" s="292">
        <f t="shared" ref="K13:K29" si="2">I13-J13</f>
        <v>-6.1200154984862394</v>
      </c>
      <c r="L13" s="293">
        <f>($N$45*INDEX('Tariff Page Solar Tracking'!$D$9:$D$32,MATCH($B13,'Tariff Page Solar Tracking'!$B$9:$B$32,0))+$N$46*INDEX('Tariff Page Solar Tracking'!$C$9:$C$32,MATCH($B13,'Tariff Page Solar Tracking'!$B$9:$B$32,0))+$N$47*INDEX('Tariff Page Solar Tracking'!$F$9:$F$32,MATCH($B13,'Tariff Page Solar Tracking'!$B$9:$B$32,0))+$N$48*INDEX('Tariff Page Solar Tracking'!$E$9:$E$32,MATCH($B13,'Tariff Page Solar Tracking'!$B$9:$B$32,0)))*10</f>
        <v>19.465709381765723</v>
      </c>
      <c r="M13" s="291">
        <f>INDEX('[6]Table 6'!$L$12:$L$34,MATCH($B13,'[6]Table 6'!$B$12:$B$34,0),1)</f>
        <v>25.585349872677</v>
      </c>
      <c r="N13" s="292">
        <f t="shared" ref="N13:N29" si="3">L13-M13</f>
        <v>-6.1196404909112765</v>
      </c>
      <c r="S13" s="294"/>
    </row>
    <row r="14" spans="2:19" x14ac:dyDescent="0.2">
      <c r="B14" s="290">
        <f t="shared" ref="B14:B29" si="4">B13+1</f>
        <v>2018</v>
      </c>
      <c r="C14" s="291">
        <f>($D$45*INDEX('Tariff Page'!$D$9:$D$32,MATCH($B14,'Tariff Page'!$B$9:$B$32,0))+$D$46*INDEX('Tariff Page'!$C$9:$C$32,MATCH($B14,'Tariff Page'!$B$9:$B$32,0))+$D$47*INDEX('Tariff Page'!$F$9:$F$32,MATCH($B14,'Tariff Page'!$B$9:$B$32,0))+$D$48*INDEX('Tariff Page'!$E$9:$E$32,MATCH($B14,'Tariff Page'!$B$9:$B$32,0)))*10</f>
        <v>22.838794520547943</v>
      </c>
      <c r="D14" s="291">
        <f>INDEX('[6]Table 6'!$C$12:$C$34,MATCH($B14,'[6]Table 6'!$B$12:$B$34,0),1)</f>
        <v>28.240474885844755</v>
      </c>
      <c r="E14" s="292">
        <f t="shared" si="0"/>
        <v>-5.4016803652968122</v>
      </c>
      <c r="F14" s="293">
        <f>($H$45*INDEX('Tariff Page Wind'!$D$9:$D$32,MATCH($B14,'Tariff Page Wind'!$B$9:$B$32,0))+$H$46*INDEX('Tariff Page Wind'!$C$9:$C$32,MATCH($B14,'Tariff Page Wind'!$B$9:$B$32,0))+$H$47*INDEX('Tariff Page Wind'!$F$9:$F$32,MATCH($B14,'Tariff Page Wind'!$B$9:$B$32,0))+$H$48*INDEX('Tariff Page Wind'!$E$9:$E$32,MATCH($B14,'Tariff Page Wind'!$B$9:$B$32,0)))*10</f>
        <v>21.254774389777708</v>
      </c>
      <c r="G14" s="291">
        <f>INDEX('[6]Table 6'!$F$12:$F$34,MATCH($B14,'[6]Table 6'!$B$12:$B$34,0),1)</f>
        <v>25.445353826556783</v>
      </c>
      <c r="H14" s="292">
        <f t="shared" si="1"/>
        <v>-4.1905794367790747</v>
      </c>
      <c r="I14" s="293">
        <f>($K$45*INDEX('Tariff Page Solar Fixed'!$D$9:$D$32,MATCH($B14,'Tariff Page Solar Fixed'!$B$9:$B$32,0))+$K$46*INDEX('Tariff Page Solar Fixed'!$C$9:$C$32,MATCH($B14,'Tariff Page Solar Fixed'!$B$9:$B$32,0))+$K$47*INDEX('Tariff Page Solar Fixed'!$F$9:$F$32,MATCH($B14,'Tariff Page Solar Fixed'!$B$9:$B$32,0))+$K$48*INDEX('Tariff Page Solar Fixed'!$E$9:$E$32,MATCH($B14,'Tariff Page Solar Fixed'!$B$9:$B$32,0)))*10</f>
        <v>21.14484366008519</v>
      </c>
      <c r="J14" s="291">
        <f>INDEX('[6]Table 6'!$I$12:$I$34,MATCH($B14,'[6]Table 6'!$B$12:$B$34,0),1)</f>
        <v>27.453759192842156</v>
      </c>
      <c r="K14" s="292">
        <f t="shared" si="2"/>
        <v>-6.3089155327569664</v>
      </c>
      <c r="L14" s="293">
        <f>($N$45*INDEX('Tariff Page Solar Tracking'!$D$9:$D$32,MATCH($B14,'Tariff Page Solar Tracking'!$B$9:$B$32,0))+$N$46*INDEX('Tariff Page Solar Tracking'!$C$9:$C$32,MATCH($B14,'Tariff Page Solar Tracking'!$B$9:$B$32,0))+$N$47*INDEX('Tariff Page Solar Tracking'!$F$9:$F$32,MATCH($B14,'Tariff Page Solar Tracking'!$B$9:$B$32,0))+$N$48*INDEX('Tariff Page Solar Tracking'!$E$9:$E$32,MATCH($B14,'Tariff Page Solar Tracking'!$B$9:$B$32,0)))*10</f>
        <v>21.76498092095812</v>
      </c>
      <c r="M14" s="291">
        <f>INDEX('[6]Table 6'!$L$12:$L$34,MATCH($B14,'[6]Table 6'!$B$12:$B$34,0),1)</f>
        <v>28.103759192842158</v>
      </c>
      <c r="N14" s="292">
        <f t="shared" si="3"/>
        <v>-6.3387782718840384</v>
      </c>
      <c r="S14" s="273"/>
    </row>
    <row r="15" spans="2:19" x14ac:dyDescent="0.2">
      <c r="B15" s="290">
        <f t="shared" si="4"/>
        <v>2019</v>
      </c>
      <c r="C15" s="291">
        <f>($D$45*INDEX('Tariff Page'!$D$9:$D$32,MATCH($B15,'Tariff Page'!$B$9:$B$32,0))+$D$46*INDEX('Tariff Page'!$C$9:$C$32,MATCH($B15,'Tariff Page'!$B$9:$B$32,0))+$D$47*INDEX('Tariff Page'!$F$9:$F$32,MATCH($B15,'Tariff Page'!$B$9:$B$32,0))+$D$48*INDEX('Tariff Page'!$E$9:$E$32,MATCH($B15,'Tariff Page'!$B$9:$B$32,0)))*10</f>
        <v>24.021990867579909</v>
      </c>
      <c r="D15" s="291">
        <f>INDEX('[6]Table 6'!$C$12:$C$34,MATCH($B15,'[6]Table 6'!$B$12:$B$34,0),1)</f>
        <v>29.64556164383562</v>
      </c>
      <c r="E15" s="292">
        <f t="shared" si="0"/>
        <v>-5.6235707762557112</v>
      </c>
      <c r="F15" s="293">
        <f>($H$45*INDEX('Tariff Page Wind'!$D$9:$D$32,MATCH($B15,'Tariff Page Wind'!$B$9:$B$32,0))+$H$46*INDEX('Tariff Page Wind'!$C$9:$C$32,MATCH($B15,'Tariff Page Wind'!$B$9:$B$32,0))+$H$47*INDEX('Tariff Page Wind'!$F$9:$F$32,MATCH($B15,'Tariff Page Wind'!$B$9:$B$32,0))+$H$48*INDEX('Tariff Page Wind'!$E$9:$E$32,MATCH($B15,'Tariff Page Wind'!$B$9:$B$32,0)))*10</f>
        <v>22.277340665207465</v>
      </c>
      <c r="G15" s="291">
        <f>INDEX('[6]Table 6'!$F$12:$F$34,MATCH($B15,'[6]Table 6'!$B$12:$B$34,0),1)</f>
        <v>26.344967449161029</v>
      </c>
      <c r="H15" s="292">
        <f t="shared" si="1"/>
        <v>-4.067626783953564</v>
      </c>
      <c r="I15" s="293">
        <f>($K$45*INDEX('Tariff Page Solar Fixed'!$D$9:$D$32,MATCH($B15,'Tariff Page Solar Fixed'!$B$9:$B$32,0))+$K$46*INDEX('Tariff Page Solar Fixed'!$C$9:$C$32,MATCH($B15,'Tariff Page Solar Fixed'!$B$9:$B$32,0))+$K$47*INDEX('Tariff Page Solar Fixed'!$F$9:$F$32,MATCH($B15,'Tariff Page Solar Fixed'!$B$9:$B$32,0))+$K$48*INDEX('Tariff Page Solar Fixed'!$E$9:$E$32,MATCH($B15,'Tariff Page Solar Fixed'!$B$9:$B$32,0)))*10</f>
        <v>22.5076694978323</v>
      </c>
      <c r="J15" s="291">
        <f>INDEX('[6]Table 6'!$I$12:$I$34,MATCH($B15,'[6]Table 6'!$B$12:$B$34,0),1)</f>
        <v>29.049952916143464</v>
      </c>
      <c r="K15" s="292">
        <f t="shared" si="2"/>
        <v>-6.5422834183111647</v>
      </c>
      <c r="L15" s="293">
        <f>($N$45*INDEX('Tariff Page Solar Tracking'!$D$9:$D$32,MATCH($B15,'Tariff Page Solar Tracking'!$B$9:$B$32,0))+$N$46*INDEX('Tariff Page Solar Tracking'!$C$9:$C$32,MATCH($B15,'Tariff Page Solar Tracking'!$B$9:$B$32,0))+$N$47*INDEX('Tariff Page Solar Tracking'!$F$9:$F$32,MATCH($B15,'Tariff Page Solar Tracking'!$B$9:$B$32,0))+$N$48*INDEX('Tariff Page Solar Tracking'!$E$9:$E$32,MATCH($B15,'Tariff Page Solar Tracking'!$B$9:$B$32,0)))*10</f>
        <v>23.183491100926254</v>
      </c>
      <c r="M15" s="291">
        <f>INDEX('[6]Table 6'!$L$12:$L$34,MATCH($B15,'[6]Table 6'!$B$12:$B$34,0),1)</f>
        <v>29.699952916143463</v>
      </c>
      <c r="N15" s="292">
        <f t="shared" si="3"/>
        <v>-6.5164618152172089</v>
      </c>
      <c r="S15" s="273"/>
    </row>
    <row r="16" spans="2:19" x14ac:dyDescent="0.2">
      <c r="B16" s="290">
        <f t="shared" si="4"/>
        <v>2020</v>
      </c>
      <c r="C16" s="291">
        <f>($D$45*INDEX('Tariff Page'!$D$9:$D$32,MATCH($B16,'Tariff Page'!$B$9:$B$32,0))+$D$46*INDEX('Tariff Page'!$C$9:$C$32,MATCH($B16,'Tariff Page'!$B$9:$B$32,0))+$D$47*INDEX('Tariff Page'!$F$9:$F$32,MATCH($B16,'Tariff Page'!$B$9:$B$32,0))+$D$48*INDEX('Tariff Page'!$E$9:$E$32,MATCH($B16,'Tariff Page'!$B$9:$B$32,0)))*10</f>
        <v>25.593881278538817</v>
      </c>
      <c r="D16" s="291">
        <f>INDEX('[6]Table 6'!$C$12:$C$34,MATCH($B16,'[6]Table 6'!$B$12:$B$34,0),1)</f>
        <v>30.024968036529678</v>
      </c>
      <c r="E16" s="292">
        <f t="shared" si="0"/>
        <v>-4.4310867579908617</v>
      </c>
      <c r="F16" s="293">
        <f>($H$45*INDEX('Tariff Page Wind'!$D$9:$D$32,MATCH($B16,'Tariff Page Wind'!$B$9:$B$32,0))+$H$46*INDEX('Tariff Page Wind'!$C$9:$C$32,MATCH($B16,'Tariff Page Wind'!$B$9:$B$32,0))+$H$47*INDEX('Tariff Page Wind'!$F$9:$F$32,MATCH($B16,'Tariff Page Wind'!$B$9:$B$32,0))+$H$48*INDEX('Tariff Page Wind'!$E$9:$E$32,MATCH($B16,'Tariff Page Wind'!$B$9:$B$32,0)))*10</f>
        <v>24.029931209505115</v>
      </c>
      <c r="G16" s="291">
        <f>INDEX('[6]Table 6'!$F$12:$F$34,MATCH($B16,'[6]Table 6'!$B$12:$B$34,0),1)</f>
        <v>26.815327296684089</v>
      </c>
      <c r="H16" s="292">
        <f t="shared" si="1"/>
        <v>-2.7853960871789738</v>
      </c>
      <c r="I16" s="293">
        <f>($K$45*INDEX('Tariff Page Solar Fixed'!$D$9:$D$32,MATCH($B16,'Tariff Page Solar Fixed'!$B$9:$B$32,0))+$K$46*INDEX('Tariff Page Solar Fixed'!$C$9:$C$32,MATCH($B16,'Tariff Page Solar Fixed'!$B$9:$B$32,0))+$K$47*INDEX('Tariff Page Solar Fixed'!$F$9:$F$32,MATCH($B16,'Tariff Page Solar Fixed'!$B$9:$B$32,0))+$K$48*INDEX('Tariff Page Solar Fixed'!$E$9:$E$32,MATCH($B16,'Tariff Page Solar Fixed'!$B$9:$B$32,0)))*10</f>
        <v>24.079503581600097</v>
      </c>
      <c r="J16" s="291">
        <f>INDEX('[6]Table 6'!$I$12:$I$34,MATCH($B16,'[6]Table 6'!$B$12:$B$34,0),1)</f>
        <v>29.547472028401657</v>
      </c>
      <c r="K16" s="292">
        <f t="shared" si="2"/>
        <v>-5.4679684468015601</v>
      </c>
      <c r="L16" s="293">
        <f>($N$45*INDEX('Tariff Page Solar Tracking'!$D$9:$D$32,MATCH($B16,'Tariff Page Solar Tracking'!$B$9:$B$32,0))+$N$46*INDEX('Tariff Page Solar Tracking'!$C$9:$C$32,MATCH($B16,'Tariff Page Solar Tracking'!$B$9:$B$32,0))+$N$47*INDEX('Tariff Page Solar Tracking'!$F$9:$F$32,MATCH($B16,'Tariff Page Solar Tracking'!$B$9:$B$32,0))+$N$48*INDEX('Tariff Page Solar Tracking'!$E$9:$E$32,MATCH($B16,'Tariff Page Solar Tracking'!$B$9:$B$32,0)))*10</f>
        <v>24.689213253339485</v>
      </c>
      <c r="M16" s="291">
        <f>INDEX('[6]Table 6'!$L$12:$L$34,MATCH($B16,'[6]Table 6'!$B$12:$B$34,0),1)</f>
        <v>30.197472028401652</v>
      </c>
      <c r="N16" s="292">
        <f t="shared" si="3"/>
        <v>-5.508258775062167</v>
      </c>
      <c r="S16" s="273"/>
    </row>
    <row r="17" spans="2:19" x14ac:dyDescent="0.2">
      <c r="B17" s="290">
        <f t="shared" si="4"/>
        <v>2021</v>
      </c>
      <c r="C17" s="291">
        <f>($D$45*INDEX('Tariff Page'!$D$9:$D$32,MATCH($B17,'Tariff Page'!$B$9:$B$32,0))+$D$46*INDEX('Tariff Page'!$C$9:$C$32,MATCH($B17,'Tariff Page'!$B$9:$B$32,0))+$D$47*INDEX('Tariff Page'!$F$9:$F$32,MATCH($B17,'Tariff Page'!$B$9:$B$32,0))+$D$48*INDEX('Tariff Page'!$E$9:$E$32,MATCH($B17,'Tariff Page'!$B$9:$B$32,0)))*10</f>
        <v>27.29811872146119</v>
      </c>
      <c r="D17" s="291">
        <f>INDEX('[6]Table 6'!$C$12:$C$34,MATCH($B17,'[6]Table 6'!$B$12:$B$34,0),1)</f>
        <v>33.252986301369866</v>
      </c>
      <c r="E17" s="292">
        <f t="shared" si="0"/>
        <v>-5.9548675799086759</v>
      </c>
      <c r="F17" s="293">
        <f>($H$45*INDEX('Tariff Page Wind'!$D$9:$D$32,MATCH($B17,'Tariff Page Wind'!$B$9:$B$32,0))+$H$46*INDEX('Tariff Page Wind'!$C$9:$C$32,MATCH($B17,'Tariff Page Wind'!$B$9:$B$32,0))+$H$47*INDEX('Tariff Page Wind'!$F$9:$F$32,MATCH($B17,'Tariff Page Wind'!$B$9:$B$32,0))+$H$48*INDEX('Tariff Page Wind'!$E$9:$E$32,MATCH($B17,'Tariff Page Wind'!$B$9:$B$32,0)))*10</f>
        <v>25.707330524856324</v>
      </c>
      <c r="G17" s="291">
        <f>INDEX('[6]Table 6'!$F$12:$F$34,MATCH($B17,'[6]Table 6'!$B$12:$B$34,0),1)</f>
        <v>29.969866846920521</v>
      </c>
      <c r="H17" s="292">
        <f t="shared" si="1"/>
        <v>-4.2625363220641965</v>
      </c>
      <c r="I17" s="293">
        <f>($K$45*INDEX('Tariff Page Solar Fixed'!$D$9:$D$32,MATCH($B17,'Tariff Page Solar Fixed'!$B$9:$B$32,0))+$K$46*INDEX('Tariff Page Solar Fixed'!$C$9:$C$32,MATCH($B17,'Tariff Page Solar Fixed'!$B$9:$B$32,0))+$K$47*INDEX('Tariff Page Solar Fixed'!$F$9:$F$32,MATCH($B17,'Tariff Page Solar Fixed'!$B$9:$B$32,0))+$K$48*INDEX('Tariff Page Solar Fixed'!$E$9:$E$32,MATCH($B17,'Tariff Page Solar Fixed'!$B$9:$B$32,0)))*10</f>
        <v>25.90182930744437</v>
      </c>
      <c r="J17" s="291">
        <f>INDEX('[6]Table 6'!$I$12:$I$34,MATCH($B17,'[6]Table 6'!$B$12:$B$34,0),1)</f>
        <v>33.075613226357909</v>
      </c>
      <c r="K17" s="292">
        <f t="shared" si="2"/>
        <v>-7.1737839189135393</v>
      </c>
      <c r="L17" s="293">
        <f>($N$45*INDEX('Tariff Page Solar Tracking'!$D$9:$D$32,MATCH($B17,'Tariff Page Solar Tracking'!$B$9:$B$32,0))+$N$46*INDEX('Tariff Page Solar Tracking'!$C$9:$C$32,MATCH($B17,'Tariff Page Solar Tracking'!$B$9:$B$32,0))+$N$47*INDEX('Tariff Page Solar Tracking'!$F$9:$F$32,MATCH($B17,'Tariff Page Solar Tracking'!$B$9:$B$32,0))+$N$48*INDEX('Tariff Page Solar Tracking'!$E$9:$E$32,MATCH($B17,'Tariff Page Solar Tracking'!$B$9:$B$32,0)))*10</f>
        <v>26.561036573794489</v>
      </c>
      <c r="M17" s="291">
        <f>INDEX('[6]Table 6'!$L$12:$L$34,MATCH($B17,'[6]Table 6'!$B$12:$B$34,0),1)</f>
        <v>33.725613226357908</v>
      </c>
      <c r="N17" s="292">
        <f t="shared" si="3"/>
        <v>-7.1645766525634187</v>
      </c>
      <c r="S17" s="273"/>
    </row>
    <row r="18" spans="2:19" x14ac:dyDescent="0.2">
      <c r="B18" s="290">
        <f t="shared" si="4"/>
        <v>2022</v>
      </c>
      <c r="C18" s="291">
        <f>($D$45*INDEX('Tariff Page'!$D$9:$D$32,MATCH($B18,'Tariff Page'!$B$9:$B$32,0))+$D$46*INDEX('Tariff Page'!$C$9:$C$32,MATCH($B18,'Tariff Page'!$B$9:$B$32,0))+$D$47*INDEX('Tariff Page'!$F$9:$F$32,MATCH($B18,'Tariff Page'!$B$9:$B$32,0))+$D$48*INDEX('Tariff Page'!$E$9:$E$32,MATCH($B18,'Tariff Page'!$B$9:$B$32,0)))*10</f>
        <v>29.756557077625565</v>
      </c>
      <c r="D18" s="291">
        <f>INDEX('[6]Table 6'!$C$12:$C$34,MATCH($B18,'[6]Table 6'!$B$12:$B$34,0),1)</f>
        <v>36.161223744292236</v>
      </c>
      <c r="E18" s="292">
        <f t="shared" si="0"/>
        <v>-6.4046666666666709</v>
      </c>
      <c r="F18" s="293">
        <f>($H$45*INDEX('Tariff Page Wind'!$D$9:$D$32,MATCH($B18,'Tariff Page Wind'!$B$9:$B$32,0))+$H$46*INDEX('Tariff Page Wind'!$C$9:$C$32,MATCH($B18,'Tariff Page Wind'!$B$9:$B$32,0))+$H$47*INDEX('Tariff Page Wind'!$F$9:$F$32,MATCH($B18,'Tariff Page Wind'!$B$9:$B$32,0))+$H$48*INDEX('Tariff Page Wind'!$E$9:$E$32,MATCH($B18,'Tariff Page Wind'!$B$9:$B$32,0)))*10</f>
        <v>27.992599085686468</v>
      </c>
      <c r="G18" s="291">
        <f>INDEX('[6]Table 6'!$F$12:$F$34,MATCH($B18,'[6]Table 6'!$B$12:$B$34,0),1)</f>
        <v>32.416100726952557</v>
      </c>
      <c r="H18" s="292">
        <f t="shared" si="1"/>
        <v>-4.423501641266089</v>
      </c>
      <c r="I18" s="293">
        <f>($K$45*INDEX('Tariff Page Solar Fixed'!$D$9:$D$32,MATCH($B18,'Tariff Page Solar Fixed'!$B$9:$B$32,0))+$K$46*INDEX('Tariff Page Solar Fixed'!$C$9:$C$32,MATCH($B18,'Tariff Page Solar Fixed'!$B$9:$B$32,0))+$K$47*INDEX('Tariff Page Solar Fixed'!$F$9:$F$32,MATCH($B18,'Tariff Page Solar Fixed'!$B$9:$B$32,0))+$K$48*INDEX('Tariff Page Solar Fixed'!$E$9:$E$32,MATCH($B18,'Tariff Page Solar Fixed'!$B$9:$B$32,0)))*10</f>
        <v>28.464016662045587</v>
      </c>
      <c r="J18" s="291">
        <f>INDEX('[6]Table 6'!$I$12:$I$34,MATCH($B18,'[6]Table 6'!$B$12:$B$34,0),1)</f>
        <v>36.268933995838232</v>
      </c>
      <c r="K18" s="292">
        <f t="shared" si="2"/>
        <v>-7.8049173337926447</v>
      </c>
      <c r="L18" s="293">
        <f>($N$45*INDEX('Tariff Page Solar Tracking'!$D$9:$D$32,MATCH($B18,'Tariff Page Solar Tracking'!$B$9:$B$32,0))+$N$46*INDEX('Tariff Page Solar Tracking'!$C$9:$C$32,MATCH($B18,'Tariff Page Solar Tracking'!$B$9:$B$32,0))+$N$47*INDEX('Tariff Page Solar Tracking'!$F$9:$F$32,MATCH($B18,'Tariff Page Solar Tracking'!$B$9:$B$32,0))+$N$48*INDEX('Tariff Page Solar Tracking'!$E$9:$E$32,MATCH($B18,'Tariff Page Solar Tracking'!$B$9:$B$32,0)))*10</f>
        <v>29.188854225173088</v>
      </c>
      <c r="M18" s="291">
        <f>INDEX('[6]Table 6'!$L$12:$L$34,MATCH($B18,'[6]Table 6'!$B$12:$B$34,0),1)</f>
        <v>36.918933995838231</v>
      </c>
      <c r="N18" s="292">
        <f t="shared" si="3"/>
        <v>-7.7300797706651423</v>
      </c>
      <c r="S18" s="273"/>
    </row>
    <row r="19" spans="2:19" x14ac:dyDescent="0.2">
      <c r="B19" s="290">
        <f t="shared" si="4"/>
        <v>2023</v>
      </c>
      <c r="C19" s="291">
        <f>($D$45*INDEX('Tariff Page'!$D$9:$D$32,MATCH($B19,'Tariff Page'!$B$9:$B$32,0))+$D$46*INDEX('Tariff Page'!$C$9:$C$32,MATCH($B19,'Tariff Page'!$B$9:$B$32,0))+$D$47*INDEX('Tariff Page'!$F$9:$F$32,MATCH($B19,'Tariff Page'!$B$9:$B$32,0))+$D$48*INDEX('Tariff Page'!$E$9:$E$32,MATCH($B19,'Tariff Page'!$B$9:$B$32,0)))*10</f>
        <v>31.990767123287675</v>
      </c>
      <c r="D19" s="291">
        <f>INDEX('[6]Table 6'!$C$12:$C$34,MATCH($B19,'[6]Table 6'!$B$12:$B$34,0),1)</f>
        <v>38.938575342465754</v>
      </c>
      <c r="E19" s="292">
        <f t="shared" si="0"/>
        <v>-6.9478082191780786</v>
      </c>
      <c r="F19" s="293">
        <f>($H$45*INDEX('Tariff Page Wind'!$D$9:$D$32,MATCH($B19,'Tariff Page Wind'!$B$9:$B$32,0))+$H$46*INDEX('Tariff Page Wind'!$C$9:$C$32,MATCH($B19,'Tariff Page Wind'!$B$9:$B$32,0))+$H$47*INDEX('Tariff Page Wind'!$F$9:$F$32,MATCH($B19,'Tariff Page Wind'!$B$9:$B$32,0))+$H$48*INDEX('Tariff Page Wind'!$E$9:$E$32,MATCH($B19,'Tariff Page Wind'!$B$9:$B$32,0)))*10</f>
        <v>29.911226251829824</v>
      </c>
      <c r="G19" s="291">
        <f>INDEX('[6]Table 6'!$F$12:$F$34,MATCH($B19,'[6]Table 6'!$B$12:$B$34,0),1)</f>
        <v>34.919178720055172</v>
      </c>
      <c r="H19" s="292">
        <f t="shared" si="1"/>
        <v>-5.0079524682253478</v>
      </c>
      <c r="I19" s="293">
        <f>($K$45*INDEX('Tariff Page Solar Fixed'!$D$9:$D$32,MATCH($B19,'Tariff Page Solar Fixed'!$B$9:$B$32,0))+$K$46*INDEX('Tariff Page Solar Fixed'!$C$9:$C$32,MATCH($B19,'Tariff Page Solar Fixed'!$B$9:$B$32,0))+$K$47*INDEX('Tariff Page Solar Fixed'!$F$9:$F$32,MATCH($B19,'Tariff Page Solar Fixed'!$B$9:$B$32,0))+$K$48*INDEX('Tariff Page Solar Fixed'!$E$9:$E$32,MATCH($B19,'Tariff Page Solar Fixed'!$B$9:$B$32,0)))*10</f>
        <v>30.761518774518251</v>
      </c>
      <c r="J19" s="291">
        <f>INDEX('[6]Table 6'!$I$12:$I$34,MATCH($B19,'[6]Table 6'!$B$12:$B$34,0),1)</f>
        <v>38.834934046535146</v>
      </c>
      <c r="K19" s="292">
        <f t="shared" si="2"/>
        <v>-8.073415272016895</v>
      </c>
      <c r="L19" s="293">
        <f>($N$45*INDEX('Tariff Page Solar Tracking'!$D$9:$D$32,MATCH($B19,'Tariff Page Solar Tracking'!$B$9:$B$32,0))+$N$46*INDEX('Tariff Page Solar Tracking'!$C$9:$C$32,MATCH($B19,'Tariff Page Solar Tracking'!$B$9:$B$32,0))+$N$47*INDEX('Tariff Page Solar Tracking'!$F$9:$F$32,MATCH($B19,'Tariff Page Solar Tracking'!$B$9:$B$32,0))+$N$48*INDEX('Tariff Page Solar Tracking'!$E$9:$E$32,MATCH($B19,'Tariff Page Solar Tracking'!$B$9:$B$32,0)))*10</f>
        <v>31.534900593494505</v>
      </c>
      <c r="M19" s="291">
        <f>INDEX('[6]Table 6'!$L$12:$L$34,MATCH($B19,'[6]Table 6'!$B$12:$B$34,0),1)</f>
        <v>39.484934046535145</v>
      </c>
      <c r="N19" s="292">
        <f t="shared" si="3"/>
        <v>-7.9500334530406391</v>
      </c>
      <c r="S19" s="273"/>
    </row>
    <row r="20" spans="2:19" x14ac:dyDescent="0.2">
      <c r="B20" s="290">
        <f t="shared" si="4"/>
        <v>2024</v>
      </c>
      <c r="C20" s="291">
        <f>($D$45*INDEX('Tariff Page'!$D$9:$D$32,MATCH($B20,'Tariff Page'!$B$9:$B$32,0))+$D$46*INDEX('Tariff Page'!$C$9:$C$32,MATCH($B20,'Tariff Page'!$B$9:$B$32,0))+$D$47*INDEX('Tariff Page'!$F$9:$F$32,MATCH($B20,'Tariff Page'!$B$9:$B$32,0))+$D$48*INDEX('Tariff Page'!$E$9:$E$32,MATCH($B20,'Tariff Page'!$B$9:$B$32,0)))*10</f>
        <v>35.913744292237439</v>
      </c>
      <c r="D20" s="291">
        <f>INDEX('[6]Table 6'!$C$12:$C$34,MATCH($B20,'[6]Table 6'!$B$12:$B$34,0),1)</f>
        <v>40.219744292237451</v>
      </c>
      <c r="E20" s="292">
        <f t="shared" si="0"/>
        <v>-4.3060000000000116</v>
      </c>
      <c r="F20" s="293">
        <f>($H$45*INDEX('Tariff Page Wind'!$D$9:$D$32,MATCH($B20,'Tariff Page Wind'!$B$9:$B$32,0))+$H$46*INDEX('Tariff Page Wind'!$C$9:$C$32,MATCH($B20,'Tariff Page Wind'!$B$9:$B$32,0))+$H$47*INDEX('Tariff Page Wind'!$F$9:$F$32,MATCH($B20,'Tariff Page Wind'!$B$9:$B$32,0))+$H$48*INDEX('Tariff Page Wind'!$E$9:$E$32,MATCH($B20,'Tariff Page Wind'!$B$9:$B$32,0)))*10</f>
        <v>33.831434360981525</v>
      </c>
      <c r="G20" s="291">
        <f>INDEX('[6]Table 6'!$F$12:$F$34,MATCH($B20,'[6]Table 6'!$B$12:$B$34,0),1)</f>
        <v>36.349560451127175</v>
      </c>
      <c r="H20" s="292">
        <f t="shared" si="1"/>
        <v>-2.5181260901456497</v>
      </c>
      <c r="I20" s="293">
        <f>($K$45*INDEX('Tariff Page Solar Fixed'!$D$9:$D$32,MATCH($B20,'Tariff Page Solar Fixed'!$B$9:$B$32,0))+$K$46*INDEX('Tariff Page Solar Fixed'!$C$9:$C$32,MATCH($B20,'Tariff Page Solar Fixed'!$B$9:$B$32,0))+$K$47*INDEX('Tariff Page Solar Fixed'!$F$9:$F$32,MATCH($B20,'Tariff Page Solar Fixed'!$B$9:$B$32,0))+$K$48*INDEX('Tariff Page Solar Fixed'!$E$9:$E$32,MATCH($B20,'Tariff Page Solar Fixed'!$B$9:$B$32,0)))*10</f>
        <v>34.801597605631656</v>
      </c>
      <c r="J20" s="291">
        <f>INDEX('[6]Table 6'!$I$12:$I$34,MATCH($B20,'[6]Table 6'!$B$12:$B$34,0),1)</f>
        <v>40.68423190832889</v>
      </c>
      <c r="K20" s="292">
        <f t="shared" si="2"/>
        <v>-5.8826343026972339</v>
      </c>
      <c r="L20" s="293">
        <f>($N$45*INDEX('Tariff Page Solar Tracking'!$D$9:$D$32,MATCH($B20,'Tariff Page Solar Tracking'!$B$9:$B$32,0))+$N$46*INDEX('Tariff Page Solar Tracking'!$C$9:$C$32,MATCH($B20,'Tariff Page Solar Tracking'!$B$9:$B$32,0))+$N$47*INDEX('Tariff Page Solar Tracking'!$F$9:$F$32,MATCH($B20,'Tariff Page Solar Tracking'!$B$9:$B$32,0))+$N$48*INDEX('Tariff Page Solar Tracking'!$E$9:$E$32,MATCH($B20,'Tariff Page Solar Tracking'!$B$9:$B$32,0)))*10</f>
        <v>35.527288886857164</v>
      </c>
      <c r="M20" s="291">
        <f>INDEX('[6]Table 6'!$L$12:$L$34,MATCH($B20,'[6]Table 6'!$B$12:$B$34,0),1)</f>
        <v>41.334231908328888</v>
      </c>
      <c r="N20" s="292">
        <f t="shared" si="3"/>
        <v>-5.8069430214717244</v>
      </c>
      <c r="S20" s="273"/>
    </row>
    <row r="21" spans="2:19" x14ac:dyDescent="0.2">
      <c r="B21" s="290">
        <f t="shared" si="4"/>
        <v>2025</v>
      </c>
      <c r="C21" s="291">
        <f>($D$45*INDEX('Tariff Page'!$D$9:$D$32,MATCH($B21,'Tariff Page'!$B$9:$B$32,0))+$D$46*INDEX('Tariff Page'!$C$9:$C$32,MATCH($B21,'Tariff Page'!$B$9:$B$32,0))+$D$47*INDEX('Tariff Page'!$F$9:$F$32,MATCH($B21,'Tariff Page'!$B$9:$B$32,0))+$D$48*INDEX('Tariff Page'!$E$9:$E$32,MATCH($B21,'Tariff Page'!$B$9:$B$32,0)))*10</f>
        <v>38.233232876712329</v>
      </c>
      <c r="D21" s="291">
        <f>INDEX('[6]Table 6'!$C$12:$C$34,MATCH($B21,'[6]Table 6'!$B$12:$B$34,0),1)</f>
        <v>42.361105022831048</v>
      </c>
      <c r="E21" s="292">
        <f t="shared" si="0"/>
        <v>-4.1278721461187189</v>
      </c>
      <c r="F21" s="293">
        <f>($H$45*INDEX('Tariff Page Wind'!$D$9:$D$32,MATCH($B21,'Tariff Page Wind'!$B$9:$B$32,0))+$H$46*INDEX('Tariff Page Wind'!$C$9:$C$32,MATCH($B21,'Tariff Page Wind'!$B$9:$B$32,0))+$H$47*INDEX('Tariff Page Wind'!$F$9:$F$32,MATCH($B21,'Tariff Page Wind'!$B$9:$B$32,0))+$H$48*INDEX('Tariff Page Wind'!$E$9:$E$32,MATCH($B21,'Tariff Page Wind'!$B$9:$B$32,0)))*10</f>
        <v>36.124416283267699</v>
      </c>
      <c r="G21" s="291">
        <f>INDEX('[6]Table 6'!$F$12:$F$34,MATCH($B21,'[6]Table 6'!$B$12:$B$34,0),1)</f>
        <v>38.308825085295155</v>
      </c>
      <c r="H21" s="292">
        <f t="shared" si="1"/>
        <v>-2.1844088020274555</v>
      </c>
      <c r="I21" s="293">
        <f>($K$45*INDEX('Tariff Page Solar Fixed'!$D$9:$D$32,MATCH($B21,'Tariff Page Solar Fixed'!$B$9:$B$32,0))+$K$46*INDEX('Tariff Page Solar Fixed'!$C$9:$C$32,MATCH($B21,'Tariff Page Solar Fixed'!$B$9:$B$32,0))+$K$47*INDEX('Tariff Page Solar Fixed'!$F$9:$F$32,MATCH($B21,'Tariff Page Solar Fixed'!$B$9:$B$32,0))+$K$48*INDEX('Tariff Page Solar Fixed'!$E$9:$E$32,MATCH($B21,'Tariff Page Solar Fixed'!$B$9:$B$32,0)))*10</f>
        <v>37.124028099535479</v>
      </c>
      <c r="J21" s="291">
        <f>INDEX('[6]Table 6'!$I$12:$I$34,MATCH($B21,'[6]Table 6'!$B$12:$B$34,0),1)</f>
        <v>42.712408437237031</v>
      </c>
      <c r="K21" s="292">
        <f t="shared" si="2"/>
        <v>-5.5883803377015511</v>
      </c>
      <c r="L21" s="293">
        <f>($N$45*INDEX('Tariff Page Solar Tracking'!$D$9:$D$32,MATCH($B21,'Tariff Page Solar Tracking'!$B$9:$B$32,0))+$N$46*INDEX('Tariff Page Solar Tracking'!$C$9:$C$32,MATCH($B21,'Tariff Page Solar Tracking'!$B$9:$B$32,0))+$N$47*INDEX('Tariff Page Solar Tracking'!$F$9:$F$32,MATCH($B21,'Tariff Page Solar Tracking'!$B$9:$B$32,0))+$N$48*INDEX('Tariff Page Solar Tracking'!$E$9:$E$32,MATCH($B21,'Tariff Page Solar Tracking'!$B$9:$B$32,0)))*10</f>
        <v>37.821023356056742</v>
      </c>
      <c r="M21" s="291">
        <f>INDEX('[6]Table 6'!$L$12:$L$34,MATCH($B21,'[6]Table 6'!$B$12:$B$34,0),1)</f>
        <v>43.362408437237036</v>
      </c>
      <c r="N21" s="292">
        <f t="shared" si="3"/>
        <v>-5.5413850811802945</v>
      </c>
      <c r="S21" s="273"/>
    </row>
    <row r="22" spans="2:19" x14ac:dyDescent="0.2">
      <c r="B22" s="290">
        <f t="shared" si="4"/>
        <v>2026</v>
      </c>
      <c r="C22" s="291">
        <f>($D$45*INDEX('Tariff Page'!$D$9:$D$32,MATCH($B22,'Tariff Page'!$B$9:$B$32,0))+$D$46*INDEX('Tariff Page'!$C$9:$C$32,MATCH($B22,'Tariff Page'!$B$9:$B$32,0))+$D$47*INDEX('Tariff Page'!$F$9:$F$32,MATCH($B22,'Tariff Page'!$B$9:$B$32,0))+$D$48*INDEX('Tariff Page'!$E$9:$E$32,MATCH($B22,'Tariff Page'!$B$9:$B$32,0)))*10</f>
        <v>38.811735159817353</v>
      </c>
      <c r="D22" s="291">
        <f>INDEX('[6]Table 6'!$C$12:$C$34,MATCH($B22,'[6]Table 6'!$B$12:$B$34,0),1)</f>
        <v>43.877680365296811</v>
      </c>
      <c r="E22" s="292">
        <f t="shared" si="0"/>
        <v>-5.0659452054794585</v>
      </c>
      <c r="F22" s="293">
        <f>($H$45*INDEX('Tariff Page Wind'!$D$9:$D$32,MATCH($B22,'Tariff Page Wind'!$B$9:$B$32,0))+$H$46*INDEX('Tariff Page Wind'!$C$9:$C$32,MATCH($B22,'Tariff Page Wind'!$B$9:$B$32,0))+$H$47*INDEX('Tariff Page Wind'!$F$9:$F$32,MATCH($B22,'Tariff Page Wind'!$B$9:$B$32,0))+$H$48*INDEX('Tariff Page Wind'!$E$9:$E$32,MATCH($B22,'Tariff Page Wind'!$B$9:$B$32,0)))*10</f>
        <v>36.45146994730969</v>
      </c>
      <c r="G22" s="291">
        <f>INDEX('[6]Table 6'!$F$12:$F$34,MATCH($B22,'[6]Table 6'!$B$12:$B$34,0),1)</f>
        <v>40.31531733779525</v>
      </c>
      <c r="H22" s="292">
        <f t="shared" si="1"/>
        <v>-3.8638473904855601</v>
      </c>
      <c r="I22" s="293">
        <f>($K$45*INDEX('Tariff Page Solar Fixed'!$D$9:$D$32,MATCH($B22,'Tariff Page Solar Fixed'!$B$9:$B$32,0))+$K$46*INDEX('Tariff Page Solar Fixed'!$C$9:$C$32,MATCH($B22,'Tariff Page Solar Fixed'!$B$9:$B$32,0))+$K$47*INDEX('Tariff Page Solar Fixed'!$F$9:$F$32,MATCH($B22,'Tariff Page Solar Fixed'!$B$9:$B$32,0))+$K$48*INDEX('Tariff Page Solar Fixed'!$E$9:$E$32,MATCH($B22,'Tariff Page Solar Fixed'!$B$9:$B$32,0)))*10</f>
        <v>37.778852937041819</v>
      </c>
      <c r="J22" s="291">
        <f>INDEX('[6]Table 6'!$I$12:$I$34,MATCH($B22,'[6]Table 6'!$B$12:$B$34,0),1)</f>
        <v>44.0963471614767</v>
      </c>
      <c r="K22" s="292">
        <f t="shared" si="2"/>
        <v>-6.3174942244348813</v>
      </c>
      <c r="L22" s="293">
        <f>($N$45*INDEX('Tariff Page Solar Tracking'!$D$9:$D$32,MATCH($B22,'Tariff Page Solar Tracking'!$B$9:$B$32,0))+$N$46*INDEX('Tariff Page Solar Tracking'!$C$9:$C$32,MATCH($B22,'Tariff Page Solar Tracking'!$B$9:$B$32,0))+$N$47*INDEX('Tariff Page Solar Tracking'!$F$9:$F$32,MATCH($B22,'Tariff Page Solar Tracking'!$B$9:$B$32,0))+$N$48*INDEX('Tariff Page Solar Tracking'!$E$9:$E$32,MATCH($B22,'Tariff Page Solar Tracking'!$B$9:$B$32,0)))*10</f>
        <v>38.529762249672459</v>
      </c>
      <c r="M22" s="291">
        <f>INDEX('[6]Table 6'!$L$12:$L$34,MATCH($B22,'[6]Table 6'!$B$12:$B$34,0),1)</f>
        <v>44.746347161476699</v>
      </c>
      <c r="N22" s="292">
        <f t="shared" si="3"/>
        <v>-6.2165849118042402</v>
      </c>
      <c r="S22" s="273"/>
    </row>
    <row r="23" spans="2:19" x14ac:dyDescent="0.2">
      <c r="B23" s="290">
        <f t="shared" si="4"/>
        <v>2027</v>
      </c>
      <c r="C23" s="291">
        <f>($D$45*INDEX('Tariff Page'!$D$9:$D$32,MATCH($B23,'Tariff Page'!$B$9:$B$32,0))+$D$46*INDEX('Tariff Page'!$C$9:$C$32,MATCH($B23,'Tariff Page'!$B$9:$B$32,0))+$D$47*INDEX('Tariff Page'!$F$9:$F$32,MATCH($B23,'Tariff Page'!$B$9:$B$32,0))+$D$48*INDEX('Tariff Page'!$E$9:$E$32,MATCH($B23,'Tariff Page'!$B$9:$B$32,0)))*10</f>
        <v>41.108255707762559</v>
      </c>
      <c r="D23" s="291">
        <f>INDEX('[6]Table 6'!$C$12:$C$34,MATCH($B23,'[6]Table 6'!$B$12:$B$34,0),1)</f>
        <v>44.722493150684926</v>
      </c>
      <c r="E23" s="292">
        <f t="shared" si="0"/>
        <v>-3.6142374429223665</v>
      </c>
      <c r="F23" s="293">
        <f>($H$45*INDEX('Tariff Page Wind'!$D$9:$D$32,MATCH($B23,'Tariff Page Wind'!$B$9:$B$32,0))+$H$46*INDEX('Tariff Page Wind'!$C$9:$C$32,MATCH($B23,'Tariff Page Wind'!$B$9:$B$32,0))+$H$47*INDEX('Tariff Page Wind'!$F$9:$F$32,MATCH($B23,'Tariff Page Wind'!$B$9:$B$32,0))+$H$48*INDEX('Tariff Page Wind'!$E$9:$E$32,MATCH($B23,'Tariff Page Wind'!$B$9:$B$32,0)))*10</f>
        <v>38.806768034689227</v>
      </c>
      <c r="G23" s="291">
        <f>INDEX('[6]Table 6'!$F$12:$F$34,MATCH($B23,'[6]Table 6'!$B$12:$B$34,0),1)</f>
        <v>40.185756269494931</v>
      </c>
      <c r="H23" s="292">
        <f t="shared" si="1"/>
        <v>-1.3789882348057034</v>
      </c>
      <c r="I23" s="293">
        <f>($K$45*INDEX('Tariff Page Solar Fixed'!$D$9:$D$32,MATCH($B23,'Tariff Page Solar Fixed'!$B$9:$B$32,0))+$K$46*INDEX('Tariff Page Solar Fixed'!$C$9:$C$32,MATCH($B23,'Tariff Page Solar Fixed'!$B$9:$B$32,0))+$K$47*INDEX('Tariff Page Solar Fixed'!$F$9:$F$32,MATCH($B23,'Tariff Page Solar Fixed'!$B$9:$B$32,0))+$K$48*INDEX('Tariff Page Solar Fixed'!$E$9:$E$32,MATCH($B23,'Tariff Page Solar Fixed'!$B$9:$B$32,0)))*10</f>
        <v>40.092250044031054</v>
      </c>
      <c r="J23" s="291">
        <f>INDEX('[6]Table 6'!$I$12:$I$34,MATCH($B23,'[6]Table 6'!$B$12:$B$34,0),1)</f>
        <v>44.740819027838263</v>
      </c>
      <c r="K23" s="292">
        <f t="shared" si="2"/>
        <v>-4.6485689838072091</v>
      </c>
      <c r="L23" s="293">
        <f>($N$45*INDEX('Tariff Page Solar Tracking'!$D$9:$D$32,MATCH($B23,'Tariff Page Solar Tracking'!$B$9:$B$32,0))+$N$46*INDEX('Tariff Page Solar Tracking'!$C$9:$C$32,MATCH($B23,'Tariff Page Solar Tracking'!$B$9:$B$32,0))+$N$47*INDEX('Tariff Page Solar Tracking'!$F$9:$F$32,MATCH($B23,'Tariff Page Solar Tracking'!$B$9:$B$32,0))+$N$48*INDEX('Tariff Page Solar Tracking'!$E$9:$E$32,MATCH($B23,'Tariff Page Solar Tracking'!$B$9:$B$32,0)))*10</f>
        <v>40.822548596932094</v>
      </c>
      <c r="M23" s="291">
        <f>INDEX('[6]Table 6'!$L$12:$L$34,MATCH($B23,'[6]Table 6'!$B$12:$B$34,0),1)</f>
        <v>45.390819027838269</v>
      </c>
      <c r="N23" s="292">
        <f t="shared" si="3"/>
        <v>-4.5682704309061748</v>
      </c>
      <c r="S23" s="273"/>
    </row>
    <row r="24" spans="2:19" x14ac:dyDescent="0.2">
      <c r="B24" s="290">
        <f t="shared" si="4"/>
        <v>2028</v>
      </c>
      <c r="C24" s="291">
        <f>($D$45*INDEX('Tariff Page'!$D$9:$D$32,MATCH($B24,'Tariff Page'!$B$9:$B$32,0))+$D$46*INDEX('Tariff Page'!$C$9:$C$32,MATCH($B24,'Tariff Page'!$B$9:$B$32,0))+$D$47*INDEX('Tariff Page'!$F$9:$F$32,MATCH($B24,'Tariff Page'!$B$9:$B$32,0))+$D$48*INDEX('Tariff Page'!$E$9:$E$32,MATCH($B24,'Tariff Page'!$B$9:$B$32,0)))*10</f>
        <v>48.554082191780815</v>
      </c>
      <c r="D24" s="291">
        <f>INDEX('[6]Table 6'!$C$12:$C$34,MATCH($B24,'[6]Table 6'!$B$12:$B$34,0),1)</f>
        <v>51.904931506849309</v>
      </c>
      <c r="E24" s="292">
        <f t="shared" si="0"/>
        <v>-3.3508493150684941</v>
      </c>
      <c r="F24" s="293">
        <f>($H$45*INDEX('Tariff Page Wind'!$D$9:$D$32,MATCH($B24,'Tariff Page Wind'!$B$9:$B$32,0))+$H$46*INDEX('Tariff Page Wind'!$C$9:$C$32,MATCH($B24,'Tariff Page Wind'!$B$9:$B$32,0))+$H$47*INDEX('Tariff Page Wind'!$F$9:$F$32,MATCH($B24,'Tariff Page Wind'!$B$9:$B$32,0))+$H$48*INDEX('Tariff Page Wind'!$E$9:$E$32,MATCH($B24,'Tariff Page Wind'!$B$9:$B$32,0)))*10</f>
        <v>32.235449752431613</v>
      </c>
      <c r="G24" s="291">
        <f>INDEX('[6]Table 6'!$F$12:$F$34,MATCH($B24,'[6]Table 6'!$B$12:$B$34,0),1)</f>
        <v>34.715944336713449</v>
      </c>
      <c r="H24" s="292">
        <f t="shared" si="1"/>
        <v>-2.4804945842818356</v>
      </c>
      <c r="I24" s="293">
        <f>($K$45*INDEX('Tariff Page Solar Fixed'!$D$9:$D$32,MATCH($B24,'Tariff Page Solar Fixed'!$B$9:$B$32,0))+$K$46*INDEX('Tariff Page Solar Fixed'!$C$9:$C$32,MATCH($B24,'Tariff Page Solar Fixed'!$B$9:$B$32,0))+$K$47*INDEX('Tariff Page Solar Fixed'!$F$9:$F$32,MATCH($B24,'Tariff Page Solar Fixed'!$B$9:$B$32,0))+$K$48*INDEX('Tariff Page Solar Fixed'!$E$9:$E$32,MATCH($B24,'Tariff Page Solar Fixed'!$B$9:$B$32,0)))*10</f>
        <v>37.890614085273469</v>
      </c>
      <c r="J24" s="291">
        <f>INDEX('[6]Table 6'!$I$12:$I$34,MATCH($B24,'[6]Table 6'!$B$12:$B$34,0),1)</f>
        <v>49.677703070621718</v>
      </c>
      <c r="K24" s="292">
        <f t="shared" si="2"/>
        <v>-11.787088985348248</v>
      </c>
      <c r="L24" s="293">
        <f>($N$45*INDEX('Tariff Page Solar Tracking'!$D$9:$D$32,MATCH($B24,'Tariff Page Solar Tracking'!$B$9:$B$32,0))+$N$46*INDEX('Tariff Page Solar Tracking'!$C$9:$C$32,MATCH($B24,'Tariff Page Solar Tracking'!$B$9:$B$32,0))+$N$47*INDEX('Tariff Page Solar Tracking'!$F$9:$F$32,MATCH($B24,'Tariff Page Solar Tracking'!$B$9:$B$32,0))+$N$48*INDEX('Tariff Page Solar Tracking'!$E$9:$E$32,MATCH($B24,'Tariff Page Solar Tracking'!$B$9:$B$32,0)))*10</f>
        <v>39.649985959138</v>
      </c>
      <c r="M24" s="291">
        <f>INDEX('[6]Table 6'!$L$12:$L$34,MATCH($B24,'[6]Table 6'!$B$12:$B$34,0),1)</f>
        <v>54.244485013333239</v>
      </c>
      <c r="N24" s="292">
        <f t="shared" si="3"/>
        <v>-14.594499054195239</v>
      </c>
      <c r="S24" s="273"/>
    </row>
    <row r="25" spans="2:19" x14ac:dyDescent="0.2">
      <c r="B25" s="290">
        <f t="shared" si="4"/>
        <v>2029</v>
      </c>
      <c r="C25" s="291">
        <f>($D$45*INDEX('Tariff Page'!$D$9:$D$32,MATCH($B25,'Tariff Page'!$B$9:$B$32,0))+$D$46*INDEX('Tariff Page'!$C$9:$C$32,MATCH($B25,'Tariff Page'!$B$9:$B$32,0))+$D$47*INDEX('Tariff Page'!$F$9:$F$32,MATCH($B25,'Tariff Page'!$B$9:$B$32,0))+$D$48*INDEX('Tariff Page'!$E$9:$E$32,MATCH($B25,'Tariff Page'!$B$9:$B$32,0)))*10</f>
        <v>49.831735159817356</v>
      </c>
      <c r="D25" s="291">
        <f>INDEX('[6]Table 6'!$C$12:$C$34,MATCH($B25,'[6]Table 6'!$B$12:$B$34,0),1)</f>
        <v>53.144547945205488</v>
      </c>
      <c r="E25" s="292">
        <f t="shared" si="0"/>
        <v>-3.3128127853881324</v>
      </c>
      <c r="F25" s="293">
        <f>($H$45*INDEX('Tariff Page Wind'!$D$9:$D$32,MATCH($B25,'Tariff Page Wind'!$B$9:$B$32,0))+$H$46*INDEX('Tariff Page Wind'!$C$9:$C$32,MATCH($B25,'Tariff Page Wind'!$B$9:$B$32,0))+$H$47*INDEX('Tariff Page Wind'!$F$9:$F$32,MATCH($B25,'Tariff Page Wind'!$B$9:$B$32,0))+$H$48*INDEX('Tariff Page Wind'!$E$9:$E$32,MATCH($B25,'Tariff Page Wind'!$B$9:$B$32,0)))*10</f>
        <v>32.800564641366499</v>
      </c>
      <c r="G25" s="291">
        <f>INDEX('[6]Table 6'!$F$12:$F$34,MATCH($B25,'[6]Table 6'!$B$12:$B$34,0),1)</f>
        <v>35.407977308998909</v>
      </c>
      <c r="H25" s="292">
        <f t="shared" si="1"/>
        <v>-2.6074126676324099</v>
      </c>
      <c r="I25" s="293">
        <f>($K$45*INDEX('Tariff Page Solar Fixed'!$D$9:$D$32,MATCH($B25,'Tariff Page Solar Fixed'!$B$9:$B$32,0))+$K$46*INDEX('Tariff Page Solar Fixed'!$C$9:$C$32,MATCH($B25,'Tariff Page Solar Fixed'!$B$9:$B$32,0))+$K$47*INDEX('Tariff Page Solar Fixed'!$F$9:$F$32,MATCH($B25,'Tariff Page Solar Fixed'!$B$9:$B$32,0))+$K$48*INDEX('Tariff Page Solar Fixed'!$E$9:$E$32,MATCH($B25,'Tariff Page Solar Fixed'!$B$9:$B$32,0)))*10</f>
        <v>38.99165259805563</v>
      </c>
      <c r="J25" s="291">
        <f>INDEX('[6]Table 6'!$I$12:$I$34,MATCH($B25,'[6]Table 6'!$B$12:$B$34,0),1)</f>
        <v>50.922676244907834</v>
      </c>
      <c r="K25" s="292">
        <f t="shared" si="2"/>
        <v>-11.931023646852204</v>
      </c>
      <c r="L25" s="293">
        <f>($N$45*INDEX('Tariff Page Solar Tracking'!$D$9:$D$32,MATCH($B25,'Tariff Page Solar Tracking'!$B$9:$B$32,0))+$N$46*INDEX('Tariff Page Solar Tracking'!$C$9:$C$32,MATCH($B25,'Tariff Page Solar Tracking'!$B$9:$B$32,0))+$N$47*INDEX('Tariff Page Solar Tracking'!$F$9:$F$32,MATCH($B25,'Tariff Page Solar Tracking'!$B$9:$B$32,0))+$N$48*INDEX('Tariff Page Solar Tracking'!$E$9:$E$32,MATCH($B25,'Tariff Page Solar Tracking'!$B$9:$B$32,0)))*10</f>
        <v>40.782479078557941</v>
      </c>
      <c r="M25" s="291">
        <f>INDEX('[6]Table 6'!$L$12:$L$34,MATCH($B25,'[6]Table 6'!$B$12:$B$34,0),1)</f>
        <v>55.566425518371325</v>
      </c>
      <c r="N25" s="292">
        <f t="shared" si="3"/>
        <v>-14.783946439813384</v>
      </c>
      <c r="S25" s="273"/>
    </row>
    <row r="26" spans="2:19" x14ac:dyDescent="0.2">
      <c r="B26" s="290">
        <f t="shared" si="4"/>
        <v>2030</v>
      </c>
      <c r="C26" s="291">
        <f>($D$45*INDEX('Tariff Page'!$D$9:$D$32,MATCH($B26,'Tariff Page'!$B$9:$B$32,0))+$D$46*INDEX('Tariff Page'!$C$9:$C$32,MATCH($B26,'Tariff Page'!$B$9:$B$32,0))+$D$47*INDEX('Tariff Page'!$F$9:$F$32,MATCH($B26,'Tariff Page'!$B$9:$B$32,0))+$D$48*INDEX('Tariff Page'!$E$9:$E$32,MATCH($B26,'Tariff Page'!$B$9:$B$32,0)))*10</f>
        <v>52.261817351598168</v>
      </c>
      <c r="D26" s="291">
        <f>INDEX('[6]Table 6'!$C$12:$C$34,MATCH($B26,'[6]Table 6'!$B$12:$B$34,0),1)</f>
        <v>54.195378995433785</v>
      </c>
      <c r="E26" s="292">
        <f t="shared" si="0"/>
        <v>-1.9335616438356169</v>
      </c>
      <c r="F26" s="293">
        <f>($H$45*INDEX('Tariff Page Wind'!$D$9:$D$32,MATCH($B26,'Tariff Page Wind'!$B$9:$B$32,0))+$H$46*INDEX('Tariff Page Wind'!$C$9:$C$32,MATCH($B26,'Tariff Page Wind'!$B$9:$B$32,0))+$H$47*INDEX('Tariff Page Wind'!$F$9:$F$32,MATCH($B26,'Tariff Page Wind'!$B$9:$B$32,0))+$H$48*INDEX('Tariff Page Wind'!$E$9:$E$32,MATCH($B26,'Tariff Page Wind'!$B$9:$B$32,0)))*10</f>
        <v>34.491318891418231</v>
      </c>
      <c r="G26" s="291">
        <f>INDEX('[6]Table 6'!$F$12:$F$34,MATCH($B26,'[6]Table 6'!$B$12:$B$34,0),1)</f>
        <v>35.835649642401222</v>
      </c>
      <c r="H26" s="292">
        <f t="shared" si="1"/>
        <v>-1.3443307509829907</v>
      </c>
      <c r="I26" s="293">
        <f>($K$45*INDEX('Tariff Page Solar Fixed'!$D$9:$D$32,MATCH($B26,'Tariff Page Solar Fixed'!$B$9:$B$32,0))+$K$46*INDEX('Tariff Page Solar Fixed'!$C$9:$C$32,MATCH($B26,'Tariff Page Solar Fixed'!$B$9:$B$32,0))+$K$47*INDEX('Tariff Page Solar Fixed'!$F$9:$F$32,MATCH($B26,'Tariff Page Solar Fixed'!$B$9:$B$32,0))+$K$48*INDEX('Tariff Page Solar Fixed'!$E$9:$E$32,MATCH($B26,'Tariff Page Solar Fixed'!$B$9:$B$32,0)))*10</f>
        <v>41.248346887755133</v>
      </c>
      <c r="J26" s="291">
        <f>INDEX('[6]Table 6'!$I$12:$I$34,MATCH($B26,'[6]Table 6'!$B$12:$B$34,0),1)</f>
        <v>51.984753270472154</v>
      </c>
      <c r="K26" s="292">
        <f t="shared" si="2"/>
        <v>-10.736406382717021</v>
      </c>
      <c r="L26" s="293">
        <f>($N$45*INDEX('Tariff Page Solar Tracking'!$D$9:$D$32,MATCH($B26,'Tariff Page Solar Tracking'!$B$9:$B$32,0))+$N$46*INDEX('Tariff Page Solar Tracking'!$C$9:$C$32,MATCH($B26,'Tariff Page Solar Tracking'!$B$9:$B$32,0))+$N$47*INDEX('Tariff Page Solar Tracking'!$F$9:$F$32,MATCH($B26,'Tariff Page Solar Tracking'!$B$9:$B$32,0))+$N$48*INDEX('Tariff Page Solar Tracking'!$E$9:$E$32,MATCH($B26,'Tariff Page Solar Tracking'!$B$9:$B$32,0)))*10</f>
        <v>43.061846624596214</v>
      </c>
      <c r="M26" s="291">
        <f>INDEX('[6]Table 6'!$L$12:$L$34,MATCH($B26,'[6]Table 6'!$B$12:$B$34,0),1)</f>
        <v>56.714021800326726</v>
      </c>
      <c r="N26" s="292">
        <f t="shared" si="3"/>
        <v>-13.652175175730513</v>
      </c>
      <c r="S26" s="273"/>
    </row>
    <row r="27" spans="2:19" x14ac:dyDescent="0.2">
      <c r="B27" s="290">
        <f t="shared" si="4"/>
        <v>2031</v>
      </c>
      <c r="C27" s="291">
        <f>($D$45*INDEX('Tariff Page'!$D$9:$D$32,MATCH($B27,'Tariff Page'!$B$9:$B$32,0))+$D$46*INDEX('Tariff Page'!$C$9:$C$32,MATCH($B27,'Tariff Page'!$B$9:$B$32,0))+$D$47*INDEX('Tariff Page'!$F$9:$F$32,MATCH($B27,'Tariff Page'!$B$9:$B$32,0))+$D$48*INDEX('Tariff Page'!$E$9:$E$32,MATCH($B27,'Tariff Page'!$B$9:$B$32,0)))*10</f>
        <v>53.551899543378994</v>
      </c>
      <c r="D27" s="291">
        <f>INDEX('[6]Table 6'!$C$12:$C$34,MATCH($B27,'[6]Table 6'!$B$12:$B$34,0),1)</f>
        <v>56.893031963470321</v>
      </c>
      <c r="E27" s="292">
        <f t="shared" si="0"/>
        <v>-3.341132420091327</v>
      </c>
      <c r="F27" s="293">
        <f>($H$45*INDEX('Tariff Page Wind'!$D$9:$D$32,MATCH($B27,'Tariff Page Wind'!$B$9:$B$32,0))+$H$46*INDEX('Tariff Page Wind'!$C$9:$C$32,MATCH($B27,'Tariff Page Wind'!$B$9:$B$32,0))+$H$47*INDEX('Tariff Page Wind'!$F$9:$F$32,MATCH($B27,'Tariff Page Wind'!$B$9:$B$32,0))+$H$48*INDEX('Tariff Page Wind'!$E$9:$E$32,MATCH($B27,'Tariff Page Wind'!$B$9:$B$32,0)))*10</f>
        <v>35.273351863703688</v>
      </c>
      <c r="G27" s="291">
        <f>INDEX('[6]Table 6'!$F$12:$F$34,MATCH($B27,'[6]Table 6'!$B$12:$B$34,0),1)</f>
        <v>38.038961336920394</v>
      </c>
      <c r="H27" s="292">
        <f t="shared" si="1"/>
        <v>-2.7656094732167062</v>
      </c>
      <c r="I27" s="293">
        <f>($K$45*INDEX('Tariff Page Solar Fixed'!$D$9:$D$32,MATCH($B27,'Tariff Page Solar Fixed'!$B$9:$B$32,0))+$K$46*INDEX('Tariff Page Solar Fixed'!$C$9:$C$32,MATCH($B27,'Tariff Page Solar Fixed'!$B$9:$B$32,0))+$K$47*INDEX('Tariff Page Solar Fixed'!$F$9:$F$32,MATCH($B27,'Tariff Page Solar Fixed'!$B$9:$B$32,0))+$K$48*INDEX('Tariff Page Solar Fixed'!$E$9:$E$32,MATCH($B27,'Tariff Page Solar Fixed'!$B$9:$B$32,0)))*10</f>
        <v>42.365041177454607</v>
      </c>
      <c r="J27" s="291">
        <f>INDEX('[6]Table 6'!$I$12:$I$34,MATCH($B27,'[6]Table 6'!$B$12:$B$34,0),1)</f>
        <v>54.693934147314707</v>
      </c>
      <c r="K27" s="292">
        <f t="shared" si="2"/>
        <v>-12.3288929698601</v>
      </c>
      <c r="L27" s="293">
        <f>($N$45*INDEX('Tariff Page Solar Tracking'!$D$9:$D$32,MATCH($B27,'Tariff Page Solar Tracking'!$B$9:$B$32,0))+$N$46*INDEX('Tariff Page Solar Tracking'!$C$9:$C$32,MATCH($B27,'Tariff Page Solar Tracking'!$B$9:$B$32,0))+$N$47*INDEX('Tariff Page Solar Tracking'!$F$9:$F$32,MATCH($B27,'Tariff Page Solar Tracking'!$B$9:$B$32,0))+$N$48*INDEX('Tariff Page Solar Tracking'!$E$9:$E$32,MATCH($B27,'Tariff Page Solar Tracking'!$B$9:$B$32,0)))*10</f>
        <v>44.201214170634486</v>
      </c>
      <c r="M27" s="291">
        <f>INDEX('[6]Table 6'!$L$12:$L$34,MATCH($B27,'[6]Table 6'!$B$12:$B$34,0),1)</f>
        <v>59.508721933560345</v>
      </c>
      <c r="N27" s="292">
        <f t="shared" si="3"/>
        <v>-15.307507762925859</v>
      </c>
      <c r="S27" s="273"/>
    </row>
    <row r="28" spans="2:19" x14ac:dyDescent="0.2">
      <c r="B28" s="290">
        <f t="shared" si="4"/>
        <v>2032</v>
      </c>
      <c r="C28" s="291">
        <f>($D$45*INDEX('Tariff Page'!$D$9:$D$32,MATCH($B28,'Tariff Page'!$B$9:$B$32,0))+$D$46*INDEX('Tariff Page'!$C$9:$C$32,MATCH($B28,'Tariff Page'!$B$9:$B$32,0))+$D$47*INDEX('Tariff Page'!$F$9:$F$32,MATCH($B28,'Tariff Page'!$B$9:$B$32,0))+$D$48*INDEX('Tariff Page'!$E$9:$E$32,MATCH($B28,'Tariff Page'!$B$9:$B$32,0)))*10</f>
        <v>54.938803652968033</v>
      </c>
      <c r="D28" s="291">
        <f>INDEX('[6]Table 6'!$C$12:$C$34,MATCH($B28,'[6]Table 6'!$B$12:$B$34,0),1)</f>
        <v>58.231899543378987</v>
      </c>
      <c r="E28" s="292">
        <f t="shared" si="0"/>
        <v>-3.2930958904109531</v>
      </c>
      <c r="F28" s="293">
        <f>($H$45*INDEX('Tariff Page Wind'!$D$9:$D$32,MATCH($B28,'Tariff Page Wind'!$B$9:$B$32,0))+$H$46*INDEX('Tariff Page Wind'!$C$9:$C$32,MATCH($B28,'Tariff Page Wind'!$B$9:$B$32,0))+$H$47*INDEX('Tariff Page Wind'!$F$9:$F$32,MATCH($B28,'Tariff Page Wind'!$B$9:$B$32,0))+$H$48*INDEX('Tariff Page Wind'!$E$9:$E$32,MATCH($B28,'Tariff Page Wind'!$B$9:$B$32,0)))*10</f>
        <v>36.024106113755423</v>
      </c>
      <c r="G28" s="291">
        <f>INDEX('[6]Table 6'!$F$12:$F$34,MATCH($B28,'[6]Table 6'!$B$12:$B$34,0),1)</f>
        <v>39.022273031439575</v>
      </c>
      <c r="H28" s="292">
        <f t="shared" si="1"/>
        <v>-2.9981669176841521</v>
      </c>
      <c r="I28" s="293">
        <f>($K$45*INDEX('Tariff Page Solar Fixed'!$D$9:$D$32,MATCH($B28,'Tariff Page Solar Fixed'!$B$9:$B$32,0))+$K$46*INDEX('Tariff Page Solar Fixed'!$C$9:$C$32,MATCH($B28,'Tariff Page Solar Fixed'!$B$9:$B$32,0))+$K$47*INDEX('Tariff Page Solar Fixed'!$F$9:$F$32,MATCH($B28,'Tariff Page Solar Fixed'!$B$9:$B$32,0))+$K$48*INDEX('Tariff Page Solar Fixed'!$E$9:$E$32,MATCH($B28,'Tariff Page Solar Fixed'!$B$9:$B$32,0)))*10</f>
        <v>43.561735467154094</v>
      </c>
      <c r="J28" s="291">
        <f>INDEX('[6]Table 6'!$I$12:$I$34,MATCH($B28,'[6]Table 6'!$B$12:$B$34,0),1)</f>
        <v>56.041666949796358</v>
      </c>
      <c r="K28" s="292">
        <f t="shared" si="2"/>
        <v>-12.479931482642264</v>
      </c>
      <c r="L28" s="293">
        <f>($N$45*INDEX('Tariff Page Solar Tracking'!$D$9:$D$32,MATCH($B28,'Tariff Page Solar Tracking'!$B$9:$B$32,0))+$N$46*INDEX('Tariff Page Solar Tracking'!$C$9:$C$32,MATCH($B28,'Tariff Page Solar Tracking'!$B$9:$B$32,0))+$N$47*INDEX('Tariff Page Solar Tracking'!$F$9:$F$32,MATCH($B28,'Tariff Page Solar Tracking'!$B$9:$B$32,0))+$N$48*INDEX('Tariff Page Solar Tracking'!$E$9:$E$32,MATCH($B28,'Tariff Page Solar Tracking'!$B$9:$B$32,0)))*10</f>
        <v>45.429018929981915</v>
      </c>
      <c r="M28" s="291">
        <f>INDEX('[6]Table 6'!$L$12:$L$34,MATCH($B28,'[6]Table 6'!$B$12:$B$34,0),1)</f>
        <v>60.950525918072188</v>
      </c>
      <c r="N28" s="292">
        <f t="shared" si="3"/>
        <v>-15.521506988090273</v>
      </c>
      <c r="S28" s="273"/>
    </row>
    <row r="29" spans="2:19" x14ac:dyDescent="0.2">
      <c r="B29" s="290">
        <f t="shared" si="4"/>
        <v>2033</v>
      </c>
      <c r="C29" s="291">
        <f>($D$45*INDEX('Tariff Page'!$D$9:$D$32,MATCH($B29,'Tariff Page'!$B$9:$B$32,0))+$D$46*INDEX('Tariff Page'!$C$9:$C$32,MATCH($B29,'Tariff Page'!$B$9:$B$32,0))+$D$47*INDEX('Tariff Page'!$F$9:$F$32,MATCH($B29,'Tariff Page'!$B$9:$B$32,0))+$D$48*INDEX('Tariff Page'!$E$9:$E$32,MATCH($B29,'Tariff Page'!$B$9:$B$32,0)))*10</f>
        <v>56.591315068493145</v>
      </c>
      <c r="D29" s="291">
        <f>INDEX('[6]Table 6'!$C$12:$C$34,MATCH($B29,'[6]Table 6'!$B$12:$B$34,0),1)</f>
        <v>59.126374429223745</v>
      </c>
      <c r="E29" s="292">
        <f t="shared" si="0"/>
        <v>-2.5350593607305996</v>
      </c>
      <c r="F29" s="293">
        <f>($H$45*INDEX('Tariff Page Wind'!$D$9:$D$32,MATCH($B29,'Tariff Page Wind'!$B$9:$B$32,0))+$H$46*INDEX('Tariff Page Wind'!$C$9:$C$32,MATCH($B29,'Tariff Page Wind'!$B$9:$B$32,0))+$H$47*INDEX('Tariff Page Wind'!$F$9:$F$32,MATCH($B29,'Tariff Page Wind'!$B$9:$B$32,0))+$H$48*INDEX('Tariff Page Wind'!$E$9:$E$32,MATCH($B29,'Tariff Page Wind'!$B$9:$B$32,0)))*10</f>
        <v>37.78049972492402</v>
      </c>
      <c r="G29" s="291">
        <f>INDEX('[6]Table 6'!$F$12:$F$34,MATCH($B29,'[6]Table 6'!$B$12:$B$34,0),1)</f>
        <v>39.435584725958755</v>
      </c>
      <c r="H29" s="292">
        <f t="shared" si="1"/>
        <v>-1.6550850010347347</v>
      </c>
      <c r="I29" s="293">
        <f>($K$45*INDEX('Tariff Page Solar Fixed'!$D$9:$D$32,MATCH($B29,'Tariff Page Solar Fixed'!$B$9:$B$32,0))+$K$46*INDEX('Tariff Page Solar Fixed'!$C$9:$C$32,MATCH($B29,'Tariff Page Solar Fixed'!$B$9:$B$32,0))+$K$47*INDEX('Tariff Page Solar Fixed'!$F$9:$F$32,MATCH($B29,'Tariff Page Solar Fixed'!$B$9:$B$32,0))+$K$48*INDEX('Tariff Page Solar Fixed'!$E$9:$E$32,MATCH($B29,'Tariff Page Solar Fixed'!$B$9:$B$32,0)))*10</f>
        <v>45.026981682492689</v>
      </c>
      <c r="J29" s="291">
        <f>INDEX('[6]Table 6'!$I$12:$I$34,MATCH($B29,'[6]Table 6'!$B$12:$B$34,0),1)</f>
        <v>56.956503603556214</v>
      </c>
      <c r="K29" s="292">
        <f t="shared" si="2"/>
        <v>-11.929521921063525</v>
      </c>
      <c r="L29" s="293">
        <f>($N$45*INDEX('Tariff Page Solar Tracking'!$D$9:$D$32,MATCH($B29,'Tariff Page Solar Tracking'!$B$9:$B$32,0))+$N$46*INDEX('Tariff Page Solar Tracking'!$C$9:$C$32,MATCH($B29,'Tariff Page Solar Tracking'!$B$9:$B$32,0))+$N$47*INDEX('Tariff Page Solar Tracking'!$F$9:$F$32,MATCH($B29,'Tariff Page Solar Tracking'!$B$9:$B$32,0))+$N$48*INDEX('Tariff Page Solar Tracking'!$E$9:$E$32,MATCH($B29,'Tariff Page Solar Tracking'!$B$9:$B$32,0)))*10</f>
        <v>46.916823689329348</v>
      </c>
      <c r="M29" s="291">
        <f>INDEX('[6]Table 6'!$L$12:$L$34,MATCH($B29,'[6]Table 6'!$B$12:$B$34,0),1)</f>
        <v>61.942329902584028</v>
      </c>
      <c r="N29" s="292">
        <f t="shared" si="3"/>
        <v>-15.02550621325468</v>
      </c>
      <c r="S29" s="273"/>
    </row>
    <row r="30" spans="2:19" x14ac:dyDescent="0.2">
      <c r="B30" s="290"/>
      <c r="C30" s="291"/>
      <c r="D30" s="291"/>
      <c r="E30" s="292"/>
      <c r="F30" s="293"/>
      <c r="G30" s="291"/>
      <c r="H30" s="292"/>
      <c r="I30" s="293"/>
      <c r="J30" s="291"/>
      <c r="K30" s="292"/>
      <c r="L30" s="293"/>
      <c r="M30" s="291"/>
      <c r="N30" s="292"/>
      <c r="S30" s="273"/>
    </row>
    <row r="31" spans="2:19" hidden="1" x14ac:dyDescent="0.2">
      <c r="B31" s="290"/>
      <c r="C31" s="291"/>
      <c r="D31" s="291"/>
      <c r="E31" s="292"/>
      <c r="F31" s="293"/>
      <c r="G31" s="291"/>
      <c r="H31" s="292"/>
      <c r="I31" s="293"/>
      <c r="J31" s="291"/>
      <c r="K31" s="292"/>
      <c r="L31" s="293"/>
      <c r="M31" s="291"/>
      <c r="N31" s="292"/>
      <c r="S31" s="273"/>
    </row>
    <row r="32" spans="2:19" hidden="1" x14ac:dyDescent="0.2">
      <c r="B32" s="290"/>
      <c r="C32" s="291"/>
      <c r="D32" s="291"/>
      <c r="E32" s="292"/>
      <c r="F32" s="293"/>
      <c r="G32" s="291"/>
      <c r="H32" s="292"/>
      <c r="I32" s="293"/>
      <c r="J32" s="291"/>
      <c r="K32" s="292"/>
      <c r="L32" s="293"/>
      <c r="M32" s="291"/>
      <c r="N32" s="292"/>
      <c r="S32" s="273"/>
    </row>
    <row r="33" spans="2:22" hidden="1" x14ac:dyDescent="0.2">
      <c r="B33" s="290"/>
      <c r="C33" s="291"/>
      <c r="D33" s="291"/>
      <c r="E33" s="292"/>
      <c r="F33" s="293"/>
      <c r="G33" s="291"/>
      <c r="H33" s="292"/>
      <c r="I33" s="293"/>
      <c r="J33" s="291"/>
      <c r="K33" s="292"/>
      <c r="L33" s="293"/>
      <c r="M33" s="291"/>
      <c r="N33" s="292"/>
      <c r="S33" s="273"/>
    </row>
    <row r="34" spans="2:22" hidden="1" x14ac:dyDescent="0.2">
      <c r="B34" s="290"/>
      <c r="C34" s="291"/>
      <c r="D34" s="291"/>
      <c r="E34" s="291"/>
      <c r="F34" s="291"/>
      <c r="G34" s="291"/>
      <c r="H34" s="291"/>
      <c r="I34" s="291"/>
      <c r="J34" s="291"/>
      <c r="K34" s="291"/>
      <c r="L34" s="291"/>
      <c r="M34" s="291"/>
      <c r="N34" s="291"/>
    </row>
    <row r="35" spans="2:22" hidden="1" x14ac:dyDescent="0.2">
      <c r="B35" s="290"/>
      <c r="C35" s="291"/>
      <c r="D35" s="291"/>
      <c r="E35" s="291"/>
      <c r="F35" s="291"/>
      <c r="G35" s="291"/>
      <c r="H35" s="291"/>
      <c r="I35" s="291"/>
      <c r="J35" s="291"/>
      <c r="K35" s="291"/>
      <c r="L35" s="291"/>
      <c r="M35" s="291"/>
      <c r="N35" s="291"/>
    </row>
    <row r="36" spans="2:22" hidden="1" x14ac:dyDescent="0.2">
      <c r="B36" s="290"/>
      <c r="C36" s="291"/>
      <c r="D36" s="291"/>
      <c r="E36" s="291"/>
      <c r="F36" s="291"/>
      <c r="G36" s="291"/>
      <c r="H36" s="291"/>
      <c r="I36" s="291"/>
      <c r="J36" s="291"/>
      <c r="K36" s="291"/>
      <c r="L36" s="291"/>
      <c r="M36" s="291"/>
      <c r="N36" s="291"/>
    </row>
    <row r="37" spans="2:22" hidden="1" x14ac:dyDescent="0.2">
      <c r="C37" s="264"/>
      <c r="F37" s="264"/>
      <c r="I37" s="264"/>
      <c r="L37" s="264"/>
    </row>
    <row r="38" spans="2:22" x14ac:dyDescent="0.2">
      <c r="B38" s="223" t="str">
        <f>"15 Year ("&amp;B13&amp;" to "&amp;B27&amp;") Levelized Prices (Nominal) @ "&amp;TEXT($P$39,"?.000%")&amp;" Discount Rate"</f>
        <v>15 Year (2017 to 2031) Levelized Prices (Nominal) @ 6.660% Discount Rate</v>
      </c>
      <c r="C38" s="264"/>
      <c r="F38" s="264"/>
      <c r="I38" s="264"/>
      <c r="L38" s="264"/>
      <c r="O38" s="295"/>
      <c r="P38" s="35" t="s">
        <v>270</v>
      </c>
    </row>
    <row r="39" spans="2:22" x14ac:dyDescent="0.2">
      <c r="B39" s="296" t="s">
        <v>36</v>
      </c>
      <c r="C39" s="291">
        <f>-PMT($P$39,COUNT(C13:C27),NPV($P$39,C13:C27))</f>
        <v>33.122249670892423</v>
      </c>
      <c r="D39" s="291">
        <f t="shared" ref="D39:N39" si="5">-PMT($P$39,COUNT(D13:D27),NPV($P$39,D13:D27))</f>
        <v>37.987290855708686</v>
      </c>
      <c r="E39" s="292">
        <f t="shared" si="5"/>
        <v>-4.8650411848162625</v>
      </c>
      <c r="F39" s="291">
        <f t="shared" si="5"/>
        <v>28.516870581972217</v>
      </c>
      <c r="G39" s="291">
        <f t="shared" si="5"/>
        <v>31.948929481375174</v>
      </c>
      <c r="H39" s="292">
        <f t="shared" si="5"/>
        <v>-3.4320588994029544</v>
      </c>
      <c r="I39" s="291">
        <f t="shared" si="5"/>
        <v>30.015714040232471</v>
      </c>
      <c r="J39" s="291">
        <f t="shared" si="5"/>
        <v>37.367300226497456</v>
      </c>
      <c r="K39" s="292">
        <f t="shared" si="5"/>
        <v>-7.3515861862649974</v>
      </c>
      <c r="L39" s="291">
        <f t="shared" si="5"/>
        <v>30.901258162481195</v>
      </c>
      <c r="M39" s="291">
        <f t="shared" si="5"/>
        <v>38.744886960309017</v>
      </c>
      <c r="N39" s="292">
        <f t="shared" si="5"/>
        <v>-7.8436287978278152</v>
      </c>
      <c r="O39" s="297"/>
      <c r="P39" s="85">
        <v>6.6600000000000006E-2</v>
      </c>
    </row>
    <row r="40" spans="2:22" x14ac:dyDescent="0.2">
      <c r="C40" s="298"/>
      <c r="D40" s="298"/>
      <c r="E40" s="298"/>
      <c r="F40" s="298"/>
      <c r="G40" s="298"/>
      <c r="H40" s="298"/>
      <c r="I40" s="298"/>
      <c r="J40" s="298"/>
      <c r="K40" s="298"/>
      <c r="L40" s="298"/>
      <c r="M40" s="298"/>
      <c r="N40" s="298"/>
      <c r="O40" s="298"/>
      <c r="P40" s="298"/>
    </row>
    <row r="42" spans="2:22" x14ac:dyDescent="0.2">
      <c r="B42" s="296"/>
    </row>
    <row r="43" spans="2:22" x14ac:dyDescent="0.2">
      <c r="B43"/>
      <c r="C43"/>
      <c r="D43"/>
      <c r="E43"/>
      <c r="F43" s="210"/>
      <c r="G43"/>
      <c r="H43"/>
      <c r="I43" s="210"/>
      <c r="J43"/>
      <c r="K43"/>
      <c r="L43" s="210"/>
      <c r="M43"/>
      <c r="N43"/>
    </row>
    <row r="44" spans="2:22" x14ac:dyDescent="0.2">
      <c r="B44"/>
      <c r="C44" t="s">
        <v>208</v>
      </c>
      <c r="D44" t="s">
        <v>209</v>
      </c>
      <c r="E44"/>
      <c r="F44" s="210"/>
      <c r="H44" s="362" t="s">
        <v>210</v>
      </c>
      <c r="I44" s="210"/>
      <c r="K44" s="363" t="s">
        <v>267</v>
      </c>
      <c r="L44" s="211"/>
      <c r="N44" s="362" t="s">
        <v>268</v>
      </c>
      <c r="O44" s="298"/>
      <c r="P44" s="298"/>
      <c r="Q44" s="298"/>
      <c r="R44" s="298"/>
      <c r="S44" s="299"/>
      <c r="T44" s="299"/>
      <c r="U44" s="299"/>
      <c r="V44" s="299"/>
    </row>
    <row r="45" spans="2:22" x14ac:dyDescent="0.2">
      <c r="B45" s="165" t="s">
        <v>192</v>
      </c>
      <c r="C45" s="165">
        <v>1632</v>
      </c>
      <c r="D45" s="133">
        <f>C45/SUM($C$45:$C$48)</f>
        <v>0.18630136986301371</v>
      </c>
      <c r="E45" s="133"/>
      <c r="F45" s="211"/>
      <c r="G45" s="133"/>
      <c r="H45" s="322">
        <v>0.17216903994804833</v>
      </c>
      <c r="I45" s="211"/>
      <c r="J45" s="133"/>
      <c r="K45" s="322">
        <v>0.3289453541145318</v>
      </c>
      <c r="L45" s="211"/>
      <c r="M45" s="133"/>
      <c r="N45" s="322">
        <v>0.34781254526635791</v>
      </c>
    </row>
    <row r="46" spans="2:22" x14ac:dyDescent="0.2">
      <c r="B46" s="165" t="s">
        <v>193</v>
      </c>
      <c r="C46" s="165">
        <v>3280</v>
      </c>
      <c r="D46" s="133">
        <f>C46/SUM($C$45:$C$48)</f>
        <v>0.37442922374429222</v>
      </c>
      <c r="E46" s="133">
        <f>D46+D45</f>
        <v>0.56073059360730593</v>
      </c>
      <c r="F46" s="211"/>
      <c r="G46" s="133"/>
      <c r="H46" s="322">
        <v>0.39176707173791331</v>
      </c>
      <c r="I46" s="211"/>
      <c r="J46" s="133"/>
      <c r="K46" s="322">
        <v>0.52624720979627981</v>
      </c>
      <c r="L46" s="211"/>
      <c r="M46" s="133"/>
      <c r="N46" s="322">
        <v>0.49590878565006036</v>
      </c>
    </row>
    <row r="47" spans="2:22" x14ac:dyDescent="0.2">
      <c r="B47" s="165" t="s">
        <v>194</v>
      </c>
      <c r="C47" s="165">
        <v>1296</v>
      </c>
      <c r="D47" s="133">
        <f>C47/SUM($C$45:$C$48)</f>
        <v>0.14794520547945206</v>
      </c>
      <c r="E47" s="133"/>
      <c r="F47" s="211"/>
      <c r="G47" s="133"/>
      <c r="H47" s="322">
        <v>0.12821593877132742</v>
      </c>
      <c r="I47" s="211"/>
      <c r="J47" s="133"/>
      <c r="K47" s="322">
        <v>5.62390332585695E-2</v>
      </c>
      <c r="L47" s="211"/>
      <c r="M47" s="133"/>
      <c r="N47" s="322">
        <v>6.8523846101145897E-2</v>
      </c>
    </row>
    <row r="48" spans="2:22" x14ac:dyDescent="0.2">
      <c r="B48" s="165" t="s">
        <v>195</v>
      </c>
      <c r="C48" s="165">
        <v>2552</v>
      </c>
      <c r="D48" s="133">
        <f>C48/SUM($C$45:$C$48)</f>
        <v>0.29132420091324202</v>
      </c>
      <c r="E48" s="133">
        <f>D48+D47</f>
        <v>0.43926940639269407</v>
      </c>
      <c r="F48" s="211"/>
      <c r="G48" s="165"/>
      <c r="H48" s="322">
        <v>0.30784794954271094</v>
      </c>
      <c r="I48" s="211"/>
      <c r="J48" s="165"/>
      <c r="K48" s="322">
        <v>8.8568402830619022E-2</v>
      </c>
      <c r="L48" s="211"/>
      <c r="M48" s="165"/>
      <c r="N48" s="322">
        <v>8.7754822982435782E-2</v>
      </c>
    </row>
    <row r="49" spans="2:14" x14ac:dyDescent="0.2">
      <c r="B49"/>
      <c r="C49"/>
      <c r="D49"/>
      <c r="E49"/>
      <c r="F49" s="210"/>
      <c r="G49"/>
      <c r="H49"/>
      <c r="I49" s="210"/>
      <c r="J49"/>
      <c r="K49"/>
      <c r="L49" s="210"/>
      <c r="M49"/>
      <c r="N49"/>
    </row>
    <row r="51" spans="2:14" x14ac:dyDescent="0.2">
      <c r="F51" s="300"/>
      <c r="I51" s="300"/>
      <c r="J51" s="300"/>
      <c r="K51" s="300"/>
      <c r="L51" s="300"/>
    </row>
    <row r="56" spans="2:14" ht="24.75" customHeight="1" x14ac:dyDescent="0.2"/>
  </sheetData>
  <phoneticPr fontId="8" type="noConversion"/>
  <printOptions horizontalCentered="1"/>
  <pageMargins left="0.25" right="0.25" top="0.75" bottom="0.75" header="0.3" footer="0.3"/>
  <pageSetup scale="51" orientation="portrait" r:id="rId1"/>
  <headerFooter alignWithMargins="0">
    <oddFooter>&amp;L&amp;8NPC Group - &amp;F   ( &amp;A )&amp;C &amp;R &amp;8&amp;D  &amp;T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P156"/>
  <sheetViews>
    <sheetView topLeftCell="A96" zoomScale="80" zoomScaleNormal="80" workbookViewId="0">
      <selection activeCell="D141" sqref="D141"/>
    </sheetView>
  </sheetViews>
  <sheetFormatPr defaultRowHeight="12.75" x14ac:dyDescent="0.2"/>
  <cols>
    <col min="1" max="1" width="1.33203125" style="365" customWidth="1"/>
    <col min="2" max="2" width="9.33203125" style="365" customWidth="1"/>
    <col min="3" max="3" width="9.83203125" style="365" customWidth="1"/>
    <col min="4" max="4" width="12.1640625" style="365" customWidth="1"/>
    <col min="5" max="5" width="10" style="365" customWidth="1"/>
    <col min="6" max="6" width="9.83203125" style="365" bestFit="1" customWidth="1"/>
    <col min="7" max="8" width="10.1640625" style="365" customWidth="1"/>
    <col min="9" max="9" width="9" style="365" customWidth="1"/>
    <col min="10" max="10" width="10.33203125" style="365" customWidth="1"/>
    <col min="11" max="11" width="10.5" style="365" customWidth="1"/>
    <col min="12" max="13" width="9.33203125" style="365"/>
    <col min="14" max="15" width="0" style="365" hidden="1" customWidth="1"/>
    <col min="16" max="16384" width="9.33203125" style="365"/>
  </cols>
  <sheetData>
    <row r="1" spans="1:12" ht="15.75" x14ac:dyDescent="0.25">
      <c r="B1" s="366" t="s">
        <v>33</v>
      </c>
      <c r="C1" s="367"/>
      <c r="D1" s="367"/>
      <c r="E1" s="367"/>
      <c r="F1" s="367"/>
      <c r="G1" s="367"/>
      <c r="H1" s="367"/>
      <c r="I1" s="367"/>
      <c r="J1" s="367"/>
      <c r="K1" s="366"/>
    </row>
    <row r="2" spans="1:12" ht="15.75" x14ac:dyDescent="0.25">
      <c r="B2" s="366" t="s">
        <v>83</v>
      </c>
      <c r="C2" s="367"/>
      <c r="D2" s="367"/>
      <c r="E2" s="367"/>
      <c r="F2" s="367"/>
      <c r="G2" s="367"/>
      <c r="H2" s="367"/>
      <c r="I2" s="367"/>
      <c r="J2" s="367"/>
      <c r="K2" s="367"/>
    </row>
    <row r="3" spans="1:12" ht="15.75" x14ac:dyDescent="0.25">
      <c r="B3" s="366"/>
      <c r="C3" s="367"/>
      <c r="D3" s="367"/>
      <c r="E3" s="367"/>
      <c r="F3" s="367"/>
      <c r="G3" s="367"/>
      <c r="H3" s="367"/>
      <c r="I3" s="367"/>
      <c r="J3" s="367"/>
      <c r="K3" s="368" t="s">
        <v>84</v>
      </c>
    </row>
    <row r="4" spans="1:12" ht="5.25" customHeight="1" x14ac:dyDescent="0.2">
      <c r="B4" s="369"/>
      <c r="C4" s="369"/>
      <c r="D4" s="369"/>
      <c r="E4" s="369"/>
      <c r="F4" s="369"/>
      <c r="G4" s="369"/>
      <c r="H4" s="369"/>
      <c r="I4" s="369"/>
      <c r="J4" s="369"/>
      <c r="K4" s="369"/>
      <c r="L4" s="370"/>
    </row>
    <row r="5" spans="1:12" ht="51.75" customHeight="1" x14ac:dyDescent="0.2">
      <c r="A5" s="371"/>
      <c r="B5" s="372" t="s">
        <v>2</v>
      </c>
      <c r="C5" s="373" t="s">
        <v>38</v>
      </c>
      <c r="D5" s="373" t="s">
        <v>39</v>
      </c>
      <c r="E5" s="373" t="s">
        <v>40</v>
      </c>
      <c r="F5" s="373" t="s">
        <v>41</v>
      </c>
      <c r="G5" s="373" t="s">
        <v>42</v>
      </c>
      <c r="H5" s="373" t="s">
        <v>43</v>
      </c>
      <c r="I5" s="369"/>
      <c r="J5" s="369"/>
      <c r="K5" s="369"/>
      <c r="L5" s="370"/>
    </row>
    <row r="6" spans="1:12" ht="18.75" customHeight="1" x14ac:dyDescent="0.2">
      <c r="B6" s="374"/>
      <c r="C6" s="462" t="s">
        <v>34</v>
      </c>
      <c r="D6" s="463" t="s">
        <v>35</v>
      </c>
      <c r="E6" s="463" t="s">
        <v>35</v>
      </c>
      <c r="F6" s="463" t="s">
        <v>36</v>
      </c>
      <c r="G6" s="463" t="s">
        <v>35</v>
      </c>
      <c r="H6" s="463" t="s">
        <v>35</v>
      </c>
      <c r="I6" s="369"/>
      <c r="J6" s="369"/>
      <c r="K6" s="369"/>
      <c r="L6" s="370"/>
    </row>
    <row r="7" spans="1:12" x14ac:dyDescent="0.2">
      <c r="C7" s="375" t="s">
        <v>19</v>
      </c>
      <c r="D7" s="375" t="s">
        <v>20</v>
      </c>
      <c r="E7" s="375" t="s">
        <v>21</v>
      </c>
      <c r="F7" s="375" t="s">
        <v>22</v>
      </c>
      <c r="G7" s="375" t="s">
        <v>23</v>
      </c>
      <c r="H7" s="375" t="s">
        <v>29</v>
      </c>
      <c r="I7" s="369"/>
      <c r="J7" s="369"/>
      <c r="K7" s="369"/>
    </row>
    <row r="8" spans="1:12" ht="6" customHeight="1" x14ac:dyDescent="0.2">
      <c r="I8" s="369"/>
      <c r="J8" s="369"/>
      <c r="K8" s="369"/>
    </row>
    <row r="9" spans="1:12" ht="15.75" x14ac:dyDescent="0.25">
      <c r="B9" s="376" t="str">
        <f>C36</f>
        <v>SCCT Frame "F" x1 - East Side Resource (5,550')</v>
      </c>
      <c r="C9" s="370"/>
      <c r="E9" s="370"/>
      <c r="F9" s="370"/>
      <c r="G9" s="370"/>
      <c r="H9" s="370"/>
      <c r="I9" s="369"/>
      <c r="J9" s="369"/>
      <c r="K9" s="369"/>
      <c r="L9" s="370"/>
    </row>
    <row r="10" spans="1:12" x14ac:dyDescent="0.2">
      <c r="B10" s="377">
        <v>2014</v>
      </c>
      <c r="C10" s="378">
        <f>C38</f>
        <v>829.91895118819082</v>
      </c>
      <c r="D10" s="379">
        <f>ROUND(C10*$C$43,2)</f>
        <v>64.459999999999994</v>
      </c>
      <c r="E10" s="379">
        <f>C41</f>
        <v>28.471231364272921</v>
      </c>
      <c r="F10" s="379">
        <f>C42</f>
        <v>4.8499819761645719</v>
      </c>
      <c r="G10" s="380">
        <f t="shared" ref="G10:G12" si="0">ROUND(F10*(8.76*$C$44)+E10,2)</f>
        <v>42.49</v>
      </c>
      <c r="H10" s="380">
        <f t="shared" ref="H10:H12" si="1">ROUND(D10+G10,2)</f>
        <v>106.95</v>
      </c>
      <c r="I10" s="369"/>
      <c r="J10" s="369"/>
      <c r="K10" s="369"/>
      <c r="L10" s="370"/>
    </row>
    <row r="11" spans="1:12" x14ac:dyDescent="0.2">
      <c r="B11" s="377">
        <v>2015</v>
      </c>
      <c r="C11" s="378"/>
      <c r="D11" s="379">
        <f t="shared" ref="D11:F17" si="2">ROUND(D10*(1+INDEX($D$145:$D$151,MATCH($B11,$C$145:$C$151,0))),2)</f>
        <v>64.849999999999994</v>
      </c>
      <c r="E11" s="379">
        <f t="shared" si="2"/>
        <v>28.64</v>
      </c>
      <c r="F11" s="379">
        <f t="shared" si="2"/>
        <v>4.88</v>
      </c>
      <c r="G11" s="380">
        <f t="shared" si="0"/>
        <v>42.75</v>
      </c>
      <c r="H11" s="380">
        <f t="shared" si="1"/>
        <v>107.6</v>
      </c>
      <c r="I11" s="369"/>
      <c r="J11" s="369"/>
      <c r="K11" s="369"/>
      <c r="L11" s="370"/>
    </row>
    <row r="12" spans="1:12" x14ac:dyDescent="0.2">
      <c r="B12" s="377">
        <v>2016</v>
      </c>
      <c r="C12" s="378"/>
      <c r="D12" s="379">
        <f t="shared" si="2"/>
        <v>65.63</v>
      </c>
      <c r="E12" s="379">
        <f t="shared" si="2"/>
        <v>28.98</v>
      </c>
      <c r="F12" s="379">
        <f t="shared" si="2"/>
        <v>4.9400000000000004</v>
      </c>
      <c r="G12" s="380">
        <f t="shared" si="0"/>
        <v>43.26</v>
      </c>
      <c r="H12" s="380">
        <f t="shared" si="1"/>
        <v>108.89</v>
      </c>
      <c r="I12" s="369"/>
      <c r="J12" s="369"/>
      <c r="K12" s="369"/>
    </row>
    <row r="13" spans="1:12" x14ac:dyDescent="0.2">
      <c r="B13" s="377">
        <f t="shared" ref="B13:B29" si="3">B12+1</f>
        <v>2017</v>
      </c>
      <c r="C13" s="381"/>
      <c r="D13" s="379">
        <f t="shared" si="2"/>
        <v>67.069999999999993</v>
      </c>
      <c r="E13" s="379">
        <f t="shared" si="2"/>
        <v>29.62</v>
      </c>
      <c r="F13" s="379">
        <f t="shared" si="2"/>
        <v>5.05</v>
      </c>
      <c r="G13" s="380">
        <f t="shared" ref="G13:G29" si="4">ROUND(F13*(8.76*$C$44)+E13,2)</f>
        <v>44.22</v>
      </c>
      <c r="H13" s="380">
        <f t="shared" ref="H13:H29" si="5">ROUND(D13+G13,2)</f>
        <v>111.29</v>
      </c>
      <c r="I13" s="369"/>
      <c r="J13" s="369"/>
      <c r="K13" s="369"/>
    </row>
    <row r="14" spans="1:12" x14ac:dyDescent="0.2">
      <c r="B14" s="377">
        <f t="shared" si="3"/>
        <v>2018</v>
      </c>
      <c r="C14" s="381"/>
      <c r="D14" s="379">
        <f t="shared" si="2"/>
        <v>68.680000000000007</v>
      </c>
      <c r="E14" s="379">
        <f t="shared" si="2"/>
        <v>30.33</v>
      </c>
      <c r="F14" s="379">
        <f t="shared" si="2"/>
        <v>5.17</v>
      </c>
      <c r="G14" s="380">
        <f t="shared" si="4"/>
        <v>45.28</v>
      </c>
      <c r="H14" s="380">
        <f t="shared" si="5"/>
        <v>113.96</v>
      </c>
      <c r="I14" s="382"/>
      <c r="J14" s="382"/>
      <c r="K14" s="383"/>
    </row>
    <row r="15" spans="1:12" x14ac:dyDescent="0.2">
      <c r="B15" s="377">
        <f t="shared" si="3"/>
        <v>2019</v>
      </c>
      <c r="C15" s="381"/>
      <c r="D15" s="379">
        <f t="shared" si="2"/>
        <v>70.33</v>
      </c>
      <c r="E15" s="379">
        <f t="shared" si="2"/>
        <v>31.06</v>
      </c>
      <c r="F15" s="379">
        <f t="shared" si="2"/>
        <v>5.29</v>
      </c>
      <c r="G15" s="380">
        <f t="shared" si="4"/>
        <v>46.35</v>
      </c>
      <c r="H15" s="380">
        <f t="shared" si="5"/>
        <v>116.68</v>
      </c>
      <c r="I15" s="382"/>
      <c r="J15" s="382"/>
      <c r="K15" s="383"/>
    </row>
    <row r="16" spans="1:12" x14ac:dyDescent="0.2">
      <c r="B16" s="377">
        <f t="shared" si="3"/>
        <v>2020</v>
      </c>
      <c r="C16" s="381"/>
      <c r="D16" s="379">
        <f t="shared" si="2"/>
        <v>72.02</v>
      </c>
      <c r="E16" s="379">
        <f t="shared" si="2"/>
        <v>31.81</v>
      </c>
      <c r="F16" s="379">
        <f t="shared" si="2"/>
        <v>5.42</v>
      </c>
      <c r="G16" s="380">
        <f t="shared" si="4"/>
        <v>47.48</v>
      </c>
      <c r="H16" s="380">
        <f t="shared" si="5"/>
        <v>119.5</v>
      </c>
      <c r="I16" s="382"/>
      <c r="J16" s="382"/>
      <c r="K16" s="383"/>
    </row>
    <row r="17" spans="2:12" x14ac:dyDescent="0.2">
      <c r="B17" s="377">
        <f t="shared" si="3"/>
        <v>2021</v>
      </c>
      <c r="C17" s="381"/>
      <c r="D17" s="379">
        <f t="shared" si="2"/>
        <v>73.75</v>
      </c>
      <c r="E17" s="379">
        <f t="shared" si="2"/>
        <v>32.57</v>
      </c>
      <c r="F17" s="379">
        <f t="shared" si="2"/>
        <v>5.55</v>
      </c>
      <c r="G17" s="380">
        <f t="shared" si="4"/>
        <v>48.61</v>
      </c>
      <c r="H17" s="380">
        <f t="shared" si="5"/>
        <v>122.36</v>
      </c>
      <c r="I17" s="382"/>
      <c r="J17" s="382"/>
      <c r="K17" s="383"/>
    </row>
    <row r="18" spans="2:12" x14ac:dyDescent="0.2">
      <c r="B18" s="377">
        <f t="shared" si="3"/>
        <v>2022</v>
      </c>
      <c r="C18" s="381"/>
      <c r="D18" s="384">
        <f t="shared" ref="D18:F24" si="6">ROUND(D17*(1+INDEX($G$145:$G$151,MATCH($B18,$F$145:$F$151,0))),2)</f>
        <v>75.45</v>
      </c>
      <c r="E18" s="384">
        <f t="shared" si="6"/>
        <v>33.32</v>
      </c>
      <c r="F18" s="384">
        <f t="shared" si="6"/>
        <v>5.68</v>
      </c>
      <c r="G18" s="380">
        <f t="shared" ref="G18:G19" si="7">ROUND(F18*(8.76*$C$44)+E18,2)</f>
        <v>49.74</v>
      </c>
      <c r="H18" s="380">
        <f t="shared" ref="H18:H19" si="8">ROUND(D18+G18,2)</f>
        <v>125.19</v>
      </c>
      <c r="I18" s="382"/>
      <c r="J18" s="382"/>
      <c r="K18" s="383"/>
    </row>
    <row r="19" spans="2:12" x14ac:dyDescent="0.2">
      <c r="B19" s="377">
        <f t="shared" si="3"/>
        <v>2023</v>
      </c>
      <c r="C19" s="381"/>
      <c r="D19" s="384">
        <f t="shared" si="6"/>
        <v>77.19</v>
      </c>
      <c r="E19" s="384">
        <f t="shared" si="6"/>
        <v>34.090000000000003</v>
      </c>
      <c r="F19" s="384">
        <f t="shared" si="6"/>
        <v>5.81</v>
      </c>
      <c r="G19" s="380">
        <f t="shared" si="7"/>
        <v>50.89</v>
      </c>
      <c r="H19" s="380">
        <f t="shared" si="8"/>
        <v>128.08000000000001</v>
      </c>
      <c r="I19" s="382"/>
      <c r="J19" s="382"/>
      <c r="K19" s="383"/>
    </row>
    <row r="20" spans="2:12" x14ac:dyDescent="0.2">
      <c r="B20" s="377">
        <f t="shared" si="3"/>
        <v>2024</v>
      </c>
      <c r="C20" s="381"/>
      <c r="D20" s="384">
        <f t="shared" si="6"/>
        <v>78.97</v>
      </c>
      <c r="E20" s="384">
        <f t="shared" si="6"/>
        <v>34.869999999999997</v>
      </c>
      <c r="F20" s="384">
        <f t="shared" si="6"/>
        <v>5.94</v>
      </c>
      <c r="G20" s="380">
        <f t="shared" si="4"/>
        <v>52.04</v>
      </c>
      <c r="H20" s="380">
        <f t="shared" si="5"/>
        <v>131.01</v>
      </c>
      <c r="I20" s="382"/>
      <c r="J20" s="382"/>
      <c r="K20" s="383"/>
    </row>
    <row r="21" spans="2:12" x14ac:dyDescent="0.2">
      <c r="B21" s="377">
        <f t="shared" si="3"/>
        <v>2025</v>
      </c>
      <c r="C21" s="381"/>
      <c r="D21" s="384">
        <f t="shared" si="6"/>
        <v>80.709999999999994</v>
      </c>
      <c r="E21" s="384">
        <f t="shared" si="6"/>
        <v>35.64</v>
      </c>
      <c r="F21" s="384">
        <f t="shared" si="6"/>
        <v>6.07</v>
      </c>
      <c r="G21" s="380">
        <f t="shared" si="4"/>
        <v>53.19</v>
      </c>
      <c r="H21" s="380">
        <f t="shared" si="5"/>
        <v>133.9</v>
      </c>
      <c r="I21" s="382"/>
      <c r="J21" s="382"/>
      <c r="K21" s="383"/>
    </row>
    <row r="22" spans="2:12" x14ac:dyDescent="0.2">
      <c r="B22" s="377">
        <f t="shared" si="3"/>
        <v>2026</v>
      </c>
      <c r="C22" s="381"/>
      <c r="D22" s="384">
        <f t="shared" si="6"/>
        <v>82.49</v>
      </c>
      <c r="E22" s="384">
        <f t="shared" si="6"/>
        <v>36.42</v>
      </c>
      <c r="F22" s="384">
        <f t="shared" si="6"/>
        <v>6.2</v>
      </c>
      <c r="G22" s="380">
        <f t="shared" si="4"/>
        <v>54.34</v>
      </c>
      <c r="H22" s="380">
        <f t="shared" si="5"/>
        <v>136.83000000000001</v>
      </c>
      <c r="I22" s="382"/>
      <c r="J22" s="382"/>
      <c r="K22" s="383"/>
    </row>
    <row r="23" spans="2:12" x14ac:dyDescent="0.2">
      <c r="B23" s="385">
        <f t="shared" si="3"/>
        <v>2027</v>
      </c>
      <c r="C23" s="386"/>
      <c r="D23" s="387">
        <f t="shared" si="6"/>
        <v>84.3</v>
      </c>
      <c r="E23" s="387">
        <f t="shared" si="6"/>
        <v>37.22</v>
      </c>
      <c r="F23" s="387">
        <f t="shared" si="6"/>
        <v>6.34</v>
      </c>
      <c r="G23" s="388">
        <f t="shared" si="4"/>
        <v>55.55</v>
      </c>
      <c r="H23" s="388">
        <f t="shared" si="5"/>
        <v>139.85</v>
      </c>
      <c r="I23" s="382"/>
      <c r="J23" s="382"/>
      <c r="K23" s="383"/>
    </row>
    <row r="24" spans="2:12" x14ac:dyDescent="0.2">
      <c r="B24" s="377">
        <f t="shared" si="3"/>
        <v>2028</v>
      </c>
      <c r="C24" s="381"/>
      <c r="D24" s="384">
        <f t="shared" si="6"/>
        <v>86.15</v>
      </c>
      <c r="E24" s="384">
        <f t="shared" si="6"/>
        <v>38.04</v>
      </c>
      <c r="F24" s="384">
        <f t="shared" si="6"/>
        <v>6.48</v>
      </c>
      <c r="G24" s="380">
        <f t="shared" si="4"/>
        <v>56.77</v>
      </c>
      <c r="H24" s="380">
        <f t="shared" si="5"/>
        <v>142.91999999999999</v>
      </c>
      <c r="I24" s="382"/>
      <c r="J24" s="382"/>
      <c r="K24" s="383"/>
    </row>
    <row r="25" spans="2:12" x14ac:dyDescent="0.2">
      <c r="B25" s="377">
        <f t="shared" si="3"/>
        <v>2029</v>
      </c>
      <c r="C25" s="381"/>
      <c r="D25" s="384">
        <f t="shared" ref="D25:F29" si="9">ROUND(D24*(1+INDEX($J$145:$J$152,MATCH($B25,$I$145:$I$152,0))),2)</f>
        <v>87.96</v>
      </c>
      <c r="E25" s="384">
        <f t="shared" si="9"/>
        <v>38.840000000000003</v>
      </c>
      <c r="F25" s="384">
        <f t="shared" si="9"/>
        <v>6.62</v>
      </c>
      <c r="G25" s="380">
        <f t="shared" ref="G25:G28" si="10">ROUND(F25*(8.76*$C$44)+E25,2)</f>
        <v>57.98</v>
      </c>
      <c r="H25" s="380">
        <f t="shared" si="5"/>
        <v>145.94</v>
      </c>
      <c r="I25" s="382"/>
      <c r="J25" s="382"/>
      <c r="K25" s="383"/>
    </row>
    <row r="26" spans="2:12" x14ac:dyDescent="0.2">
      <c r="B26" s="377">
        <f t="shared" si="3"/>
        <v>2030</v>
      </c>
      <c r="C26" s="381"/>
      <c r="D26" s="384">
        <f t="shared" si="9"/>
        <v>89.9</v>
      </c>
      <c r="E26" s="384">
        <f t="shared" si="9"/>
        <v>39.69</v>
      </c>
      <c r="F26" s="384">
        <f t="shared" si="9"/>
        <v>6.77</v>
      </c>
      <c r="G26" s="380">
        <f t="shared" si="10"/>
        <v>59.26</v>
      </c>
      <c r="H26" s="380">
        <f t="shared" si="5"/>
        <v>149.16</v>
      </c>
      <c r="I26" s="382"/>
      <c r="J26" s="382"/>
      <c r="K26" s="383"/>
    </row>
    <row r="27" spans="2:12" x14ac:dyDescent="0.2">
      <c r="B27" s="377">
        <f t="shared" si="3"/>
        <v>2031</v>
      </c>
      <c r="C27" s="381"/>
      <c r="D27" s="384">
        <f t="shared" si="9"/>
        <v>91.88</v>
      </c>
      <c r="E27" s="384">
        <f t="shared" si="9"/>
        <v>40.56</v>
      </c>
      <c r="F27" s="384">
        <f t="shared" si="9"/>
        <v>6.92</v>
      </c>
      <c r="G27" s="380">
        <f t="shared" si="10"/>
        <v>60.56</v>
      </c>
      <c r="H27" s="380">
        <f t="shared" si="5"/>
        <v>152.44</v>
      </c>
      <c r="I27" s="382"/>
      <c r="J27" s="382"/>
      <c r="K27" s="383"/>
    </row>
    <row r="28" spans="2:12" x14ac:dyDescent="0.2">
      <c r="B28" s="377">
        <f t="shared" si="3"/>
        <v>2032</v>
      </c>
      <c r="C28" s="381"/>
      <c r="D28" s="384">
        <f t="shared" si="9"/>
        <v>93.9</v>
      </c>
      <c r="E28" s="384">
        <f t="shared" si="9"/>
        <v>41.45</v>
      </c>
      <c r="F28" s="384">
        <f t="shared" si="9"/>
        <v>7.07</v>
      </c>
      <c r="G28" s="380">
        <f t="shared" si="10"/>
        <v>61.89</v>
      </c>
      <c r="H28" s="380">
        <f t="shared" si="5"/>
        <v>155.79</v>
      </c>
      <c r="I28" s="382"/>
      <c r="J28" s="382"/>
      <c r="K28" s="383"/>
    </row>
    <row r="29" spans="2:12" x14ac:dyDescent="0.2">
      <c r="B29" s="377">
        <f t="shared" si="3"/>
        <v>2033</v>
      </c>
      <c r="C29" s="381"/>
      <c r="D29" s="384">
        <f t="shared" si="9"/>
        <v>95.97</v>
      </c>
      <c r="E29" s="384">
        <f t="shared" si="9"/>
        <v>42.36</v>
      </c>
      <c r="F29" s="384">
        <f t="shared" si="9"/>
        <v>7.23</v>
      </c>
      <c r="G29" s="380">
        <f t="shared" si="4"/>
        <v>63.26</v>
      </c>
      <c r="H29" s="380">
        <f t="shared" si="5"/>
        <v>159.22999999999999</v>
      </c>
      <c r="I29" s="382"/>
      <c r="J29" s="382"/>
      <c r="K29" s="383"/>
    </row>
    <row r="30" spans="2:12" ht="12.75" customHeight="1" x14ac:dyDescent="0.2">
      <c r="B30" s="389"/>
      <c r="C30" s="390"/>
      <c r="D30" s="391"/>
      <c r="E30" s="384"/>
      <c r="F30" s="384"/>
      <c r="G30" s="384"/>
      <c r="H30" s="384"/>
      <c r="I30" s="382"/>
      <c r="J30" s="382"/>
      <c r="K30" s="392"/>
    </row>
    <row r="31" spans="2:12" x14ac:dyDescent="0.2">
      <c r="B31" s="393" t="str">
        <f>B76</f>
        <v>Source: (a)(c)(d)</v>
      </c>
      <c r="C31" s="393"/>
      <c r="D31" s="393" t="str">
        <f>D76</f>
        <v>Plant Costs  - 2015 IRP - Table 6.2</v>
      </c>
      <c r="E31" s="393"/>
      <c r="F31" s="393"/>
      <c r="G31" s="393"/>
      <c r="H31" s="393"/>
      <c r="I31" s="393"/>
      <c r="J31" s="393"/>
      <c r="K31" s="393"/>
      <c r="L31" s="393"/>
    </row>
    <row r="32" spans="2:12" x14ac:dyDescent="0.2">
      <c r="B32" s="393"/>
      <c r="C32" s="394" t="str">
        <f>D7</f>
        <v>(b)</v>
      </c>
      <c r="D32" s="395" t="str">
        <f>"= "&amp;C7&amp;" x "&amp;C43&amp;D43</f>
        <v>= (a) x 0.07767  Payment Factor</v>
      </c>
      <c r="E32" s="393"/>
      <c r="F32" s="393"/>
      <c r="G32" s="393"/>
      <c r="H32" s="393"/>
      <c r="I32" s="393"/>
      <c r="J32" s="393"/>
      <c r="K32" s="393"/>
      <c r="L32" s="393"/>
    </row>
    <row r="33" spans="2:12" x14ac:dyDescent="0.2">
      <c r="B33" s="393"/>
      <c r="C33" s="394" t="str">
        <f>G7</f>
        <v>(e)</v>
      </c>
      <c r="D33" s="395" t="str">
        <f>"= "&amp;$F$7&amp;" x  (8.76 x "&amp;TEXT(C44,"?%")&amp;" ) + "&amp;$E$7</f>
        <v>= (d) x  (8.76 x 33% ) + (c)</v>
      </c>
      <c r="E33" s="393"/>
      <c r="F33" s="393"/>
      <c r="G33" s="393"/>
      <c r="H33" s="393"/>
      <c r="I33" s="393"/>
      <c r="J33" s="393"/>
      <c r="K33" s="393"/>
      <c r="L33" s="393"/>
    </row>
    <row r="34" spans="2:12" x14ac:dyDescent="0.2">
      <c r="B34" s="393"/>
      <c r="C34" s="394" t="str">
        <f>H7</f>
        <v>(f)</v>
      </c>
      <c r="D34" s="395" t="str">
        <f>"= "&amp;D7&amp;" + "&amp;G7</f>
        <v>= (b) + (e)</v>
      </c>
      <c r="E34" s="393"/>
      <c r="F34" s="393"/>
      <c r="G34" s="393"/>
      <c r="H34" s="393"/>
      <c r="I34" s="393"/>
      <c r="J34" s="393"/>
      <c r="K34" s="393"/>
      <c r="L34" s="393"/>
    </row>
    <row r="35" spans="2:12" ht="6" customHeight="1" thickBot="1" x14ac:dyDescent="0.25">
      <c r="B35" s="393"/>
      <c r="C35" s="394"/>
      <c r="D35" s="395"/>
      <c r="E35" s="393"/>
      <c r="F35" s="393"/>
      <c r="G35" s="393"/>
      <c r="H35" s="393"/>
      <c r="I35" s="393"/>
      <c r="J35" s="393"/>
      <c r="K35" s="393"/>
      <c r="L35" s="393"/>
    </row>
    <row r="36" spans="2:12" ht="13.5" thickBot="1" x14ac:dyDescent="0.25">
      <c r="B36" s="393"/>
      <c r="C36" s="396" t="s">
        <v>266</v>
      </c>
      <c r="D36" s="397"/>
      <c r="E36" s="398"/>
      <c r="F36" s="397"/>
      <c r="G36" s="397"/>
      <c r="H36" s="397"/>
      <c r="I36" s="397"/>
      <c r="J36" s="399"/>
      <c r="K36" s="400"/>
    </row>
    <row r="37" spans="2:12" x14ac:dyDescent="0.2">
      <c r="C37" s="393">
        <f>[7]Database!$E$40</f>
        <v>185.0314239906719</v>
      </c>
      <c r="D37" s="365" t="s">
        <v>85</v>
      </c>
      <c r="E37" s="393"/>
      <c r="J37" s="393"/>
      <c r="K37" s="393"/>
    </row>
    <row r="38" spans="2:12" x14ac:dyDescent="0.2">
      <c r="B38" s="365" t="s">
        <v>291</v>
      </c>
      <c r="C38" s="401">
        <f>[7]Database!$AB$147</f>
        <v>829.91895118819082</v>
      </c>
      <c r="D38" s="365" t="s">
        <v>86</v>
      </c>
      <c r="E38" s="402"/>
      <c r="F38" s="403"/>
      <c r="G38" s="404"/>
      <c r="H38" s="393"/>
      <c r="I38" s="393"/>
      <c r="J38" s="393"/>
      <c r="K38" s="393"/>
    </row>
    <row r="39" spans="2:12" x14ac:dyDescent="0.2">
      <c r="C39" s="405">
        <f>[7]Database!$AE$147+[7]Database!$AG$147</f>
        <v>9.6343766851055967</v>
      </c>
      <c r="D39" s="406" t="str">
        <f>E108</f>
        <v xml:space="preserve">  Fixed O&amp;M &amp; Capitalized O&amp;M</v>
      </c>
      <c r="E39" s="402"/>
      <c r="F39" s="403"/>
      <c r="G39" s="404"/>
      <c r="H39" s="393"/>
      <c r="I39" s="393"/>
      <c r="J39" s="393"/>
      <c r="K39" s="393"/>
    </row>
    <row r="40" spans="2:12" x14ac:dyDescent="0.2">
      <c r="C40" s="407">
        <f>[7]Database!$AH$147</f>
        <v>18.836854679167324</v>
      </c>
      <c r="D40" s="406" t="str">
        <f t="shared" ref="D40:D42" si="11">E109</f>
        <v xml:space="preserve">  Fixed Pipeline</v>
      </c>
      <c r="E40" s="402"/>
      <c r="F40" s="403"/>
      <c r="G40" s="404"/>
      <c r="H40" s="393"/>
      <c r="I40" s="393"/>
      <c r="J40" s="393"/>
      <c r="K40" s="393"/>
    </row>
    <row r="41" spans="2:12" x14ac:dyDescent="0.2">
      <c r="C41" s="405">
        <f>C39+C40</f>
        <v>28.471231364272921</v>
      </c>
      <c r="D41" s="406" t="str">
        <f t="shared" si="11"/>
        <v xml:space="preserve">  Fixed O&amp;M including Fixed Pipeline &amp; Capitalized O&amp;M ($/kW-Yr)</v>
      </c>
      <c r="E41" s="402"/>
      <c r="F41" s="403"/>
      <c r="G41" s="404"/>
      <c r="H41" s="393"/>
      <c r="I41" s="393"/>
      <c r="J41" s="393"/>
      <c r="K41" s="393"/>
    </row>
    <row r="42" spans="2:12" x14ac:dyDescent="0.2">
      <c r="B42" s="393"/>
      <c r="C42" s="405">
        <f>[7]Database!$AP$147+[7]Database!$AR$147</f>
        <v>4.8499819761645719</v>
      </c>
      <c r="D42" s="406" t="str">
        <f t="shared" si="11"/>
        <v xml:space="preserve">  Variable O&amp;M Costs &amp; Capitalized Variable O&amp;M ($/MWh)</v>
      </c>
      <c r="E42" s="402"/>
      <c r="F42" s="403"/>
      <c r="G42" s="404"/>
      <c r="H42" s="393"/>
      <c r="I42" s="393"/>
      <c r="J42" s="393"/>
      <c r="K42" s="393"/>
    </row>
    <row r="43" spans="2:12" x14ac:dyDescent="0.2">
      <c r="B43" s="393"/>
      <c r="C43" s="408">
        <f>ROUND([7]Database!$AC$147,5)</f>
        <v>7.7670000000000003E-2</v>
      </c>
      <c r="D43" s="365" t="s">
        <v>87</v>
      </c>
      <c r="E43" s="393"/>
      <c r="F43" s="393"/>
      <c r="G43" s="393"/>
      <c r="H43" s="393"/>
      <c r="I43" s="393"/>
      <c r="J43" s="393"/>
      <c r="K43" s="393"/>
    </row>
    <row r="44" spans="2:12" x14ac:dyDescent="0.2">
      <c r="B44" s="393"/>
      <c r="C44" s="409">
        <f>[7]Database!$AK$147</f>
        <v>0.33</v>
      </c>
      <c r="D44" s="365" t="s">
        <v>88</v>
      </c>
      <c r="E44" s="393"/>
      <c r="F44" s="393"/>
      <c r="G44" s="393"/>
      <c r="H44" s="393"/>
      <c r="I44" s="393"/>
      <c r="J44" s="393"/>
      <c r="K44" s="393"/>
    </row>
    <row r="45" spans="2:12" ht="3.75" customHeight="1" x14ac:dyDescent="0.2">
      <c r="B45" s="393"/>
      <c r="C45" s="393"/>
      <c r="D45" s="410"/>
      <c r="E45" s="411"/>
      <c r="F45" s="412"/>
      <c r="G45" s="393"/>
      <c r="H45" s="393"/>
      <c r="I45" s="393"/>
      <c r="J45" s="393"/>
      <c r="K45" s="393"/>
    </row>
    <row r="46" spans="2:12" ht="15.75" x14ac:dyDescent="0.25">
      <c r="B46" s="366" t="str">
        <f>$B$1</f>
        <v>Table 7</v>
      </c>
      <c r="C46" s="367"/>
      <c r="D46" s="367"/>
      <c r="E46" s="367"/>
      <c r="F46" s="367"/>
      <c r="G46" s="367"/>
      <c r="H46" s="367"/>
      <c r="I46" s="367"/>
      <c r="J46" s="367"/>
      <c r="K46" s="366"/>
    </row>
    <row r="47" spans="2:12" ht="15.75" x14ac:dyDescent="0.25">
      <c r="B47" s="366" t="str">
        <f>B2</f>
        <v>Total Cost of Displaceable Resources</v>
      </c>
      <c r="C47" s="366"/>
      <c r="D47" s="367"/>
      <c r="E47" s="367"/>
      <c r="F47" s="367"/>
      <c r="G47" s="367"/>
      <c r="H47" s="367"/>
      <c r="I47" s="367"/>
      <c r="J47" s="367"/>
      <c r="K47" s="367"/>
    </row>
    <row r="48" spans="2:12" ht="15.75" x14ac:dyDescent="0.25">
      <c r="B48" s="366"/>
      <c r="C48" s="367"/>
      <c r="D48" s="367"/>
      <c r="E48" s="367"/>
      <c r="F48" s="367"/>
      <c r="G48" s="367"/>
      <c r="H48" s="367"/>
      <c r="I48" s="367"/>
      <c r="J48" s="367"/>
      <c r="K48" s="368" t="s">
        <v>89</v>
      </c>
    </row>
    <row r="49" spans="2:12" ht="7.5" customHeight="1" x14ac:dyDescent="0.2">
      <c r="B49" s="369"/>
      <c r="C49" s="369"/>
      <c r="D49" s="369"/>
      <c r="E49" s="369"/>
      <c r="F49" s="369"/>
      <c r="G49" s="369"/>
      <c r="H49" s="369"/>
      <c r="I49" s="369"/>
      <c r="J49" s="369"/>
      <c r="K49" s="369"/>
      <c r="L49" s="370"/>
    </row>
    <row r="50" spans="2:12" ht="51.75" customHeight="1" x14ac:dyDescent="0.2">
      <c r="B50" s="372" t="s">
        <v>2</v>
      </c>
      <c r="C50" s="373" t="s">
        <v>38</v>
      </c>
      <c r="D50" s="373" t="s">
        <v>39</v>
      </c>
      <c r="E50" s="373" t="s">
        <v>40</v>
      </c>
      <c r="F50" s="373" t="s">
        <v>41</v>
      </c>
      <c r="G50" s="373" t="s">
        <v>42</v>
      </c>
      <c r="H50" s="373" t="s">
        <v>43</v>
      </c>
      <c r="I50" s="413" t="s">
        <v>30</v>
      </c>
      <c r="J50" s="413" t="s">
        <v>115</v>
      </c>
      <c r="K50" s="414" t="s">
        <v>116</v>
      </c>
      <c r="L50" s="370"/>
    </row>
    <row r="51" spans="2:12" ht="18.75" customHeight="1" x14ac:dyDescent="0.2">
      <c r="B51" s="374"/>
      <c r="C51" s="462" t="s">
        <v>34</v>
      </c>
      <c r="D51" s="463" t="s">
        <v>35</v>
      </c>
      <c r="E51" s="463" t="s">
        <v>35</v>
      </c>
      <c r="F51" s="463" t="s">
        <v>36</v>
      </c>
      <c r="G51" s="463" t="s">
        <v>35</v>
      </c>
      <c r="H51" s="463" t="s">
        <v>35</v>
      </c>
      <c r="I51" s="464" t="s">
        <v>37</v>
      </c>
      <c r="J51" s="465" t="s">
        <v>117</v>
      </c>
      <c r="K51" s="465" t="s">
        <v>117</v>
      </c>
      <c r="L51" s="370"/>
    </row>
    <row r="52" spans="2:12" x14ac:dyDescent="0.2">
      <c r="C52" s="375" t="s">
        <v>19</v>
      </c>
      <c r="D52" s="375" t="s">
        <v>20</v>
      </c>
      <c r="E52" s="375" t="s">
        <v>21</v>
      </c>
      <c r="F52" s="375" t="s">
        <v>22</v>
      </c>
      <c r="G52" s="375" t="s">
        <v>23</v>
      </c>
      <c r="H52" s="375" t="s">
        <v>29</v>
      </c>
      <c r="I52" s="415" t="s">
        <v>118</v>
      </c>
      <c r="J52" s="415" t="s">
        <v>119</v>
      </c>
      <c r="K52" s="415" t="s">
        <v>120</v>
      </c>
    </row>
    <row r="53" spans="2:12" ht="6" customHeight="1" x14ac:dyDescent="0.2">
      <c r="I53" s="369"/>
      <c r="J53" s="369"/>
      <c r="K53" s="369"/>
    </row>
    <row r="54" spans="2:12" ht="15.75" x14ac:dyDescent="0.25">
      <c r="B54" s="376" t="str">
        <f>C84</f>
        <v>Blended 635 MW East Side - 477 MW West Side - CCCT</v>
      </c>
      <c r="C54" s="370"/>
      <c r="E54" s="370"/>
      <c r="F54" s="370"/>
      <c r="G54" s="370"/>
      <c r="H54" s="370"/>
      <c r="I54" s="369"/>
      <c r="J54" s="369"/>
      <c r="K54" s="369"/>
      <c r="L54" s="370"/>
    </row>
    <row r="55" spans="2:12" x14ac:dyDescent="0.2">
      <c r="B55" s="377">
        <v>2014</v>
      </c>
      <c r="C55" s="378">
        <f>I90</f>
        <v>932</v>
      </c>
      <c r="D55" s="379">
        <f>ROUND(C55*$C$113,2)</f>
        <v>71.599999999999994</v>
      </c>
      <c r="E55" s="379">
        <f>J90</f>
        <v>23.9</v>
      </c>
      <c r="F55" s="379">
        <f>J95</f>
        <v>1.84</v>
      </c>
      <c r="G55" s="380">
        <f t="shared" ref="G55:G74" si="12">ROUND(F55*(8.76*$G$95)+E55,2)</f>
        <v>35.1</v>
      </c>
      <c r="H55" s="380">
        <f t="shared" ref="H55:H57" si="13">ROUND(D55+G55,2)</f>
        <v>106.7</v>
      </c>
      <c r="I55" s="369"/>
      <c r="J55" s="369"/>
      <c r="K55" s="369"/>
      <c r="L55" s="370"/>
    </row>
    <row r="56" spans="2:12" x14ac:dyDescent="0.2">
      <c r="B56" s="377">
        <v>2015</v>
      </c>
      <c r="C56" s="378"/>
      <c r="D56" s="379">
        <f t="shared" ref="D56:F62" si="14">ROUND(D55*(1+INDEX($D$145:$D$151,MATCH($B56,$C$145:$C$151,0))),2)</f>
        <v>72.03</v>
      </c>
      <c r="E56" s="379">
        <f t="shared" si="14"/>
        <v>24.04</v>
      </c>
      <c r="F56" s="379">
        <f t="shared" si="14"/>
        <v>1.85</v>
      </c>
      <c r="G56" s="380">
        <f t="shared" si="12"/>
        <v>35.299999999999997</v>
      </c>
      <c r="H56" s="384">
        <f t="shared" si="13"/>
        <v>107.33</v>
      </c>
      <c r="I56" s="369"/>
      <c r="J56" s="369"/>
      <c r="K56" s="369"/>
      <c r="L56" s="370"/>
    </row>
    <row r="57" spans="2:12" x14ac:dyDescent="0.2">
      <c r="B57" s="377">
        <v>2016</v>
      </c>
      <c r="C57" s="378"/>
      <c r="D57" s="379">
        <f t="shared" si="14"/>
        <v>72.89</v>
      </c>
      <c r="E57" s="379">
        <f t="shared" si="14"/>
        <v>24.33</v>
      </c>
      <c r="F57" s="379">
        <f t="shared" si="14"/>
        <v>1.87</v>
      </c>
      <c r="G57" s="380">
        <f t="shared" si="12"/>
        <v>35.71</v>
      </c>
      <c r="H57" s="384">
        <f t="shared" si="13"/>
        <v>108.6</v>
      </c>
      <c r="I57" s="369"/>
      <c r="J57" s="369"/>
      <c r="K57" s="369"/>
    </row>
    <row r="58" spans="2:12" x14ac:dyDescent="0.2">
      <c r="B58" s="377">
        <f t="shared" ref="B58:B74" si="15">B57+1</f>
        <v>2017</v>
      </c>
      <c r="C58" s="381"/>
      <c r="D58" s="379">
        <f t="shared" si="14"/>
        <v>74.489999999999995</v>
      </c>
      <c r="E58" s="379">
        <f t="shared" si="14"/>
        <v>24.87</v>
      </c>
      <c r="F58" s="379">
        <f t="shared" si="14"/>
        <v>1.91</v>
      </c>
      <c r="G58" s="380">
        <f t="shared" si="12"/>
        <v>36.5</v>
      </c>
      <c r="H58" s="384">
        <f t="shared" ref="H58:H67" si="16">ROUND(D58+G58,2)</f>
        <v>110.99</v>
      </c>
      <c r="I58" s="369"/>
      <c r="J58" s="369"/>
      <c r="K58" s="369"/>
    </row>
    <row r="59" spans="2:12" s="370" customFormat="1" x14ac:dyDescent="0.2">
      <c r="B59" s="389">
        <f t="shared" si="15"/>
        <v>2018</v>
      </c>
      <c r="C59" s="390"/>
      <c r="D59" s="379">
        <f t="shared" si="14"/>
        <v>76.28</v>
      </c>
      <c r="E59" s="379">
        <f t="shared" si="14"/>
        <v>25.47</v>
      </c>
      <c r="F59" s="379">
        <f t="shared" si="14"/>
        <v>1.96</v>
      </c>
      <c r="G59" s="384">
        <f t="shared" si="12"/>
        <v>37.4</v>
      </c>
      <c r="H59" s="380">
        <f t="shared" si="16"/>
        <v>113.68</v>
      </c>
      <c r="I59" s="369"/>
      <c r="J59" s="369"/>
      <c r="K59" s="369"/>
    </row>
    <row r="60" spans="2:12" s="370" customFormat="1" x14ac:dyDescent="0.2">
      <c r="B60" s="389">
        <f t="shared" si="15"/>
        <v>2019</v>
      </c>
      <c r="C60" s="390"/>
      <c r="D60" s="379">
        <f t="shared" si="14"/>
        <v>78.11</v>
      </c>
      <c r="E60" s="379">
        <f t="shared" si="14"/>
        <v>26.08</v>
      </c>
      <c r="F60" s="379">
        <f t="shared" si="14"/>
        <v>2.0099999999999998</v>
      </c>
      <c r="G60" s="384">
        <f t="shared" si="12"/>
        <v>38.32</v>
      </c>
      <c r="H60" s="384">
        <f t="shared" si="16"/>
        <v>116.43</v>
      </c>
      <c r="I60" s="369"/>
      <c r="J60" s="369"/>
      <c r="K60" s="369"/>
    </row>
    <row r="61" spans="2:12" s="370" customFormat="1" x14ac:dyDescent="0.2">
      <c r="B61" s="389">
        <f t="shared" si="15"/>
        <v>2020</v>
      </c>
      <c r="C61" s="390"/>
      <c r="D61" s="379">
        <f t="shared" si="14"/>
        <v>79.98</v>
      </c>
      <c r="E61" s="379">
        <f t="shared" si="14"/>
        <v>26.71</v>
      </c>
      <c r="F61" s="379">
        <f t="shared" si="14"/>
        <v>2.06</v>
      </c>
      <c r="G61" s="384">
        <f t="shared" si="12"/>
        <v>39.25</v>
      </c>
      <c r="H61" s="384">
        <f t="shared" si="16"/>
        <v>119.23</v>
      </c>
      <c r="I61" s="369"/>
      <c r="J61" s="369"/>
      <c r="K61" s="369"/>
    </row>
    <row r="62" spans="2:12" s="370" customFormat="1" x14ac:dyDescent="0.2">
      <c r="B62" s="389">
        <f t="shared" si="15"/>
        <v>2021</v>
      </c>
      <c r="C62" s="390"/>
      <c r="D62" s="379">
        <f t="shared" si="14"/>
        <v>81.900000000000006</v>
      </c>
      <c r="E62" s="379">
        <f t="shared" si="14"/>
        <v>27.35</v>
      </c>
      <c r="F62" s="379">
        <f t="shared" si="14"/>
        <v>2.11</v>
      </c>
      <c r="G62" s="384">
        <f t="shared" si="12"/>
        <v>40.200000000000003</v>
      </c>
      <c r="H62" s="384">
        <f t="shared" ref="H62:H63" si="17">ROUND(D62+G62,2)</f>
        <v>122.1</v>
      </c>
      <c r="I62" s="369"/>
      <c r="J62" s="369"/>
      <c r="K62" s="369"/>
    </row>
    <row r="63" spans="2:12" x14ac:dyDescent="0.2">
      <c r="B63" s="377">
        <f t="shared" si="15"/>
        <v>2022</v>
      </c>
      <c r="C63" s="381"/>
      <c r="D63" s="379">
        <f t="shared" ref="D63:F69" si="18">ROUND(D62*(1+INDEX($G$145:$G$151,MATCH($B63,$F$145:$F$151,0))),2)</f>
        <v>83.78</v>
      </c>
      <c r="E63" s="379">
        <f t="shared" si="18"/>
        <v>27.98</v>
      </c>
      <c r="F63" s="379">
        <f t="shared" si="18"/>
        <v>2.16</v>
      </c>
      <c r="G63" s="384">
        <f t="shared" si="12"/>
        <v>41.13</v>
      </c>
      <c r="H63" s="384">
        <f t="shared" si="17"/>
        <v>124.91</v>
      </c>
      <c r="I63" s="369"/>
      <c r="J63" s="369"/>
      <c r="K63" s="369"/>
    </row>
    <row r="64" spans="2:12" x14ac:dyDescent="0.2">
      <c r="B64" s="377">
        <f t="shared" si="15"/>
        <v>2023</v>
      </c>
      <c r="C64" s="381"/>
      <c r="D64" s="379">
        <f t="shared" si="18"/>
        <v>85.71</v>
      </c>
      <c r="E64" s="379">
        <f t="shared" si="18"/>
        <v>28.62</v>
      </c>
      <c r="F64" s="379">
        <f t="shared" si="18"/>
        <v>2.21</v>
      </c>
      <c r="G64" s="384">
        <f t="shared" si="12"/>
        <v>42.07</v>
      </c>
      <c r="H64" s="384">
        <f t="shared" si="16"/>
        <v>127.78</v>
      </c>
      <c r="I64" s="369"/>
      <c r="J64" s="369"/>
      <c r="K64" s="369"/>
    </row>
    <row r="65" spans="2:11" x14ac:dyDescent="0.2">
      <c r="B65" s="377">
        <f t="shared" si="15"/>
        <v>2024</v>
      </c>
      <c r="C65" s="381"/>
      <c r="D65" s="384">
        <f t="shared" si="18"/>
        <v>87.68</v>
      </c>
      <c r="E65" s="384">
        <f t="shared" si="18"/>
        <v>29.28</v>
      </c>
      <c r="F65" s="384">
        <f t="shared" si="18"/>
        <v>2.2599999999999998</v>
      </c>
      <c r="G65" s="384">
        <f t="shared" si="12"/>
        <v>43.04</v>
      </c>
      <c r="H65" s="384">
        <f t="shared" si="16"/>
        <v>130.72</v>
      </c>
      <c r="I65" s="369"/>
      <c r="J65" s="369"/>
      <c r="K65" s="369"/>
    </row>
    <row r="66" spans="2:11" x14ac:dyDescent="0.2">
      <c r="B66" s="377">
        <f t="shared" si="15"/>
        <v>2025</v>
      </c>
      <c r="C66" s="381"/>
      <c r="D66" s="384">
        <f t="shared" si="18"/>
        <v>89.61</v>
      </c>
      <c r="E66" s="384">
        <f t="shared" si="18"/>
        <v>29.92</v>
      </c>
      <c r="F66" s="384">
        <f t="shared" si="18"/>
        <v>2.31</v>
      </c>
      <c r="G66" s="384">
        <f t="shared" si="12"/>
        <v>43.98</v>
      </c>
      <c r="H66" s="384">
        <f t="shared" si="16"/>
        <v>133.59</v>
      </c>
      <c r="I66" s="369"/>
      <c r="J66" s="369"/>
      <c r="K66" s="369"/>
    </row>
    <row r="67" spans="2:11" x14ac:dyDescent="0.2">
      <c r="B67" s="377">
        <f t="shared" si="15"/>
        <v>2026</v>
      </c>
      <c r="C67" s="381"/>
      <c r="D67" s="384">
        <f t="shared" si="18"/>
        <v>91.58</v>
      </c>
      <c r="E67" s="384">
        <f t="shared" si="18"/>
        <v>30.58</v>
      </c>
      <c r="F67" s="384">
        <f t="shared" si="18"/>
        <v>2.36</v>
      </c>
      <c r="G67" s="384">
        <f t="shared" si="12"/>
        <v>44.95</v>
      </c>
      <c r="H67" s="384">
        <f t="shared" si="16"/>
        <v>136.53</v>
      </c>
      <c r="I67" s="369"/>
      <c r="J67" s="369"/>
      <c r="K67" s="369"/>
    </row>
    <row r="68" spans="2:11" x14ac:dyDescent="0.2">
      <c r="B68" s="385">
        <f t="shared" si="15"/>
        <v>2027</v>
      </c>
      <c r="C68" s="386"/>
      <c r="D68" s="387">
        <f t="shared" si="18"/>
        <v>93.59</v>
      </c>
      <c r="E68" s="387">
        <f t="shared" si="18"/>
        <v>31.25</v>
      </c>
      <c r="F68" s="387">
        <f t="shared" si="18"/>
        <v>2.41</v>
      </c>
      <c r="G68" s="387">
        <f t="shared" si="12"/>
        <v>45.92</v>
      </c>
      <c r="H68" s="387">
        <f t="shared" ref="H68:H74" si="19">ROUND(D68+G68,2)</f>
        <v>139.51</v>
      </c>
      <c r="I68" s="416"/>
      <c r="J68" s="416"/>
      <c r="K68" s="416"/>
    </row>
    <row r="69" spans="2:11" x14ac:dyDescent="0.2">
      <c r="B69" s="389">
        <f t="shared" si="15"/>
        <v>2028</v>
      </c>
      <c r="C69" s="390"/>
      <c r="D69" s="384">
        <f t="shared" si="18"/>
        <v>95.65</v>
      </c>
      <c r="E69" s="384">
        <f t="shared" si="18"/>
        <v>31.94</v>
      </c>
      <c r="F69" s="384">
        <f t="shared" si="18"/>
        <v>2.46</v>
      </c>
      <c r="G69" s="384">
        <f t="shared" si="12"/>
        <v>46.92</v>
      </c>
      <c r="H69" s="384">
        <f t="shared" si="19"/>
        <v>142.57</v>
      </c>
      <c r="I69" s="417">
        <f>VLOOKUP(B69,'Table 8'!$B$10:$F$27,4,FALSE)</f>
        <v>4.8600000000000003</v>
      </c>
      <c r="J69" s="417">
        <f t="shared" ref="J69:J74" si="20">ROUND($K$95*I69/1000,2)</f>
        <v>32.22</v>
      </c>
      <c r="K69" s="417">
        <f t="shared" ref="K69:K74" si="21">ROUND(H69*1000/8760/$G$95+J69,2)</f>
        <v>55.64</v>
      </c>
    </row>
    <row r="70" spans="2:11" x14ac:dyDescent="0.2">
      <c r="B70" s="389">
        <f t="shared" si="15"/>
        <v>2029</v>
      </c>
      <c r="C70" s="390"/>
      <c r="D70" s="384">
        <f t="shared" ref="D70:F74" si="22">ROUND(D69*(1+INDEX($J$145:$J$152,MATCH($B70,$I$145:$I$152,0))),2)</f>
        <v>97.66</v>
      </c>
      <c r="E70" s="384">
        <f t="shared" si="22"/>
        <v>32.61</v>
      </c>
      <c r="F70" s="384">
        <f t="shared" si="22"/>
        <v>2.5099999999999998</v>
      </c>
      <c r="G70" s="384">
        <f t="shared" si="12"/>
        <v>47.89</v>
      </c>
      <c r="H70" s="384">
        <f t="shared" si="19"/>
        <v>145.55000000000001</v>
      </c>
      <c r="I70" s="417">
        <f>VLOOKUP(B70,'Table 8'!$B$10:$F$27,4,FALSE)</f>
        <v>5</v>
      </c>
      <c r="J70" s="417">
        <f t="shared" si="20"/>
        <v>33.15</v>
      </c>
      <c r="K70" s="417">
        <f t="shared" si="21"/>
        <v>57.06</v>
      </c>
    </row>
    <row r="71" spans="2:11" x14ac:dyDescent="0.2">
      <c r="B71" s="389">
        <f t="shared" si="15"/>
        <v>2030</v>
      </c>
      <c r="C71" s="390"/>
      <c r="D71" s="384">
        <f t="shared" si="22"/>
        <v>99.81</v>
      </c>
      <c r="E71" s="384">
        <f t="shared" si="22"/>
        <v>33.33</v>
      </c>
      <c r="F71" s="384">
        <f t="shared" si="22"/>
        <v>2.57</v>
      </c>
      <c r="G71" s="384">
        <f t="shared" si="12"/>
        <v>48.98</v>
      </c>
      <c r="H71" s="384">
        <f t="shared" si="19"/>
        <v>148.79</v>
      </c>
      <c r="I71" s="417">
        <f>VLOOKUP(B71,'Table 8'!$B$10:$F$27,4,FALSE)</f>
        <v>5.31</v>
      </c>
      <c r="J71" s="417">
        <f t="shared" si="20"/>
        <v>35.21</v>
      </c>
      <c r="K71" s="417">
        <f t="shared" si="21"/>
        <v>59.65</v>
      </c>
    </row>
    <row r="72" spans="2:11" x14ac:dyDescent="0.2">
      <c r="B72" s="389">
        <f t="shared" si="15"/>
        <v>2031</v>
      </c>
      <c r="C72" s="390"/>
      <c r="D72" s="384">
        <f t="shared" si="22"/>
        <v>102.01</v>
      </c>
      <c r="E72" s="384">
        <f t="shared" si="22"/>
        <v>34.06</v>
      </c>
      <c r="F72" s="384">
        <f t="shared" si="22"/>
        <v>2.63</v>
      </c>
      <c r="G72" s="384">
        <f t="shared" si="12"/>
        <v>50.07</v>
      </c>
      <c r="H72" s="384">
        <f t="shared" si="19"/>
        <v>152.08000000000001</v>
      </c>
      <c r="I72" s="417">
        <f>VLOOKUP(B72,'Table 8'!$B$10:$F$27,4,FALSE)</f>
        <v>5.45</v>
      </c>
      <c r="J72" s="417">
        <f t="shared" si="20"/>
        <v>36.130000000000003</v>
      </c>
      <c r="K72" s="417">
        <f t="shared" si="21"/>
        <v>61.11</v>
      </c>
    </row>
    <row r="73" spans="2:11" x14ac:dyDescent="0.2">
      <c r="B73" s="389">
        <f t="shared" si="15"/>
        <v>2032</v>
      </c>
      <c r="C73" s="390"/>
      <c r="D73" s="384">
        <f t="shared" si="22"/>
        <v>104.25</v>
      </c>
      <c r="E73" s="384">
        <f t="shared" si="22"/>
        <v>34.81</v>
      </c>
      <c r="F73" s="384">
        <f t="shared" si="22"/>
        <v>2.69</v>
      </c>
      <c r="G73" s="384">
        <f t="shared" si="12"/>
        <v>51.19</v>
      </c>
      <c r="H73" s="384">
        <f t="shared" si="19"/>
        <v>155.44</v>
      </c>
      <c r="I73" s="417">
        <f>VLOOKUP(B73,'Table 8'!$B$10:$F$27,4,FALSE)</f>
        <v>5.6</v>
      </c>
      <c r="J73" s="417">
        <f t="shared" si="20"/>
        <v>37.130000000000003</v>
      </c>
      <c r="K73" s="417">
        <f t="shared" si="21"/>
        <v>62.66</v>
      </c>
    </row>
    <row r="74" spans="2:11" x14ac:dyDescent="0.2">
      <c r="B74" s="389">
        <f t="shared" si="15"/>
        <v>2033</v>
      </c>
      <c r="C74" s="390"/>
      <c r="D74" s="384">
        <f t="shared" si="22"/>
        <v>106.54</v>
      </c>
      <c r="E74" s="384">
        <f t="shared" si="22"/>
        <v>35.58</v>
      </c>
      <c r="F74" s="384">
        <f t="shared" si="22"/>
        <v>2.75</v>
      </c>
      <c r="G74" s="384">
        <f t="shared" si="12"/>
        <v>52.32</v>
      </c>
      <c r="H74" s="384">
        <f t="shared" si="19"/>
        <v>158.86000000000001</v>
      </c>
      <c r="I74" s="417">
        <f>VLOOKUP(B74,'Table 8'!$B$10:$F$27,4,FALSE)</f>
        <v>5.79</v>
      </c>
      <c r="J74" s="417">
        <f t="shared" si="20"/>
        <v>38.39</v>
      </c>
      <c r="K74" s="417">
        <f t="shared" si="21"/>
        <v>64.48</v>
      </c>
    </row>
    <row r="75" spans="2:11" x14ac:dyDescent="0.2">
      <c r="B75" s="377"/>
      <c r="C75" s="381"/>
      <c r="D75" s="384"/>
      <c r="E75" s="384"/>
      <c r="F75" s="384"/>
      <c r="G75" s="384"/>
      <c r="H75" s="384"/>
      <c r="I75" s="417"/>
      <c r="J75" s="417"/>
      <c r="K75" s="417"/>
    </row>
    <row r="76" spans="2:11" x14ac:dyDescent="0.2">
      <c r="B76" s="406" t="s">
        <v>60</v>
      </c>
      <c r="C76" s="406"/>
      <c r="D76" s="393" t="s">
        <v>269</v>
      </c>
      <c r="E76" s="406"/>
      <c r="F76" s="406"/>
      <c r="G76" s="406"/>
      <c r="H76" s="406"/>
      <c r="I76" s="406"/>
    </row>
    <row r="77" spans="2:11" x14ac:dyDescent="0.2">
      <c r="C77" s="421" t="str">
        <f>D52</f>
        <v>(b)</v>
      </c>
      <c r="D77" s="384" t="str">
        <f>"= "&amp;C52&amp;" x "&amp;C113&amp;E113</f>
        <v>= (a) x 0.07682  Payment Factor</v>
      </c>
    </row>
    <row r="78" spans="2:11" x14ac:dyDescent="0.2">
      <c r="C78" s="421" t="str">
        <f>G52</f>
        <v>(e)</v>
      </c>
      <c r="D78" s="384" t="str">
        <f>"= "&amp;$F$52&amp;" x  (8.76 x "&amp;TEXT(G95,"0.0%")&amp;") + "&amp;$E$52</f>
        <v>= (d) x  (8.76 x 69.5%) + (c)</v>
      </c>
    </row>
    <row r="79" spans="2:11" x14ac:dyDescent="0.2">
      <c r="C79" s="421" t="str">
        <f>H52</f>
        <v>(f)</v>
      </c>
      <c r="D79" s="384" t="str">
        <f>"= "&amp;D52&amp;" + "&amp;G52</f>
        <v>= (b) + (e)</v>
      </c>
    </row>
    <row r="80" spans="2:11" x14ac:dyDescent="0.2">
      <c r="C80" s="421" t="str">
        <f>I52</f>
        <v>(g)</v>
      </c>
      <c r="D80" s="422" t="str">
        <f>'Table 8'!B1&amp;" - "&amp;'Table 8'!B2</f>
        <v>Table 8 - Natural Gas Price - Delivered to Plant</v>
      </c>
    </row>
    <row r="81" spans="3:11" x14ac:dyDescent="0.2">
      <c r="C81" s="421" t="str">
        <f>J52</f>
        <v>(h)</v>
      </c>
      <c r="D81" s="384" t="str">
        <f>"= "&amp;TEXT(K95,"?,0")&amp;" MMBtu/MWH x "&amp;I52</f>
        <v>= 6,630 MMBtu/MWH x (g)</v>
      </c>
    </row>
    <row r="82" spans="3:11" x14ac:dyDescent="0.2">
      <c r="C82" s="421" t="str">
        <f>K52</f>
        <v>(i)</v>
      </c>
      <c r="D82" s="423" t="str">
        <f>"= "&amp;H52&amp;" / (8.76 x 'Capacity Factor' ) + "&amp;J52</f>
        <v>= (f) / (8.76 x 'Capacity Factor' ) + (h)</v>
      </c>
    </row>
    <row r="83" spans="3:11" ht="13.5" thickBot="1" x14ac:dyDescent="0.25">
      <c r="C83" s="421"/>
      <c r="D83" s="423"/>
    </row>
    <row r="84" spans="3:11" ht="13.5" thickBot="1" x14ac:dyDescent="0.25">
      <c r="C84" s="396" t="s">
        <v>312</v>
      </c>
      <c r="D84" s="424"/>
      <c r="E84" s="424"/>
      <c r="F84" s="424"/>
      <c r="G84" s="424"/>
      <c r="H84" s="424"/>
      <c r="I84" s="424"/>
      <c r="J84" s="425"/>
      <c r="K84" s="426"/>
    </row>
    <row r="85" spans="3:11" ht="5.25" customHeight="1" x14ac:dyDescent="0.2"/>
    <row r="86" spans="3:11" ht="5.25" customHeight="1" x14ac:dyDescent="0.2"/>
    <row r="87" spans="3:11" x14ac:dyDescent="0.2">
      <c r="C87" s="427" t="s">
        <v>74</v>
      </c>
      <c r="D87" s="428"/>
      <c r="E87" s="427"/>
      <c r="F87" s="367"/>
      <c r="G87" s="429" t="s">
        <v>71</v>
      </c>
      <c r="H87" s="429" t="s">
        <v>73</v>
      </c>
      <c r="I87" s="429" t="s">
        <v>68</v>
      </c>
      <c r="J87" s="429" t="s">
        <v>69</v>
      </c>
    </row>
    <row r="88" spans="3:11" x14ac:dyDescent="0.2">
      <c r="C88" s="365" t="str">
        <f>C118</f>
        <v xml:space="preserve">West side, CCCT Dry "J", Adv 1x1 </v>
      </c>
      <c r="G88" s="430">
        <f>SUM(C119:D119)</f>
        <v>477.39352450877141</v>
      </c>
      <c r="H88" s="431">
        <f>G88/G90</f>
        <v>0.4291588489060888</v>
      </c>
      <c r="I88" s="401">
        <f>C107</f>
        <v>867.28588316327671</v>
      </c>
      <c r="J88" s="405">
        <f>C110</f>
        <v>30.833885913621518</v>
      </c>
    </row>
    <row r="89" spans="3:11" x14ac:dyDescent="0.2">
      <c r="C89" s="365" t="str">
        <f>C131</f>
        <v>East Side,  CCCT - DJohns Dry "F", 2x1</v>
      </c>
      <c r="G89" s="432">
        <f>SUM(C132:D132)</f>
        <v>635</v>
      </c>
      <c r="H89" s="433">
        <f>1-H88</f>
        <v>0.5708411510939112</v>
      </c>
      <c r="I89" s="434">
        <f>D107</f>
        <v>980.89484515701486</v>
      </c>
      <c r="J89" s="407">
        <f>D110</f>
        <v>18.692876148769365</v>
      </c>
    </row>
    <row r="90" spans="3:11" x14ac:dyDescent="0.2">
      <c r="C90" s="365" t="s">
        <v>75</v>
      </c>
      <c r="G90" s="430">
        <f>G88+G89</f>
        <v>1112.3935245087714</v>
      </c>
      <c r="H90" s="431">
        <f>H88+H89</f>
        <v>1</v>
      </c>
      <c r="I90" s="401">
        <f>ROUND(((G88*I88)+(G89*I89))/G90,0)</f>
        <v>932</v>
      </c>
      <c r="J90" s="405">
        <f>ROUND(((G88*J88)+(G89*J89))/G90,2)</f>
        <v>23.9</v>
      </c>
    </row>
    <row r="91" spans="3:11" x14ac:dyDescent="0.2">
      <c r="F91" s="430"/>
      <c r="G91" s="431"/>
      <c r="H91" s="401"/>
      <c r="I91" s="405"/>
    </row>
    <row r="92" spans="3:11" x14ac:dyDescent="0.2">
      <c r="C92" s="427" t="s">
        <v>74</v>
      </c>
      <c r="D92" s="428"/>
      <c r="E92" s="427"/>
      <c r="F92" s="429" t="s">
        <v>71</v>
      </c>
      <c r="G92" s="429" t="s">
        <v>76</v>
      </c>
      <c r="H92" s="429" t="s">
        <v>61</v>
      </c>
      <c r="I92" s="429" t="s">
        <v>73</v>
      </c>
      <c r="J92" s="429" t="s">
        <v>92</v>
      </c>
      <c r="K92" s="429" t="s">
        <v>70</v>
      </c>
    </row>
    <row r="93" spans="3:11" x14ac:dyDescent="0.2">
      <c r="C93" s="435" t="str">
        <f>C88</f>
        <v xml:space="preserve">West side, CCCT Dry "J", Adv 1x1 </v>
      </c>
      <c r="D93" s="435"/>
      <c r="E93" s="435"/>
      <c r="F93" s="365">
        <f>C106</f>
        <v>477.39352450877141</v>
      </c>
      <c r="G93" s="431">
        <f>C114</f>
        <v>0.72055218903691154</v>
      </c>
      <c r="H93" s="365">
        <f>G93*F93</f>
        <v>343.98694911684174</v>
      </c>
      <c r="I93" s="431">
        <f>H93/H95</f>
        <v>0.44521738402995015</v>
      </c>
      <c r="J93" s="405">
        <f>C111</f>
        <v>2.2377832918938303</v>
      </c>
      <c r="K93" s="436">
        <f>C112</f>
        <v>6526.3573335195952</v>
      </c>
    </row>
    <row r="94" spans="3:11" x14ac:dyDescent="0.2">
      <c r="C94" s="435" t="str">
        <f>C89</f>
        <v>East Side,  CCCT - DJohns Dry "F", 2x1</v>
      </c>
      <c r="D94" s="435"/>
      <c r="E94" s="435"/>
      <c r="F94" s="437">
        <f>D106</f>
        <v>635</v>
      </c>
      <c r="G94" s="433">
        <f>D114</f>
        <v>0.6750236220472442</v>
      </c>
      <c r="H94" s="437">
        <f>G94*F94</f>
        <v>428.64000000000004</v>
      </c>
      <c r="I94" s="433">
        <f>1-I93</f>
        <v>0.55478261597004985</v>
      </c>
      <c r="J94" s="407">
        <f>D111</f>
        <v>1.5171492072207036</v>
      </c>
      <c r="K94" s="438">
        <f>D112</f>
        <v>6719.3697732362825</v>
      </c>
    </row>
    <row r="95" spans="3:11" x14ac:dyDescent="0.2">
      <c r="C95" s="365" t="s">
        <v>77</v>
      </c>
      <c r="F95" s="365">
        <f>F93+F94</f>
        <v>1112.3935245087714</v>
      </c>
      <c r="G95" s="439">
        <f>ROUND(H95/F95,3)</f>
        <v>0.69499999999999995</v>
      </c>
      <c r="H95" s="365">
        <f>SUM(H93:H94)</f>
        <v>772.62694911684184</v>
      </c>
      <c r="I95" s="431">
        <f>I93+I94</f>
        <v>1</v>
      </c>
      <c r="J95" s="405">
        <f>ROUND(($I93*J93)+($I94*J94),2)</f>
        <v>1.84</v>
      </c>
      <c r="K95" s="430">
        <f>ROUND(($I93*K93)+($I94*K94),-1)</f>
        <v>6630</v>
      </c>
    </row>
    <row r="96" spans="3:11" x14ac:dyDescent="0.2">
      <c r="G96" s="439"/>
      <c r="I96" s="431"/>
      <c r="J96" s="405"/>
      <c r="K96" s="440" t="s">
        <v>93</v>
      </c>
    </row>
    <row r="97" spans="2:15" ht="3" customHeight="1" x14ac:dyDescent="0.2">
      <c r="M97" s="377"/>
      <c r="O97" s="418"/>
    </row>
    <row r="98" spans="2:15" ht="15.75" x14ac:dyDescent="0.25">
      <c r="B98" s="366" t="str">
        <f>$B$46</f>
        <v>Table 7</v>
      </c>
      <c r="C98" s="367"/>
      <c r="D98" s="367"/>
      <c r="E98" s="367"/>
      <c r="F98" s="367"/>
      <c r="G98" s="367"/>
      <c r="H98" s="367"/>
      <c r="I98" s="367"/>
      <c r="J98" s="367"/>
      <c r="K98" s="366"/>
      <c r="M98" s="377"/>
      <c r="N98" s="418"/>
      <c r="O98" s="418"/>
    </row>
    <row r="99" spans="2:15" ht="15.75" x14ac:dyDescent="0.25">
      <c r="B99" s="366" t="str">
        <f>B2</f>
        <v>Total Cost of Displaceable Resources</v>
      </c>
      <c r="C99" s="419"/>
      <c r="D99" s="367"/>
      <c r="E99" s="367"/>
      <c r="F99" s="367"/>
      <c r="G99" s="367"/>
      <c r="H99" s="367"/>
      <c r="I99" s="367"/>
      <c r="J99" s="367"/>
      <c r="K99" s="367"/>
      <c r="M99" s="377"/>
      <c r="N99" s="418"/>
      <c r="O99" s="418"/>
    </row>
    <row r="100" spans="2:15" ht="15.75" x14ac:dyDescent="0.25">
      <c r="B100" s="366"/>
      <c r="C100" s="367"/>
      <c r="D100" s="367"/>
      <c r="E100" s="367"/>
      <c r="F100" s="367"/>
      <c r="G100" s="367"/>
      <c r="H100" s="367"/>
      <c r="I100" s="367"/>
      <c r="J100" s="367"/>
      <c r="K100" s="368" t="s">
        <v>90</v>
      </c>
      <c r="M100" s="377"/>
      <c r="N100" s="418"/>
      <c r="O100" s="418"/>
    </row>
    <row r="101" spans="2:15" ht="5.25" customHeight="1" x14ac:dyDescent="0.2">
      <c r="B101" s="369"/>
      <c r="C101" s="369"/>
      <c r="D101" s="369"/>
      <c r="E101" s="369"/>
      <c r="F101" s="369"/>
      <c r="G101" s="369"/>
      <c r="H101" s="369"/>
      <c r="I101" s="369"/>
      <c r="J101" s="369"/>
      <c r="K101" s="369"/>
      <c r="L101" s="370"/>
      <c r="M101" s="377"/>
      <c r="N101" s="418"/>
      <c r="O101" s="418"/>
    </row>
    <row r="102" spans="2:15" ht="15" x14ac:dyDescent="0.25">
      <c r="B102" s="419" t="s">
        <v>91</v>
      </c>
      <c r="C102" s="420"/>
      <c r="D102" s="420"/>
      <c r="E102" s="420"/>
      <c r="F102" s="420"/>
      <c r="G102" s="420"/>
      <c r="H102" s="420"/>
      <c r="I102" s="420"/>
      <c r="J102" s="420"/>
      <c r="K102" s="420"/>
      <c r="M102" s="377"/>
      <c r="N102" s="418"/>
      <c r="O102" s="418"/>
    </row>
    <row r="104" spans="2:15" x14ac:dyDescent="0.2">
      <c r="B104" s="441" t="s">
        <v>312</v>
      </c>
    </row>
    <row r="105" spans="2:15" x14ac:dyDescent="0.2">
      <c r="C105" s="442" t="s">
        <v>172</v>
      </c>
      <c r="D105" s="442" t="s">
        <v>165</v>
      </c>
      <c r="E105" s="443" t="str">
        <f>D76</f>
        <v>Plant Costs  - 2015 IRP - Table 6.2</v>
      </c>
      <c r="F105" s="444"/>
      <c r="G105" s="444"/>
      <c r="H105" s="444"/>
      <c r="I105" s="444"/>
      <c r="J105" s="444"/>
      <c r="K105" s="445"/>
    </row>
    <row r="106" spans="2:15" x14ac:dyDescent="0.2">
      <c r="C106" s="406">
        <f>SUM(C119:D119)</f>
        <v>477.39352450877141</v>
      </c>
      <c r="D106" s="406">
        <f>SUM(C132:D132)</f>
        <v>635</v>
      </c>
      <c r="E106" s="406" t="s">
        <v>85</v>
      </c>
      <c r="F106" s="406"/>
      <c r="G106" s="406"/>
      <c r="H106" s="446"/>
      <c r="I106" s="406"/>
      <c r="J106" s="406"/>
      <c r="K106" s="406"/>
    </row>
    <row r="107" spans="2:15" x14ac:dyDescent="0.2">
      <c r="B107" s="365" t="s">
        <v>291</v>
      </c>
      <c r="C107" s="401">
        <f>($C$119*C120+$D$119*D120)/$C$106</f>
        <v>867.28588316327671</v>
      </c>
      <c r="D107" s="401">
        <f>($C$132*C133+$D$132*D133)/$D$106</f>
        <v>980.89484515701486</v>
      </c>
      <c r="E107" s="406" t="s">
        <v>110</v>
      </c>
      <c r="F107" s="406"/>
      <c r="G107" s="406"/>
      <c r="H107" s="406"/>
      <c r="I107" s="406"/>
      <c r="J107" s="406"/>
      <c r="K107" s="406"/>
    </row>
    <row r="108" spans="2:15" x14ac:dyDescent="0.2">
      <c r="C108" s="405">
        <f>($C$119*C121+$D$119*D121)/$C$106</f>
        <v>6.8219090717711515</v>
      </c>
      <c r="D108" s="405">
        <f>($C$132*C134+$D$132*D134)/$D$106</f>
        <v>5.0165254663429106</v>
      </c>
      <c r="E108" s="406" t="s">
        <v>125</v>
      </c>
      <c r="F108" s="406"/>
      <c r="G108" s="406"/>
      <c r="H108" s="406"/>
      <c r="I108" s="406"/>
      <c r="J108" s="406"/>
      <c r="K108" s="406"/>
    </row>
    <row r="109" spans="2:15" x14ac:dyDescent="0.2">
      <c r="C109" s="407">
        <f>($C$119*C122+$D$119*D122)/$C$106</f>
        <v>24.011976841850366</v>
      </c>
      <c r="D109" s="407">
        <f>($C$132*C135+$D$132*D135)/$D$106</f>
        <v>13.676350682426454</v>
      </c>
      <c r="E109" s="406" t="s">
        <v>114</v>
      </c>
      <c r="F109" s="406"/>
      <c r="G109" s="406"/>
      <c r="H109" s="406"/>
      <c r="I109" s="406"/>
      <c r="J109" s="406"/>
      <c r="K109" s="406"/>
    </row>
    <row r="110" spans="2:15" x14ac:dyDescent="0.2">
      <c r="C110" s="405">
        <f>C108+C109</f>
        <v>30.833885913621518</v>
      </c>
      <c r="D110" s="405">
        <f>D108+D109</f>
        <v>18.692876148769365</v>
      </c>
      <c r="E110" s="406" t="s">
        <v>126</v>
      </c>
      <c r="F110" s="406"/>
      <c r="G110" s="406"/>
      <c r="H110" s="406"/>
      <c r="I110" s="406"/>
      <c r="J110" s="406"/>
      <c r="K110" s="406"/>
    </row>
    <row r="111" spans="2:15" x14ac:dyDescent="0.2">
      <c r="C111" s="405">
        <f>($C$119*C$127*C124+$D$119*D$127*D124)/SUM($C$119*C$127,$D$119*D$127)</f>
        <v>2.2377832918938303</v>
      </c>
      <c r="D111" s="405">
        <f>($C$132*C$140*C137+$D$132*D$140*D137)/SUM($C$132*C$140,$D$132*D$140)</f>
        <v>1.5171492072207036</v>
      </c>
      <c r="E111" s="406" t="s">
        <v>127</v>
      </c>
      <c r="F111" s="406"/>
      <c r="G111" s="406"/>
      <c r="H111" s="406"/>
      <c r="I111" s="406"/>
      <c r="J111" s="406"/>
      <c r="K111" s="406"/>
    </row>
    <row r="112" spans="2:15" x14ac:dyDescent="0.2">
      <c r="C112" s="447">
        <f>($C$119*C$127*C125+$D$119*D$127*D125)/SUM($C$119*C$127,$D$119*D$127)</f>
        <v>6526.3573335195952</v>
      </c>
      <c r="D112" s="447">
        <f>($C$132*C$140*C138+$D$132*D$140*D138)/SUM($C$132*C$140,$D$132*D$140)</f>
        <v>6719.3697732362825</v>
      </c>
      <c r="E112" s="406" t="s">
        <v>111</v>
      </c>
      <c r="F112" s="406"/>
      <c r="G112" s="406"/>
      <c r="H112" s="406"/>
      <c r="I112" s="406"/>
      <c r="J112" s="406"/>
      <c r="K112" s="406"/>
    </row>
    <row r="113" spans="2:16" x14ac:dyDescent="0.2">
      <c r="C113" s="448">
        <f>ROUND([7]Database!$AC$103,5)</f>
        <v>7.6819999999999999E-2</v>
      </c>
      <c r="D113" s="448">
        <f>C113</f>
        <v>7.6819999999999999E-2</v>
      </c>
      <c r="E113" s="406" t="s">
        <v>87</v>
      </c>
      <c r="F113" s="406"/>
      <c r="G113" s="406"/>
      <c r="H113" s="406"/>
      <c r="I113" s="406"/>
      <c r="J113" s="406"/>
      <c r="K113" s="406"/>
    </row>
    <row r="114" spans="2:16" x14ac:dyDescent="0.2">
      <c r="C114" s="450">
        <f>D128</f>
        <v>0.72055218903691154</v>
      </c>
      <c r="D114" s="450">
        <f>D141</f>
        <v>0.6750236220472442</v>
      </c>
      <c r="E114" s="406" t="s">
        <v>88</v>
      </c>
      <c r="F114" s="406"/>
      <c r="G114" s="406"/>
      <c r="H114" s="406"/>
      <c r="I114" s="406"/>
      <c r="J114" s="406"/>
      <c r="K114" s="406"/>
    </row>
    <row r="115" spans="2:16" x14ac:dyDescent="0.2">
      <c r="C115" s="406"/>
      <c r="D115" s="431">
        <f>ROUND(H95/F95,3)</f>
        <v>0.69499999999999995</v>
      </c>
      <c r="E115" s="406" t="s">
        <v>112</v>
      </c>
      <c r="F115" s="406"/>
      <c r="G115" s="406"/>
      <c r="H115" s="406"/>
      <c r="I115" s="406"/>
      <c r="J115" s="406"/>
      <c r="K115" s="406"/>
    </row>
    <row r="116" spans="2:16" x14ac:dyDescent="0.2">
      <c r="C116" s="406"/>
      <c r="D116" s="450">
        <f>MIN(1,ROUND(D115/0.56,3))</f>
        <v>1</v>
      </c>
      <c r="E116" s="451" t="str">
        <f>"  Capacity Factor - On-peak     "&amp;TEXT(D115,"0.0%")&amp;" / 56% (percent of hours on-peak) "</f>
        <v xml:space="preserve">  Capacity Factor - On-peak     69.5% / 56% (percent of hours on-peak) </v>
      </c>
      <c r="F116" s="406"/>
      <c r="G116" s="406"/>
      <c r="H116" s="406"/>
      <c r="I116" s="406"/>
      <c r="J116" s="406"/>
      <c r="K116" s="406"/>
    </row>
    <row r="117" spans="2:16" x14ac:dyDescent="0.2">
      <c r="C117" s="452"/>
      <c r="D117" s="453"/>
      <c r="N117" s="454" t="e">
        <f>#REF!+1</f>
        <v>#REF!</v>
      </c>
      <c r="O117" s="431">
        <v>1.6E-2</v>
      </c>
    </row>
    <row r="118" spans="2:16" x14ac:dyDescent="0.2">
      <c r="C118" s="455" t="s">
        <v>310</v>
      </c>
      <c r="D118" s="453"/>
      <c r="N118" s="454" t="e">
        <f t="shared" ref="N118:N121" si="23">N117+1</f>
        <v>#REF!</v>
      </c>
      <c r="O118" s="431">
        <v>1.6E-2</v>
      </c>
    </row>
    <row r="119" spans="2:16" x14ac:dyDescent="0.2">
      <c r="C119" s="406">
        <f>'[8]1a  SST Resource Costs'!$E$25</f>
        <v>434.39352450877141</v>
      </c>
      <c r="D119" s="406">
        <f>'[8]1a  SST Resource Costs'!$E$26</f>
        <v>43</v>
      </c>
      <c r="E119" s="406" t="s">
        <v>85</v>
      </c>
      <c r="F119" s="406"/>
      <c r="G119" s="406"/>
      <c r="H119" s="446"/>
      <c r="I119" s="406"/>
      <c r="J119" s="406"/>
      <c r="K119" s="406"/>
      <c r="N119" s="454" t="e">
        <f t="shared" si="23"/>
        <v>#REF!</v>
      </c>
      <c r="O119" s="431">
        <v>1.6E-2</v>
      </c>
      <c r="P119" s="456"/>
    </row>
    <row r="120" spans="2:16" x14ac:dyDescent="0.2">
      <c r="B120" s="365" t="s">
        <v>291</v>
      </c>
      <c r="C120" s="401">
        <f>'[8]1a  SST Resource Costs'!$J$25</f>
        <v>905.55768081134613</v>
      </c>
      <c r="D120" s="401">
        <f>'[8]1a  SST Resource Costs'!$J$26</f>
        <v>480.65748619510435</v>
      </c>
      <c r="E120" s="406" t="s">
        <v>110</v>
      </c>
      <c r="F120" s="406"/>
      <c r="G120" s="406"/>
      <c r="H120" s="406"/>
      <c r="I120" s="406"/>
      <c r="J120" s="406"/>
      <c r="K120" s="406"/>
      <c r="N120" s="454" t="e">
        <f t="shared" si="23"/>
        <v>#REF!</v>
      </c>
      <c r="O120" s="431">
        <v>1.7000000000000001E-2</v>
      </c>
    </row>
    <row r="121" spans="2:16" x14ac:dyDescent="0.2">
      <c r="C121" s="405">
        <f>'[8]1a  SST Resource Costs'!$N$25+'[8]1a  SST Resource Costs'!$N$25*'[8]1b 477 MW month WV J'!$N$20</f>
        <v>7.4972001926917073</v>
      </c>
      <c r="D121" s="405">
        <f>'[8]1a  SST Resource Costs'!$N$26+'[8]1a  SST Resource Costs'!$N$26*'[8]1b 477 MW month WV J'!$O$20</f>
        <v>0</v>
      </c>
      <c r="E121" s="406" t="s">
        <v>125</v>
      </c>
      <c r="F121" s="406"/>
      <c r="G121" s="406"/>
      <c r="H121" s="406"/>
      <c r="I121" s="406"/>
      <c r="J121" s="406"/>
      <c r="K121" s="406"/>
      <c r="N121" s="454" t="e">
        <f t="shared" si="23"/>
        <v>#REF!</v>
      </c>
      <c r="O121" s="431">
        <v>1.7000000000000001E-2</v>
      </c>
    </row>
    <row r="122" spans="2:16" x14ac:dyDescent="0.2">
      <c r="C122" s="407">
        <f>'[8]1b 477 MW month WV J'!$O$16</f>
        <v>23.327442000000001</v>
      </c>
      <c r="D122" s="407">
        <f>'[8]1b 477 MW month WV J'!$O$17</f>
        <v>30.927267599999997</v>
      </c>
      <c r="E122" s="406" t="s">
        <v>114</v>
      </c>
      <c r="F122" s="406"/>
    </row>
    <row r="123" spans="2:16" x14ac:dyDescent="0.2">
      <c r="C123" s="405">
        <f>C121+C122</f>
        <v>30.824642192691709</v>
      </c>
      <c r="D123" s="405">
        <f>D121+D122</f>
        <v>30.927267599999997</v>
      </c>
      <c r="E123" s="406" t="s">
        <v>126</v>
      </c>
      <c r="F123" s="406"/>
      <c r="P123" s="456"/>
    </row>
    <row r="124" spans="2:16" x14ac:dyDescent="0.2">
      <c r="C124" s="405">
        <f>'[8]1a  SST Resource Costs'!$K$25+'[8]1a  SST Resource Costs'!$K$25*'[8]1b 477 MW month WV J'!$N$21</f>
        <v>2.2718625226523916</v>
      </c>
      <c r="D124" s="405">
        <f>'[8]1a  SST Resource Costs'!$N$26+'[8]1a  SST Resource Costs'!$N$26*'[8]1b 477 MW month WV J'!$O$21</f>
        <v>0</v>
      </c>
      <c r="E124" s="406" t="s">
        <v>127</v>
      </c>
      <c r="F124" s="406"/>
    </row>
    <row r="125" spans="2:16" x14ac:dyDescent="0.2">
      <c r="C125" s="457">
        <f>'[8]1a  SST Resource Costs'!$P$25</f>
        <v>6494.6100000000006</v>
      </c>
      <c r="D125" s="457">
        <f>'[8]1a  SST Resource Costs'!$P$26</f>
        <v>8611.0186046511626</v>
      </c>
      <c r="E125" s="406" t="s">
        <v>111</v>
      </c>
      <c r="F125" s="406"/>
    </row>
    <row r="126" spans="2:16" x14ac:dyDescent="0.2">
      <c r="C126" s="448">
        <f>ROUND([7]Database!$AC$103,5)</f>
        <v>7.6819999999999999E-2</v>
      </c>
      <c r="D126" s="448">
        <f>C126</f>
        <v>7.6819999999999999E-2</v>
      </c>
      <c r="E126" s="406" t="s">
        <v>87</v>
      </c>
      <c r="F126" s="406"/>
    </row>
    <row r="127" spans="2:16" x14ac:dyDescent="0.2">
      <c r="C127" s="449">
        <f>[7]Database!$AK$26</f>
        <v>0.78</v>
      </c>
      <c r="D127" s="449">
        <f>[7]Database!$AK$27</f>
        <v>0.12</v>
      </c>
      <c r="E127" s="406" t="s">
        <v>88</v>
      </c>
      <c r="F127" s="406"/>
    </row>
    <row r="128" spans="2:16" x14ac:dyDescent="0.2">
      <c r="C128" s="406"/>
      <c r="D128" s="450">
        <f>(C119*C127+D119*D127)/SUM(C119:D119)</f>
        <v>0.72055218903691154</v>
      </c>
      <c r="E128" s="406" t="s">
        <v>112</v>
      </c>
      <c r="F128" s="406"/>
    </row>
    <row r="129" spans="2:16" x14ac:dyDescent="0.2">
      <c r="C129" s="406"/>
      <c r="D129" s="450">
        <f>MIN(1,ROUND(D128/0.56,3))</f>
        <v>1</v>
      </c>
      <c r="E129" s="406" t="str">
        <f>"  Capacity Factor - On-peak     "&amp;TEXT(D128,"0.0%")&amp;" / 56% (percent of hours on-peak) "</f>
        <v xml:space="preserve">  Capacity Factor - On-peak     72.1% / 56% (percent of hours on-peak) </v>
      </c>
      <c r="F129" s="406"/>
    </row>
    <row r="131" spans="2:16" x14ac:dyDescent="0.2">
      <c r="C131" s="455" t="s">
        <v>311</v>
      </c>
      <c r="D131" s="453"/>
    </row>
    <row r="132" spans="2:16" x14ac:dyDescent="0.2">
      <c r="C132" s="406">
        <v>534</v>
      </c>
      <c r="D132" s="406">
        <v>101</v>
      </c>
      <c r="E132" s="406" t="s">
        <v>85</v>
      </c>
      <c r="F132" s="406"/>
      <c r="G132" s="406"/>
      <c r="H132" s="446"/>
      <c r="I132" s="406"/>
      <c r="J132" s="406"/>
      <c r="K132" s="406"/>
      <c r="P132" s="456"/>
    </row>
    <row r="133" spans="2:16" x14ac:dyDescent="0.2">
      <c r="B133" s="365" t="s">
        <v>291</v>
      </c>
      <c r="C133" s="401">
        <f>[7]Database!$AB$101</f>
        <v>1029.8527361187882</v>
      </c>
      <c r="D133" s="401">
        <f>[7]Database!$AB$102</f>
        <v>722.04817413140142</v>
      </c>
      <c r="E133" s="406" t="s">
        <v>110</v>
      </c>
      <c r="F133" s="406"/>
      <c r="G133" s="406"/>
      <c r="H133" s="406"/>
      <c r="I133" s="406"/>
      <c r="J133" s="406"/>
      <c r="K133" s="406"/>
    </row>
    <row r="134" spans="2:16" x14ac:dyDescent="0.2">
      <c r="C134" s="405">
        <f>[7]Database!$AE$101+[7]Database!$AG$101</f>
        <v>5.9653439534227495</v>
      </c>
      <c r="D134" s="405">
        <f>[7]Database!$AE$102+[7]Database!$AG$102</f>
        <v>0</v>
      </c>
      <c r="E134" s="406" t="s">
        <v>125</v>
      </c>
      <c r="F134" s="406"/>
      <c r="G134" s="406"/>
      <c r="H134" s="406"/>
      <c r="I134" s="406"/>
      <c r="J134" s="406"/>
      <c r="K134" s="406"/>
    </row>
    <row r="135" spans="2:16" x14ac:dyDescent="0.2">
      <c r="C135" s="407">
        <f>[7]Database!$AH$101</f>
        <v>12.780759398399997</v>
      </c>
      <c r="D135" s="407">
        <f>[7]Database!$AH$102</f>
        <v>18.411457075199998</v>
      </c>
      <c r="E135" s="406" t="s">
        <v>114</v>
      </c>
      <c r="F135" s="406"/>
    </row>
    <row r="136" spans="2:16" x14ac:dyDescent="0.2">
      <c r="C136" s="405">
        <f>C134+C135</f>
        <v>18.746103351822747</v>
      </c>
      <c r="D136" s="405">
        <f>D134+D135</f>
        <v>18.411457075199998</v>
      </c>
      <c r="E136" s="406" t="s">
        <v>126</v>
      </c>
      <c r="F136" s="406"/>
    </row>
    <row r="137" spans="2:16" x14ac:dyDescent="0.2">
      <c r="C137" s="405">
        <f>[7]Database!$AP$101+[7]Database!$AR$101</f>
        <v>1.5581423998597785</v>
      </c>
      <c r="D137" s="405">
        <f>[7]Database!$AP$102+[7]Database!$AR$102</f>
        <v>0.1083633492976414</v>
      </c>
      <c r="E137" s="406" t="s">
        <v>127</v>
      </c>
      <c r="F137" s="406"/>
    </row>
    <row r="138" spans="2:16" x14ac:dyDescent="0.2">
      <c r="C138" s="457">
        <f>[7]Database!$P$101</f>
        <v>6636.6900000000005</v>
      </c>
      <c r="D138" s="457">
        <f>[7]Database!$P$102</f>
        <v>9560.7706930693093</v>
      </c>
      <c r="E138" s="406" t="s">
        <v>111</v>
      </c>
      <c r="F138" s="406"/>
    </row>
    <row r="139" spans="2:16" x14ac:dyDescent="0.2">
      <c r="C139" s="448">
        <f>ROUND([7]Database!$AC$103,5)</f>
        <v>7.6819999999999999E-2</v>
      </c>
      <c r="D139" s="448">
        <f>C139</f>
        <v>7.6819999999999999E-2</v>
      </c>
      <c r="E139" s="406" t="s">
        <v>87</v>
      </c>
      <c r="F139" s="406"/>
    </row>
    <row r="140" spans="2:16" x14ac:dyDescent="0.2">
      <c r="C140" s="449">
        <f>[7]Database!$AK$101</f>
        <v>0.78</v>
      </c>
      <c r="D140" s="449">
        <f>[7]Database!$AK$102</f>
        <v>0.12</v>
      </c>
      <c r="E140" s="406" t="s">
        <v>88</v>
      </c>
      <c r="F140" s="406"/>
    </row>
    <row r="141" spans="2:16" x14ac:dyDescent="0.2">
      <c r="C141" s="406"/>
      <c r="D141" s="431">
        <f>(C132*C140+D132*D140)/SUM(C132:D132)</f>
        <v>0.6750236220472442</v>
      </c>
      <c r="E141" s="406" t="s">
        <v>112</v>
      </c>
      <c r="F141" s="406"/>
    </row>
    <row r="142" spans="2:16" x14ac:dyDescent="0.2">
      <c r="C142" s="406"/>
      <c r="D142" s="450">
        <v>1</v>
      </c>
      <c r="E142" s="406" t="str">
        <f>"  Capacity Factor - On-peak     "&amp;TEXT(D141,"0.0%")&amp;" / 56% (percent of hours on-peak) "</f>
        <v xml:space="preserve">  Capacity Factor - On-peak     67.5% / 56% (percent of hours on-peak) </v>
      </c>
      <c r="F142" s="406"/>
    </row>
    <row r="143" spans="2:16" ht="13.5" thickBot="1" x14ac:dyDescent="0.25"/>
    <row r="144" spans="2:16" ht="13.5" thickBot="1" x14ac:dyDescent="0.25">
      <c r="C144" s="458" t="str">
        <f>"Company Official Inflation - "&amp;'Table 8'!B30</f>
        <v>Company Official Inflation - Official Forward Price Curve dated   March 31 2016</v>
      </c>
      <c r="D144" s="459"/>
      <c r="E144" s="459"/>
      <c r="F144" s="459"/>
      <c r="G144" s="459"/>
      <c r="H144" s="459"/>
      <c r="I144" s="459"/>
      <c r="J144" s="459"/>
      <c r="K144" s="460"/>
      <c r="N144" s="365" t="s">
        <v>109</v>
      </c>
    </row>
    <row r="145" spans="3:15" x14ac:dyDescent="0.2">
      <c r="C145" s="454">
        <v>2015</v>
      </c>
      <c r="D145" s="431">
        <f>VLOOKUP(C145,'[9]Inflation Forecast'!$B$6:$C$61,2,FALSE)</f>
        <v>6.0000000000000001E-3</v>
      </c>
      <c r="E145" s="406"/>
      <c r="F145" s="454">
        <f>C151+1</f>
        <v>2022</v>
      </c>
      <c r="G145" s="431">
        <f>VLOOKUP(F145,'[9]Inflation Forecast'!$B$6:$C$61,2,FALSE)</f>
        <v>2.3E-2</v>
      </c>
      <c r="H145" s="406"/>
      <c r="I145" s="454">
        <f>F151+1</f>
        <v>2029</v>
      </c>
      <c r="J145" s="431">
        <f>VLOOKUP(I145,'[9]Inflation Forecast'!$B$6:$C$61,2,FALSE)</f>
        <v>2.1000000000000001E-2</v>
      </c>
      <c r="K145" s="454"/>
      <c r="N145" s="454">
        <v>2009</v>
      </c>
      <c r="O145" s="431">
        <v>4.0000000000000001E-3</v>
      </c>
    </row>
    <row r="146" spans="3:15" x14ac:dyDescent="0.2">
      <c r="C146" s="454">
        <f>C145+1</f>
        <v>2016</v>
      </c>
      <c r="D146" s="431">
        <f>VLOOKUP(C146,'[9]Inflation Forecast'!$B$6:$C$61,2,FALSE)</f>
        <v>1.2E-2</v>
      </c>
      <c r="E146" s="406"/>
      <c r="F146" s="454">
        <f>F145+1</f>
        <v>2023</v>
      </c>
      <c r="G146" s="431">
        <f>VLOOKUP(F146,'[9]Inflation Forecast'!$B$6:$C$61,2,FALSE)</f>
        <v>2.3E-2</v>
      </c>
      <c r="H146" s="406"/>
      <c r="I146" s="454">
        <f>I145+1</f>
        <v>2030</v>
      </c>
      <c r="J146" s="431">
        <f>VLOOKUP(I146,'[9]Inflation Forecast'!$B$6:$C$61,2,FALSE)</f>
        <v>2.1999999999999999E-2</v>
      </c>
      <c r="K146" s="454"/>
      <c r="N146" s="454">
        <f t="shared" ref="N146:N151" si="24">N145+1</f>
        <v>2010</v>
      </c>
      <c r="O146" s="431">
        <v>1.2999999999999999E-2</v>
      </c>
    </row>
    <row r="147" spans="3:15" x14ac:dyDescent="0.2">
      <c r="C147" s="454">
        <f t="shared" ref="C147:C151" si="25">C146+1</f>
        <v>2017</v>
      </c>
      <c r="D147" s="431">
        <f>VLOOKUP(C147,'[9]Inflation Forecast'!$B$6:$C$61,2,FALSE)</f>
        <v>2.1999999999999999E-2</v>
      </c>
      <c r="E147" s="406"/>
      <c r="F147" s="454">
        <f>F146+1</f>
        <v>2024</v>
      </c>
      <c r="G147" s="431">
        <f>VLOOKUP(F147,'[9]Inflation Forecast'!$B$6:$C$61,2,FALSE)</f>
        <v>2.3E-2</v>
      </c>
      <c r="H147" s="406"/>
      <c r="I147" s="454">
        <f>I146+1</f>
        <v>2031</v>
      </c>
      <c r="J147" s="431">
        <f>VLOOKUP(I147,'[9]Inflation Forecast'!$B$6:$C$61,2,FALSE)</f>
        <v>2.1999999999999999E-2</v>
      </c>
      <c r="K147" s="454"/>
      <c r="N147" s="454">
        <f t="shared" si="24"/>
        <v>2011</v>
      </c>
      <c r="O147" s="431">
        <v>1.7000000000000001E-2</v>
      </c>
    </row>
    <row r="148" spans="3:15" x14ac:dyDescent="0.2">
      <c r="C148" s="454">
        <f t="shared" si="25"/>
        <v>2018</v>
      </c>
      <c r="D148" s="431">
        <f>VLOOKUP(C148,'[9]Inflation Forecast'!$B$6:$C$61,2,FALSE)</f>
        <v>2.4E-2</v>
      </c>
      <c r="E148" s="406"/>
      <c r="F148" s="454">
        <f>F147+1</f>
        <v>2025</v>
      </c>
      <c r="G148" s="431">
        <f>VLOOKUP(F148,'[9]Inflation Forecast'!$B$6:$C$61,2,FALSE)</f>
        <v>2.1999999999999999E-2</v>
      </c>
      <c r="H148" s="406"/>
      <c r="I148" s="454">
        <f>I147+1</f>
        <v>2032</v>
      </c>
      <c r="J148" s="431">
        <f>VLOOKUP(I148,'[9]Inflation Forecast'!$B$6:$C$61,2,FALSE)</f>
        <v>2.1999999999999999E-2</v>
      </c>
      <c r="K148" s="454"/>
      <c r="N148" s="454">
        <f t="shared" si="24"/>
        <v>2012</v>
      </c>
      <c r="O148" s="431">
        <v>0.02</v>
      </c>
    </row>
    <row r="149" spans="3:15" x14ac:dyDescent="0.2">
      <c r="C149" s="454">
        <f t="shared" si="25"/>
        <v>2019</v>
      </c>
      <c r="D149" s="431">
        <f>VLOOKUP(C149,'[9]Inflation Forecast'!$B$6:$C$61,2,FALSE)</f>
        <v>2.4E-2</v>
      </c>
      <c r="E149" s="406"/>
      <c r="F149" s="454">
        <f t="shared" ref="F149:F151" si="26">F148+1</f>
        <v>2026</v>
      </c>
      <c r="G149" s="431">
        <f>VLOOKUP(F149,'[9]Inflation Forecast'!$B$6:$C$61,2,FALSE)</f>
        <v>2.1999999999999999E-2</v>
      </c>
      <c r="H149" s="406"/>
      <c r="I149" s="454">
        <f>I148+1</f>
        <v>2033</v>
      </c>
      <c r="J149" s="431">
        <f>VLOOKUP(I149,'[9]Inflation Forecast'!$B$6:$C$61,2,FALSE)</f>
        <v>2.1999999999999999E-2</v>
      </c>
      <c r="K149" s="454"/>
      <c r="N149" s="454">
        <f t="shared" si="24"/>
        <v>2013</v>
      </c>
      <c r="O149" s="431">
        <v>0.02</v>
      </c>
    </row>
    <row r="150" spans="3:15" x14ac:dyDescent="0.2">
      <c r="C150" s="454">
        <f t="shared" si="25"/>
        <v>2020</v>
      </c>
      <c r="D150" s="431">
        <f>VLOOKUP(C150,'[9]Inflation Forecast'!$B$6:$C$61,2,FALSE)</f>
        <v>2.4E-2</v>
      </c>
      <c r="E150" s="406"/>
      <c r="F150" s="454">
        <f t="shared" si="26"/>
        <v>2027</v>
      </c>
      <c r="G150" s="431">
        <f>VLOOKUP(F150,'[9]Inflation Forecast'!$B$6:$C$61,2,FALSE)</f>
        <v>2.1999999999999999E-2</v>
      </c>
      <c r="H150" s="406"/>
      <c r="K150" s="454"/>
      <c r="N150" s="454">
        <f t="shared" si="24"/>
        <v>2014</v>
      </c>
      <c r="O150" s="431">
        <v>1.9E-2</v>
      </c>
    </row>
    <row r="151" spans="3:15" s="370" customFormat="1" x14ac:dyDescent="0.2">
      <c r="C151" s="454">
        <f t="shared" si="25"/>
        <v>2021</v>
      </c>
      <c r="D151" s="431">
        <f>VLOOKUP(C151,'[9]Inflation Forecast'!$B$6:$C$61,2,FALSE)</f>
        <v>2.4E-2</v>
      </c>
      <c r="E151" s="461"/>
      <c r="F151" s="454">
        <f t="shared" si="26"/>
        <v>2028</v>
      </c>
      <c r="G151" s="431">
        <f>VLOOKUP(F151,'[9]Inflation Forecast'!$B$6:$C$61,2,FALSE)</f>
        <v>2.1999999999999999E-2</v>
      </c>
      <c r="H151" s="461"/>
      <c r="K151" s="454"/>
      <c r="N151" s="454">
        <f t="shared" si="24"/>
        <v>2015</v>
      </c>
      <c r="O151" s="431">
        <v>1.9E-2</v>
      </c>
    </row>
    <row r="152" spans="3:15" x14ac:dyDescent="0.2">
      <c r="I152" s="454"/>
      <c r="J152" s="431"/>
    </row>
    <row r="153" spans="3:15" x14ac:dyDescent="0.2">
      <c r="I153" s="454"/>
      <c r="J153" s="431"/>
    </row>
    <row r="154" spans="3:15" x14ac:dyDescent="0.2">
      <c r="I154" s="454"/>
      <c r="J154" s="431"/>
    </row>
    <row r="155" spans="3:15" x14ac:dyDescent="0.2">
      <c r="I155" s="454"/>
      <c r="J155" s="431"/>
    </row>
    <row r="156" spans="3:15" x14ac:dyDescent="0.2">
      <c r="I156" s="454"/>
      <c r="J156" s="431"/>
    </row>
  </sheetData>
  <phoneticPr fontId="8" type="noConversion"/>
  <printOptions horizontalCentered="1"/>
  <pageMargins left="0.25" right="0.25" top="0.75" bottom="0.75" header="0.3" footer="0.3"/>
  <pageSetup scale="95" fitToHeight="2" orientation="portrait" r:id="rId1"/>
  <headerFooter alignWithMargins="0">
    <oddFooter>&amp;L&amp;8NPC Group - &amp;F   ( &amp;A )&amp;C &amp;R &amp;8&amp;D  &amp;T</oddFooter>
  </headerFooter>
  <rowBreaks count="2" manualBreakCount="2">
    <brk id="45" min="1" max="10" man="1"/>
    <brk id="97" min="1" max="10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1:E34"/>
  <sheetViews>
    <sheetView zoomScaleNormal="100" workbookViewId="0">
      <selection activeCell="D22" sqref="D22"/>
    </sheetView>
  </sheetViews>
  <sheetFormatPr defaultRowHeight="12.75" x14ac:dyDescent="0.2"/>
  <cols>
    <col min="1" max="1" width="2" style="32" customWidth="1"/>
    <col min="2" max="2" width="24.5" style="32" customWidth="1"/>
    <col min="3" max="5" width="19.6640625" style="32" customWidth="1"/>
    <col min="6" max="6" width="2.1640625" style="32" customWidth="1"/>
    <col min="7" max="16384" width="9.33203125" style="32"/>
  </cols>
  <sheetData>
    <row r="1" spans="2:5" ht="15.75" x14ac:dyDescent="0.25">
      <c r="B1" s="20" t="s">
        <v>82</v>
      </c>
      <c r="C1" s="23"/>
      <c r="D1" s="23"/>
      <c r="E1" s="23"/>
    </row>
    <row r="2" spans="2:5" ht="15.75" x14ac:dyDescent="0.25">
      <c r="B2" s="20" t="s">
        <v>99</v>
      </c>
      <c r="C2" s="23"/>
      <c r="D2" s="23"/>
      <c r="E2" s="23"/>
    </row>
    <row r="3" spans="2:5" ht="15.75" x14ac:dyDescent="0.25">
      <c r="B3" s="20" t="s">
        <v>37</v>
      </c>
      <c r="C3" s="68"/>
      <c r="D3" s="68"/>
      <c r="E3" s="68"/>
    </row>
    <row r="4" spans="2:5" ht="15.75" x14ac:dyDescent="0.25">
      <c r="B4" s="469"/>
      <c r="C4" s="68"/>
      <c r="D4" s="470"/>
      <c r="E4" s="470"/>
    </row>
    <row r="5" spans="2:5" x14ac:dyDescent="0.2">
      <c r="B5" s="21"/>
      <c r="C5" s="21"/>
      <c r="D5" s="21"/>
      <c r="E5" s="21"/>
    </row>
    <row r="6" spans="2:5" x14ac:dyDescent="0.2">
      <c r="B6" s="25" t="s">
        <v>2</v>
      </c>
      <c r="C6" s="25" t="str">
        <f>'OFPC Source'!D225</f>
        <v>West Side</v>
      </c>
      <c r="D6" s="25" t="str">
        <f>'OFPC Source'!C225</f>
        <v>IRP - Wyo NE</v>
      </c>
      <c r="E6" s="25" t="s">
        <v>316</v>
      </c>
    </row>
    <row r="7" spans="2:5" x14ac:dyDescent="0.2">
      <c r="B7" s="69"/>
      <c r="C7" s="26"/>
      <c r="D7" s="26"/>
      <c r="E7" s="26"/>
    </row>
    <row r="8" spans="2:5" x14ac:dyDescent="0.2">
      <c r="C8" s="74" t="s">
        <v>19</v>
      </c>
      <c r="D8" s="74" t="s">
        <v>20</v>
      </c>
      <c r="E8" s="74" t="s">
        <v>21</v>
      </c>
    </row>
    <row r="9" spans="2:5" x14ac:dyDescent="0.2">
      <c r="C9" s="70"/>
      <c r="D9" s="70"/>
      <c r="E9" s="70"/>
    </row>
    <row r="10" spans="2:5" x14ac:dyDescent="0.2">
      <c r="B10" s="71">
        <f>'Tables 3 to 5'!$B$13</f>
        <v>2016</v>
      </c>
      <c r="C10" s="72">
        <f>VLOOKUP(B10,'OFPC Source'!$G$8:$J$33,3,FALSE)</f>
        <v>1.99</v>
      </c>
      <c r="D10" s="72">
        <f>VLOOKUP(B10,'OFPC Source'!$G$8:$H$25,2,FALSE)</f>
        <v>2.02</v>
      </c>
      <c r="E10" s="72">
        <f>ROUND(C10*$D$32+D10*$D$33,2)</f>
        <v>2.0099999999999998</v>
      </c>
    </row>
    <row r="11" spans="2:5" x14ac:dyDescent="0.2">
      <c r="B11" s="71">
        <f>B10+1</f>
        <v>2017</v>
      </c>
      <c r="C11" s="72">
        <f>VLOOKUP(B11,'OFPC Source'!$G$8:$J$33,3,FALSE)</f>
        <v>2.68</v>
      </c>
      <c r="D11" s="72">
        <f>VLOOKUP(B11,'OFPC Source'!$G$8:$H$25,2,FALSE)</f>
        <v>2.64</v>
      </c>
      <c r="E11" s="72">
        <f t="shared" ref="E11:E27" si="0">ROUND(C11*$D$32+D11*$D$33,2)</f>
        <v>2.66</v>
      </c>
    </row>
    <row r="12" spans="2:5" x14ac:dyDescent="0.2">
      <c r="B12" s="71">
        <f t="shared" ref="B12:B27" si="1">B11+1</f>
        <v>2018</v>
      </c>
      <c r="C12" s="72">
        <f>VLOOKUP(B12,'OFPC Source'!$G$8:$J$33,3,FALSE)</f>
        <v>2.81</v>
      </c>
      <c r="D12" s="72">
        <f>VLOOKUP(B12,'OFPC Source'!$G$8:$H$25,2,FALSE)</f>
        <v>2.74</v>
      </c>
      <c r="E12" s="72">
        <f t="shared" si="0"/>
        <v>2.77</v>
      </c>
    </row>
    <row r="13" spans="2:5" x14ac:dyDescent="0.2">
      <c r="B13" s="71">
        <f t="shared" si="1"/>
        <v>2019</v>
      </c>
      <c r="C13" s="72">
        <f>VLOOKUP(B13,'OFPC Source'!$G$8:$J$33,3,FALSE)</f>
        <v>2.93</v>
      </c>
      <c r="D13" s="72">
        <f>VLOOKUP(B13,'OFPC Source'!$G$8:$H$25,2,FALSE)</f>
        <v>2.8</v>
      </c>
      <c r="E13" s="72">
        <f t="shared" si="0"/>
        <v>2.86</v>
      </c>
    </row>
    <row r="14" spans="2:5" x14ac:dyDescent="0.2">
      <c r="B14" s="71">
        <f t="shared" si="1"/>
        <v>2020</v>
      </c>
      <c r="C14" s="72">
        <f>VLOOKUP(B14,'OFPC Source'!$G$8:$J$33,3,FALSE)</f>
        <v>3.11</v>
      </c>
      <c r="D14" s="72">
        <f>VLOOKUP(B14,'OFPC Source'!$G$8:$H$25,2,FALSE)</f>
        <v>2.91</v>
      </c>
      <c r="E14" s="72">
        <f t="shared" si="0"/>
        <v>3</v>
      </c>
    </row>
    <row r="15" spans="2:5" x14ac:dyDescent="0.2">
      <c r="B15" s="71">
        <f t="shared" si="1"/>
        <v>2021</v>
      </c>
      <c r="C15" s="72">
        <f>VLOOKUP(B15,'OFPC Source'!$G$8:$J$33,3,FALSE)</f>
        <v>3.26</v>
      </c>
      <c r="D15" s="72">
        <f>VLOOKUP(B15,'OFPC Source'!$G$8:$H$25,2,FALSE)</f>
        <v>3.05</v>
      </c>
      <c r="E15" s="72">
        <f t="shared" si="0"/>
        <v>3.14</v>
      </c>
    </row>
    <row r="16" spans="2:5" x14ac:dyDescent="0.2">
      <c r="B16" s="71">
        <f t="shared" si="1"/>
        <v>2022</v>
      </c>
      <c r="C16" s="72">
        <f>VLOOKUP(B16,'OFPC Source'!$G$8:$J$33,3,FALSE)</f>
        <v>3.55</v>
      </c>
      <c r="D16" s="72">
        <f>VLOOKUP(B16,'OFPC Source'!$G$8:$H$25,2,FALSE)</f>
        <v>3.36</v>
      </c>
      <c r="E16" s="72">
        <f t="shared" si="0"/>
        <v>3.44</v>
      </c>
    </row>
    <row r="17" spans="2:5" x14ac:dyDescent="0.2">
      <c r="B17" s="71">
        <f t="shared" si="1"/>
        <v>2023</v>
      </c>
      <c r="C17" s="72">
        <f>VLOOKUP(B17,'OFPC Source'!$G$8:$J$33,3,FALSE)</f>
        <v>3.91</v>
      </c>
      <c r="D17" s="72">
        <f>VLOOKUP(B17,'OFPC Source'!$G$8:$H$25,2,FALSE)</f>
        <v>3.75</v>
      </c>
      <c r="E17" s="72">
        <f t="shared" si="0"/>
        <v>3.82</v>
      </c>
    </row>
    <row r="18" spans="2:5" x14ac:dyDescent="0.2">
      <c r="B18" s="71">
        <f t="shared" si="1"/>
        <v>2024</v>
      </c>
      <c r="C18" s="72">
        <f>VLOOKUP(B18,'OFPC Source'!$G$8:$J$33,3,FALSE)</f>
        <v>4.2699999999999996</v>
      </c>
      <c r="D18" s="72">
        <f>VLOOKUP(B18,'OFPC Source'!$G$8:$H$25,2,FALSE)</f>
        <v>4.13</v>
      </c>
      <c r="E18" s="72">
        <f t="shared" si="0"/>
        <v>4.1900000000000004</v>
      </c>
    </row>
    <row r="19" spans="2:5" x14ac:dyDescent="0.2">
      <c r="B19" s="71">
        <f t="shared" si="1"/>
        <v>2025</v>
      </c>
      <c r="C19" s="72">
        <f>VLOOKUP(B19,'OFPC Source'!$G$8:$J$33,3,FALSE)</f>
        <v>4.4400000000000004</v>
      </c>
      <c r="D19" s="72">
        <f>VLOOKUP(B19,'OFPC Source'!$G$8:$H$25,2,FALSE)</f>
        <v>4.3099999999999996</v>
      </c>
      <c r="E19" s="72">
        <f t="shared" si="0"/>
        <v>4.37</v>
      </c>
    </row>
    <row r="20" spans="2:5" x14ac:dyDescent="0.2">
      <c r="B20" s="71">
        <f t="shared" si="1"/>
        <v>2026</v>
      </c>
      <c r="C20" s="72">
        <f>VLOOKUP(B20,'OFPC Source'!$G$8:$J$33,3,FALSE)</f>
        <v>4.53</v>
      </c>
      <c r="D20" s="72">
        <f>VLOOKUP(B20,'OFPC Source'!$G$8:$H$25,2,FALSE)</f>
        <v>4.41</v>
      </c>
      <c r="E20" s="72">
        <f t="shared" si="0"/>
        <v>4.46</v>
      </c>
    </row>
    <row r="21" spans="2:5" x14ac:dyDescent="0.2">
      <c r="B21" s="71">
        <f t="shared" si="1"/>
        <v>2027</v>
      </c>
      <c r="C21" s="72">
        <f>VLOOKUP(B21,'OFPC Source'!$G$8:$J$33,3,FALSE)</f>
        <v>4.8099999999999996</v>
      </c>
      <c r="D21" s="72">
        <f>VLOOKUP(B21,'OFPC Source'!$G$8:$H$25,2,FALSE)</f>
        <v>4.6500000000000004</v>
      </c>
      <c r="E21" s="72">
        <f t="shared" si="0"/>
        <v>4.72</v>
      </c>
    </row>
    <row r="22" spans="2:5" x14ac:dyDescent="0.2">
      <c r="B22" s="71">
        <f t="shared" si="1"/>
        <v>2028</v>
      </c>
      <c r="C22" s="72">
        <f>VLOOKUP(B22,'OFPC Source'!$G$8:$J$33,3,FALSE)</f>
        <v>4.97</v>
      </c>
      <c r="D22" s="72">
        <f>VLOOKUP(B22,'OFPC Source'!$G$8:$H$25,2,FALSE)</f>
        <v>4.7699999999999996</v>
      </c>
      <c r="E22" s="72">
        <f t="shared" si="0"/>
        <v>4.8600000000000003</v>
      </c>
    </row>
    <row r="23" spans="2:5" x14ac:dyDescent="0.2">
      <c r="B23" s="71">
        <f t="shared" si="1"/>
        <v>2029</v>
      </c>
      <c r="C23" s="72">
        <f>VLOOKUP(B23,'OFPC Source'!$G$8:$J$33,3,FALSE)</f>
        <v>5.1100000000000003</v>
      </c>
      <c r="D23" s="72">
        <f>VLOOKUP(B23,'OFPC Source'!$G$8:$H$25,2,FALSE)</f>
        <v>4.92</v>
      </c>
      <c r="E23" s="72">
        <f t="shared" si="0"/>
        <v>5</v>
      </c>
    </row>
    <row r="24" spans="2:5" x14ac:dyDescent="0.2">
      <c r="B24" s="71">
        <f t="shared" si="1"/>
        <v>2030</v>
      </c>
      <c r="C24" s="72">
        <f>VLOOKUP(B24,'OFPC Source'!$G$8:$J$33,3,FALSE)</f>
        <v>5.43</v>
      </c>
      <c r="D24" s="72">
        <f>VLOOKUP(B24,'OFPC Source'!$G$8:$H$25,2,FALSE)</f>
        <v>5.21</v>
      </c>
      <c r="E24" s="72">
        <f t="shared" si="0"/>
        <v>5.31</v>
      </c>
    </row>
    <row r="25" spans="2:5" x14ac:dyDescent="0.2">
      <c r="B25" s="71">
        <f t="shared" si="1"/>
        <v>2031</v>
      </c>
      <c r="C25" s="72">
        <f>VLOOKUP(B25,'OFPC Source'!$G$8:$J$33,3,FALSE)</f>
        <v>5.57</v>
      </c>
      <c r="D25" s="72">
        <f>VLOOKUP(B25,'OFPC Source'!$G$8:$H$25,2,FALSE)</f>
        <v>5.35</v>
      </c>
      <c r="E25" s="72">
        <f t="shared" si="0"/>
        <v>5.45</v>
      </c>
    </row>
    <row r="26" spans="2:5" x14ac:dyDescent="0.2">
      <c r="B26" s="71">
        <f t="shared" si="1"/>
        <v>2032</v>
      </c>
      <c r="C26" s="72">
        <f>VLOOKUP(B26,'OFPC Source'!$G$8:$J$33,3,FALSE)</f>
        <v>5.72</v>
      </c>
      <c r="D26" s="72">
        <f>VLOOKUP(B26,'OFPC Source'!$G$8:$H$25,2,FALSE)</f>
        <v>5.51</v>
      </c>
      <c r="E26" s="72">
        <f t="shared" si="0"/>
        <v>5.6</v>
      </c>
    </row>
    <row r="27" spans="2:5" x14ac:dyDescent="0.2">
      <c r="B27" s="71">
        <f t="shared" si="1"/>
        <v>2033</v>
      </c>
      <c r="C27" s="72">
        <f>VLOOKUP(B27,'OFPC Source'!$G$8:$J$33,3,FALSE)</f>
        <v>5.91</v>
      </c>
      <c r="D27" s="72">
        <f>VLOOKUP(B27,'OFPC Source'!$G$8:$H$25,2,FALSE)</f>
        <v>5.69</v>
      </c>
      <c r="E27" s="72">
        <f t="shared" si="0"/>
        <v>5.79</v>
      </c>
    </row>
    <row r="28" spans="2:5" x14ac:dyDescent="0.2">
      <c r="B28" s="71"/>
      <c r="C28" s="72"/>
      <c r="D28" s="72"/>
      <c r="E28" s="72"/>
    </row>
    <row r="29" spans="2:5" x14ac:dyDescent="0.2">
      <c r="B29" s="27" t="s">
        <v>95</v>
      </c>
    </row>
    <row r="30" spans="2:5" ht="12.75" customHeight="1" x14ac:dyDescent="0.2">
      <c r="B30" s="472" t="str">
        <f>"Official Forward Price Curve dated "&amp;TEXT('OFPC Source'!C4,"  mmmm dd yyyy")</f>
        <v>Official Forward Price Curve dated   March 31 2016</v>
      </c>
      <c r="C30" s="472"/>
      <c r="D30" s="68"/>
      <c r="E30" s="364"/>
    </row>
    <row r="32" spans="2:5" x14ac:dyDescent="0.2">
      <c r="B32" s="32" t="str">
        <f>'Table 7'!C93</f>
        <v xml:space="preserve">West side, CCCT Dry "J", Adv 1x1 </v>
      </c>
      <c r="D32" s="36">
        <f>'Table 7'!I93</f>
        <v>0.44521738402995015</v>
      </c>
    </row>
    <row r="33" spans="2:4" x14ac:dyDescent="0.2">
      <c r="B33" s="32" t="str">
        <f>'Table 7'!C94</f>
        <v>East Side,  CCCT - DJohns Dry "F", 2x1</v>
      </c>
      <c r="D33" s="471">
        <f>'Table 7'!I94</f>
        <v>0.55478261597004985</v>
      </c>
    </row>
    <row r="34" spans="2:4" x14ac:dyDescent="0.2">
      <c r="D34" s="36">
        <f>'Table 7'!I95</f>
        <v>1</v>
      </c>
    </row>
  </sheetData>
  <phoneticPr fontId="8" type="noConversion"/>
  <printOptions horizontalCentered="1"/>
  <pageMargins left="0.25" right="0.25" top="0.75" bottom="0.75" header="0.3" footer="0.3"/>
  <pageSetup orientation="portrait" r:id="rId1"/>
  <headerFooter alignWithMargins="0">
    <oddFooter>&amp;L&amp;8NPC Group - &amp;F   ( &amp;A )&amp;C &amp;R &amp;8&amp;D 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22</vt:i4>
      </vt:variant>
    </vt:vector>
  </HeadingPairs>
  <TitlesOfParts>
    <vt:vector size="39" baseType="lpstr">
      <vt:lpstr>Table 1</vt:lpstr>
      <vt:lpstr>Table 2A BaseLoad</vt:lpstr>
      <vt:lpstr>Table 2B Wind</vt:lpstr>
      <vt:lpstr>Table 2C SolarFixed</vt:lpstr>
      <vt:lpstr>Table 2D SolarTracking</vt:lpstr>
      <vt:lpstr>Tables 3 to 5</vt:lpstr>
      <vt:lpstr>Table 6</vt:lpstr>
      <vt:lpstr>Table 7</vt:lpstr>
      <vt:lpstr>Table 8</vt:lpstr>
      <vt:lpstr>Table 9</vt:lpstr>
      <vt:lpstr>Table 10</vt:lpstr>
      <vt:lpstr>--- Do Not Print ---&gt;</vt:lpstr>
      <vt:lpstr>Tariff Page</vt:lpstr>
      <vt:lpstr>Tariff Page Solar Fixed</vt:lpstr>
      <vt:lpstr>Tariff Page Solar Tracking</vt:lpstr>
      <vt:lpstr>Tariff Page Wind</vt:lpstr>
      <vt:lpstr>OFPC Source</vt:lpstr>
      <vt:lpstr>'Table 2C SolarFixed'!Capacity_Contr_Solar_Fixed</vt:lpstr>
      <vt:lpstr>Capacity_Contr_Solar_Fixed</vt:lpstr>
      <vt:lpstr>'Table 2B Wind'!Capacity_Contr_Solar_Tracking</vt:lpstr>
      <vt:lpstr>'Table 2D SolarTracking'!Capacity_Contr_Solar_Tracking</vt:lpstr>
      <vt:lpstr>'Table 2B Wind'!Capacity_Contr_Wind</vt:lpstr>
      <vt:lpstr>'Table 1'!Print_Area</vt:lpstr>
      <vt:lpstr>'Table 10'!Print_Area</vt:lpstr>
      <vt:lpstr>'Table 2A BaseLoad'!Print_Area</vt:lpstr>
      <vt:lpstr>'Table 2B Wind'!Print_Area</vt:lpstr>
      <vt:lpstr>'Table 2C SolarFixed'!Print_Area</vt:lpstr>
      <vt:lpstr>'Table 2D SolarTracking'!Print_Area</vt:lpstr>
      <vt:lpstr>'Table 6'!Print_Area</vt:lpstr>
      <vt:lpstr>'Table 7'!Print_Area</vt:lpstr>
      <vt:lpstr>'Table 8'!Print_Area</vt:lpstr>
      <vt:lpstr>'Table 9'!Print_Area</vt:lpstr>
      <vt:lpstr>'Tables 3 to 5'!Print_Area</vt:lpstr>
      <vt:lpstr>'Tariff Page'!Print_Area</vt:lpstr>
      <vt:lpstr>'Tariff Page Solar Fixed'!Print_Area</vt:lpstr>
      <vt:lpstr>'Tariff Page Solar Tracking'!Print_Area</vt:lpstr>
      <vt:lpstr>'Tariff Page Wind'!Print_Area</vt:lpstr>
      <vt:lpstr>Solar_Fixed_integr_cost</vt:lpstr>
      <vt:lpstr>Solar_Tracking_integr_cost</vt:lpstr>
    </vt:vector>
  </TitlesOfParts>
  <Company>PacifiCorp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PacifiCorp</dc:creator>
  <cp:lastModifiedBy>mpaschal</cp:lastModifiedBy>
  <cp:lastPrinted>2016-04-26T19:06:14Z</cp:lastPrinted>
  <dcterms:created xsi:type="dcterms:W3CDTF">2001-03-19T15:45:46Z</dcterms:created>
  <dcterms:modified xsi:type="dcterms:W3CDTF">2016-04-29T20:38:26Z</dcterms:modified>
</cp:coreProperties>
</file>