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170" yWindow="420" windowWidth="11250" windowHeight="5550" tabRatio="759"/>
  </bookViews>
  <sheets>
    <sheet name="Projected Expenses - Exh A" sheetId="8" r:id="rId1"/>
  </sheets>
  <externalReferences>
    <externalReference r:id="rId2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a" hidden="1">#REF!</definedName>
    <definedName name="DUDE" hidden="1">#REF!</definedName>
    <definedName name="limcount" hidden="1">1</definedName>
    <definedName name="_xlnm.Print_Titles" localSheetId="0">'Projected Expenses - Exh A'!$A:$A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wrn.All._.Pages." hidden="1">{#N/A,#N/A,FALSE,"Cover";#N/A,#N/A,FALSE,"Lead Sheet";#N/A,#N/A,FALSE,"Interest Expense A ";#N/A,#N/A,FALSE,"Deposits 3 01";#N/A,#N/A,FALSE,"Deposits 3 02";#N/A,#N/A,FALSE,"T-Accounts";#N/A,#N/A,FALSE,"Interest Expense B";#N/A,#N/A,FALSE,"IntRate"}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#REF!</definedName>
    <definedName name="z" hidden="1">#REF!</definedName>
  </definedNames>
  <calcPr calcId="152511"/>
</workbook>
</file>

<file path=xl/calcChain.xml><?xml version="1.0" encoding="utf-8"?>
<calcChain xmlns="http://schemas.openxmlformats.org/spreadsheetml/2006/main">
  <c r="K20" i="8" l="1"/>
  <c r="K16" i="8"/>
  <c r="E21" i="8" l="1"/>
  <c r="G25" i="8"/>
  <c r="G26" i="8"/>
  <c r="F26" i="8"/>
  <c r="E26" i="8"/>
  <c r="D26" i="8"/>
  <c r="G10" i="8" l="1"/>
  <c r="E10" i="8"/>
  <c r="G9" i="8" l="1"/>
  <c r="F9" i="8"/>
  <c r="E9" i="8"/>
  <c r="G12" i="8"/>
  <c r="F12" i="8"/>
  <c r="E12" i="8"/>
  <c r="K7" i="8" l="1"/>
  <c r="K22" i="8" l="1"/>
  <c r="K17" i="8"/>
  <c r="K13" i="8"/>
  <c r="K29" i="8" l="1"/>
  <c r="C20" i="8"/>
  <c r="C16" i="8"/>
  <c r="C10" i="8"/>
  <c r="B20" i="8" l="1"/>
  <c r="B16" i="8"/>
  <c r="B25" i="8"/>
  <c r="B24" i="8" l="1"/>
  <c r="D24" i="8" s="1"/>
  <c r="B11" i="8"/>
  <c r="B13" i="8" s="1"/>
  <c r="L29" i="8"/>
  <c r="Y27" i="8"/>
  <c r="D27" i="8"/>
  <c r="Y26" i="8"/>
  <c r="H26" i="8"/>
  <c r="Y25" i="8"/>
  <c r="D25" i="8"/>
  <c r="H25" i="8" s="1"/>
  <c r="Y24" i="8"/>
  <c r="AA22" i="8"/>
  <c r="X22" i="8"/>
  <c r="W22" i="8"/>
  <c r="V22" i="8"/>
  <c r="U22" i="8"/>
  <c r="T22" i="8"/>
  <c r="S22" i="8"/>
  <c r="R22" i="8"/>
  <c r="Q22" i="8"/>
  <c r="P22" i="8"/>
  <c r="O22" i="8"/>
  <c r="N22" i="8"/>
  <c r="M22" i="8"/>
  <c r="J22" i="8"/>
  <c r="I22" i="8"/>
  <c r="Y21" i="8"/>
  <c r="D21" i="8"/>
  <c r="H21" i="8" s="1"/>
  <c r="Y20" i="8"/>
  <c r="C22" i="8"/>
  <c r="D20" i="8"/>
  <c r="AA17" i="8"/>
  <c r="X17" i="8"/>
  <c r="W17" i="8"/>
  <c r="V17" i="8"/>
  <c r="U17" i="8"/>
  <c r="T17" i="8"/>
  <c r="S17" i="8"/>
  <c r="R17" i="8"/>
  <c r="Q17" i="8"/>
  <c r="P17" i="8"/>
  <c r="O17" i="8"/>
  <c r="N17" i="8"/>
  <c r="M17" i="8"/>
  <c r="I17" i="8"/>
  <c r="Y16" i="8"/>
  <c r="Y17" i="8" s="1"/>
  <c r="J16" i="8"/>
  <c r="C17" i="8"/>
  <c r="D16" i="8"/>
  <c r="AA13" i="8"/>
  <c r="X13" i="8"/>
  <c r="W13" i="8"/>
  <c r="V13" i="8"/>
  <c r="U13" i="8"/>
  <c r="T13" i="8"/>
  <c r="S13" i="8"/>
  <c r="R13" i="8"/>
  <c r="Q13" i="8"/>
  <c r="P13" i="8"/>
  <c r="O13" i="8"/>
  <c r="N13" i="8"/>
  <c r="M13" i="8"/>
  <c r="I13" i="8"/>
  <c r="Y12" i="8"/>
  <c r="D12" i="8"/>
  <c r="Y11" i="8"/>
  <c r="D11" i="8"/>
  <c r="H11" i="8" s="1"/>
  <c r="Y10" i="8"/>
  <c r="C13" i="8"/>
  <c r="Y9" i="8"/>
  <c r="D9" i="8"/>
  <c r="Y8" i="8"/>
  <c r="D8" i="8"/>
  <c r="Y7" i="8"/>
  <c r="J7" i="8"/>
  <c r="J13" i="8" s="1"/>
  <c r="D7" i="8"/>
  <c r="F20" i="8" l="1"/>
  <c r="G20" i="8"/>
  <c r="E20" i="8"/>
  <c r="E22" i="8" s="1"/>
  <c r="G16" i="8"/>
  <c r="F16" i="8"/>
  <c r="E16" i="8"/>
  <c r="I29" i="8"/>
  <c r="F24" i="8"/>
  <c r="E24" i="8"/>
  <c r="G24" i="8"/>
  <c r="F7" i="8"/>
  <c r="E7" i="8"/>
  <c r="G7" i="8"/>
  <c r="Y13" i="8"/>
  <c r="S29" i="8"/>
  <c r="F8" i="8"/>
  <c r="E8" i="8"/>
  <c r="G8" i="8"/>
  <c r="M29" i="8"/>
  <c r="Q29" i="8"/>
  <c r="U29" i="8"/>
  <c r="O29" i="8"/>
  <c r="W29" i="8"/>
  <c r="AA29" i="8"/>
  <c r="C29" i="8"/>
  <c r="N29" i="8"/>
  <c r="R29" i="8"/>
  <c r="V29" i="8"/>
  <c r="B17" i="8"/>
  <c r="D10" i="8"/>
  <c r="D13" i="8" s="1"/>
  <c r="Y22" i="8"/>
  <c r="B22" i="8"/>
  <c r="P29" i="8"/>
  <c r="T29" i="8"/>
  <c r="X29" i="8"/>
  <c r="F17" i="8"/>
  <c r="D17" i="8"/>
  <c r="E17" i="8"/>
  <c r="F22" i="8"/>
  <c r="D22" i="8"/>
  <c r="G22" i="8"/>
  <c r="G17" i="8"/>
  <c r="J17" i="8"/>
  <c r="J29" i="8" s="1"/>
  <c r="H27" i="8"/>
  <c r="H24" i="8" l="1"/>
  <c r="H7" i="8"/>
  <c r="Y29" i="8"/>
  <c r="H9" i="8"/>
  <c r="E13" i="8"/>
  <c r="E29" i="8" s="1"/>
  <c r="H12" i="8"/>
  <c r="H10" i="8"/>
  <c r="D29" i="8"/>
  <c r="B29" i="8"/>
  <c r="G13" i="8"/>
  <c r="G29" i="8" s="1"/>
  <c r="F13" i="8"/>
  <c r="F29" i="8" s="1"/>
  <c r="H20" i="8"/>
  <c r="H22" i="8" s="1"/>
  <c r="H16" i="8"/>
  <c r="H17" i="8" s="1"/>
  <c r="H8" i="8"/>
  <c r="H13" i="8" l="1"/>
  <c r="H29" i="8" s="1"/>
  <c r="H33" i="8" l="1"/>
</calcChain>
</file>

<file path=xl/comments1.xml><?xml version="1.0" encoding="utf-8"?>
<comments xmlns="http://schemas.openxmlformats.org/spreadsheetml/2006/main">
  <authors>
    <author>Author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EG:</t>
        </r>
        <r>
          <rPr>
            <sz val="9"/>
            <color indexed="81"/>
            <rFont val="Tahoma"/>
            <family val="2"/>
          </rPr>
          <t xml:space="preserve">
Combined legacy and expansion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 Comm and Indust
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EG:</t>
        </r>
        <r>
          <rPr>
            <sz val="9"/>
            <color indexed="81"/>
            <rFont val="Tahoma"/>
            <family val="2"/>
          </rPr>
          <t xml:space="preserve">
Inc $36k paid to Office of Energy for energy codes training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>EG:</t>
        </r>
        <r>
          <rPr>
            <sz val="9"/>
            <color indexed="81"/>
            <rFont val="Tahoma"/>
            <family val="2"/>
          </rPr>
          <t xml:space="preserve">
Posts at program level</t>
        </r>
      </text>
    </comment>
  </commentList>
</comments>
</file>

<file path=xl/sharedStrings.xml><?xml version="1.0" encoding="utf-8"?>
<sst xmlns="http://schemas.openxmlformats.org/spreadsheetml/2006/main" count="43" uniqueCount="38">
  <si>
    <t>Residential Programs</t>
  </si>
  <si>
    <t>Low Income (Sch. 118)</t>
  </si>
  <si>
    <t>New Construction (Sch. 110)</t>
  </si>
  <si>
    <t>Total DSM Program Expenditures</t>
  </si>
  <si>
    <t xml:space="preserve"> </t>
  </si>
  <si>
    <t>DSM Program Expenditures &amp; Revenues</t>
  </si>
  <si>
    <t>Jan - Dec</t>
  </si>
  <si>
    <t>Home Energy Reports (Sch N/A)</t>
  </si>
  <si>
    <t>YTD Balance</t>
  </si>
  <si>
    <t>Projected</t>
  </si>
  <si>
    <t>Accrual</t>
  </si>
  <si>
    <t>Forecast</t>
  </si>
  <si>
    <t>Refrigerator Recycle (Sch. 117)</t>
  </si>
  <si>
    <t>Home Energy Savings Incentive Prgm (Sch. 111)</t>
  </si>
  <si>
    <t>Commercial Sector Programs</t>
  </si>
  <si>
    <t>wattsmart business (Sch. 140)</t>
  </si>
  <si>
    <t>Industrial Irrigation Load Control (Sch. N/A)</t>
  </si>
  <si>
    <t>Outreach and Communications</t>
  </si>
  <si>
    <t>Program Evaluation Cost</t>
  </si>
  <si>
    <t xml:space="preserve">A/C Load Control Program </t>
  </si>
  <si>
    <t>Total thru</t>
  </si>
  <si>
    <t>for Sept</t>
  </si>
  <si>
    <t>2016 Potential Study</t>
  </si>
  <si>
    <t>Sept 2016</t>
  </si>
  <si>
    <t>Nov 1, 2015</t>
  </si>
  <si>
    <t>June 2016</t>
  </si>
  <si>
    <t>2017 Budget</t>
  </si>
  <si>
    <t>2016 charges</t>
  </si>
  <si>
    <t>2017 Totals</t>
  </si>
  <si>
    <t>Industrial Sectgor Programs</t>
  </si>
  <si>
    <t>Notes;</t>
  </si>
  <si>
    <t>Jan-Sept 2016 actuals</t>
  </si>
  <si>
    <t>Portfolio (TRL, DSM Central &amp; Training)</t>
  </si>
  <si>
    <t>Nov 1, 2016</t>
  </si>
  <si>
    <t>Sector split for WSB cost based on Sept 2016 YTD kWh savings (62%/38%)</t>
  </si>
  <si>
    <t>Accruals included to capture full cost through Sept</t>
  </si>
  <si>
    <t>Deferred Acct Monthly Expenditures for 2016</t>
  </si>
  <si>
    <t>Accrual at state level for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</si>
</sst>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General_)"/>
    <numFmt numFmtId="167" formatCode="0.000000"/>
    <numFmt numFmtId="168" formatCode="&quot;$&quot;#,##0"/>
    <numFmt numFmtId="169" formatCode="_(* #,##0.000_);_(* \(#,##0.000\);_(* &quot;-&quot;??_);_(@_)"/>
  </numFmts>
  <fonts count="3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8"/>
      <name val="TimesNewRomanPS"/>
    </font>
    <font>
      <sz val="10"/>
      <name val="LinePrinter"/>
      <family val="3"/>
    </font>
    <font>
      <sz val="11"/>
      <color theme="1"/>
      <name val="Calibri"/>
      <family val="2"/>
      <scheme val="minor"/>
    </font>
    <font>
      <sz val="12"/>
      <name val="Arial MT"/>
    </font>
    <font>
      <sz val="10"/>
      <name val="LinePrinter"/>
    </font>
    <font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80">
    <xf numFmtId="0" fontId="0" fillId="0" borderId="0"/>
    <xf numFmtId="0" fontId="4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left"/>
    </xf>
    <xf numFmtId="37" fontId="6" fillId="0" borderId="0" applyNumberFormat="0" applyFill="0" applyBorder="0"/>
    <xf numFmtId="9" fontId="1" fillId="0" borderId="0" applyFont="0" applyFill="0" applyBorder="0" applyAlignment="0" applyProtection="0"/>
    <xf numFmtId="166" fontId="7" fillId="0" borderId="0">
      <alignment horizontal="left"/>
    </xf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8" fillId="0" borderId="0"/>
    <xf numFmtId="0" fontId="9" fillId="0" borderId="0"/>
    <xf numFmtId="9" fontId="3" fillId="0" borderId="0" applyFont="0" applyFill="0" applyBorder="0" applyAlignment="0" applyProtection="0"/>
    <xf numFmtId="166" fontId="10" fillId="0" borderId="0">
      <alignment horizontal="left"/>
    </xf>
    <xf numFmtId="4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7" fillId="33" borderId="0" applyNumberFormat="0" applyBorder="0" applyAlignment="0" applyProtection="0"/>
    <xf numFmtId="166" fontId="7" fillId="0" borderId="0">
      <alignment horizontal="left"/>
    </xf>
    <xf numFmtId="0" fontId="8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3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6">
    <xf numFmtId="0" fontId="0" fillId="0" borderId="0" xfId="0"/>
    <xf numFmtId="164" fontId="3" fillId="0" borderId="0" xfId="2" applyNumberFormat="1" applyFont="1" applyFill="1"/>
    <xf numFmtId="164" fontId="3" fillId="0" borderId="2" xfId="2" applyNumberFormat="1" applyFont="1" applyFill="1" applyBorder="1"/>
    <xf numFmtId="164" fontId="3" fillId="0" borderId="0" xfId="2" applyNumberFormat="1" applyFont="1" applyFill="1" applyBorder="1"/>
    <xf numFmtId="165" fontId="2" fillId="0" borderId="0" xfId="3" applyNumberFormat="1" applyFont="1" applyFill="1" applyBorder="1"/>
    <xf numFmtId="164" fontId="3" fillId="0" borderId="0" xfId="85" applyNumberFormat="1" applyFont="1" applyFill="1"/>
    <xf numFmtId="0" fontId="3" fillId="0" borderId="0" xfId="64" applyFont="1" applyFill="1" applyAlignment="1">
      <alignment horizontal="left" indent="1"/>
    </xf>
    <xf numFmtId="37" fontId="3" fillId="0" borderId="2" xfId="2" applyNumberFormat="1" applyFont="1" applyFill="1" applyBorder="1" applyAlignment="1">
      <alignment horizontal="right"/>
    </xf>
    <xf numFmtId="164" fontId="3" fillId="0" borderId="0" xfId="85" applyNumberFormat="1" applyFont="1" applyFill="1" applyAlignment="1">
      <alignment horizontal="left" indent="1"/>
    </xf>
    <xf numFmtId="164" fontId="3" fillId="0" borderId="0" xfId="85" applyNumberFormat="1" applyFont="1" applyFill="1" applyAlignment="1">
      <alignment horizontal="right" indent="1"/>
    </xf>
    <xf numFmtId="164" fontId="3" fillId="0" borderId="0" xfId="85" applyNumberFormat="1" applyFont="1" applyFill="1" applyAlignment="1">
      <alignment horizontal="right"/>
    </xf>
    <xf numFmtId="168" fontId="3" fillId="0" borderId="0" xfId="2" applyNumberFormat="1" applyFont="1" applyFill="1" applyBorder="1"/>
    <xf numFmtId="168" fontId="2" fillId="0" borderId="0" xfId="3" applyNumberFormat="1" applyFont="1" applyFill="1" applyBorder="1"/>
    <xf numFmtId="3" fontId="3" fillId="0" borderId="0" xfId="2" applyNumberFormat="1" applyFont="1" applyFill="1" applyBorder="1"/>
    <xf numFmtId="0" fontId="2" fillId="0" borderId="0" xfId="64" applyFont="1" applyFill="1" applyAlignment="1" applyProtection="1">
      <protection locked="0"/>
    </xf>
    <xf numFmtId="37" fontId="2" fillId="0" borderId="0" xfId="64" applyNumberFormat="1" applyFont="1" applyFill="1" applyAlignment="1" applyProtection="1">
      <protection locked="0"/>
    </xf>
    <xf numFmtId="0" fontId="3" fillId="0" borderId="0" xfId="64" applyFont="1" applyFill="1"/>
    <xf numFmtId="0" fontId="2" fillId="0" borderId="0" xfId="64" applyFont="1" applyFill="1"/>
    <xf numFmtId="37" fontId="2" fillId="0" borderId="0" xfId="64" applyNumberFormat="1" applyFont="1" applyFill="1"/>
    <xf numFmtId="164" fontId="3" fillId="0" borderId="0" xfId="64" applyNumberFormat="1" applyFont="1" applyFill="1"/>
    <xf numFmtId="37" fontId="2" fillId="0" borderId="0" xfId="64" applyNumberFormat="1" applyFont="1" applyFill="1" applyAlignment="1">
      <alignment horizontal="center"/>
    </xf>
    <xf numFmtId="39" fontId="2" fillId="0" borderId="0" xfId="64" applyNumberFormat="1" applyFont="1" applyFill="1" applyBorder="1" applyAlignment="1">
      <alignment horizontal="center"/>
    </xf>
    <xf numFmtId="39" fontId="2" fillId="0" borderId="0" xfId="64" quotePrefix="1" applyNumberFormat="1" applyFont="1" applyFill="1" applyBorder="1" applyAlignment="1">
      <alignment horizontal="center"/>
    </xf>
    <xf numFmtId="0" fontId="2" fillId="0" borderId="0" xfId="64" applyFont="1" applyFill="1" applyAlignment="1">
      <alignment horizontal="center"/>
    </xf>
    <xf numFmtId="37" fontId="2" fillId="0" borderId="0" xfId="64" quotePrefix="1" applyNumberFormat="1" applyFont="1" applyFill="1" applyAlignment="1">
      <alignment horizontal="center"/>
    </xf>
    <xf numFmtId="17" fontId="2" fillId="2" borderId="1" xfId="64" applyNumberFormat="1" applyFont="1" applyFill="1" applyBorder="1" applyAlignment="1">
      <alignment horizontal="center"/>
    </xf>
    <xf numFmtId="0" fontId="2" fillId="0" borderId="1" xfId="64" applyFont="1" applyFill="1" applyBorder="1" applyAlignment="1">
      <alignment horizontal="center"/>
    </xf>
    <xf numFmtId="0" fontId="2" fillId="0" borderId="0" xfId="64" applyFont="1" applyFill="1" applyBorder="1" applyAlignment="1">
      <alignment horizontal="center"/>
    </xf>
    <xf numFmtId="17" fontId="2" fillId="0" borderId="0" xfId="64" applyNumberFormat="1" applyFont="1" applyFill="1" applyBorder="1" applyAlignment="1">
      <alignment horizontal="center"/>
    </xf>
    <xf numFmtId="17" fontId="2" fillId="0" borderId="1" xfId="64" applyNumberFormat="1" applyFont="1" applyFill="1" applyBorder="1" applyAlignment="1">
      <alignment horizontal="center"/>
    </xf>
    <xf numFmtId="0" fontId="3" fillId="0" borderId="0" xfId="64" applyFont="1" applyFill="1" applyBorder="1"/>
    <xf numFmtId="37" fontId="3" fillId="0" borderId="0" xfId="64" applyNumberFormat="1" applyFont="1" applyFill="1"/>
    <xf numFmtId="37" fontId="2" fillId="0" borderId="0" xfId="64" applyNumberFormat="1" applyFont="1" applyFill="1" applyAlignment="1">
      <alignment horizontal="right"/>
    </xf>
    <xf numFmtId="37" fontId="3" fillId="0" borderId="0" xfId="64" applyNumberFormat="1" applyFont="1" applyFill="1" applyAlignment="1">
      <alignment horizontal="right"/>
    </xf>
    <xf numFmtId="5" fontId="0" fillId="0" borderId="0" xfId="279" applyNumberFormat="1" applyFont="1" applyFill="1"/>
    <xf numFmtId="0" fontId="2" fillId="0" borderId="0" xfId="64" quotePrefix="1" applyFont="1" applyFill="1" applyAlignment="1">
      <alignment horizontal="left"/>
    </xf>
    <xf numFmtId="0" fontId="2" fillId="0" borderId="0" xfId="64" applyFont="1" applyFill="1" applyBorder="1"/>
    <xf numFmtId="0" fontId="2" fillId="0" borderId="0" xfId="64" applyFont="1" applyFill="1" applyAlignment="1">
      <alignment horizontal="left"/>
    </xf>
    <xf numFmtId="0" fontId="3" fillId="0" borderId="0" xfId="64" applyFont="1" applyFill="1" applyAlignment="1">
      <alignment horizontal="right"/>
    </xf>
    <xf numFmtId="3" fontId="3" fillId="0" borderId="0" xfId="64" applyNumberFormat="1" applyFont="1" applyFill="1"/>
    <xf numFmtId="167" fontId="3" fillId="0" borderId="0" xfId="64" applyNumberFormat="1" applyFont="1" applyFill="1"/>
    <xf numFmtId="5" fontId="0" fillId="0" borderId="2" xfId="279" applyNumberFormat="1" applyFont="1" applyFill="1" applyBorder="1"/>
    <xf numFmtId="3" fontId="3" fillId="0" borderId="2" xfId="2" applyNumberFormat="1" applyFont="1" applyFill="1" applyBorder="1"/>
    <xf numFmtId="3" fontId="3" fillId="0" borderId="0" xfId="2" applyNumberFormat="1" applyFont="1" applyFill="1"/>
    <xf numFmtId="3" fontId="3" fillId="0" borderId="0" xfId="64" applyNumberFormat="1" applyFont="1" applyFill="1" applyBorder="1"/>
    <xf numFmtId="3" fontId="3" fillId="0" borderId="2" xfId="2" applyNumberFormat="1" applyFont="1" applyFill="1" applyBorder="1" applyAlignment="1">
      <alignment horizontal="right"/>
    </xf>
    <xf numFmtId="164" fontId="3" fillId="0" borderId="0" xfId="85" applyNumberFormat="1" applyFont="1" applyFill="1" applyBorder="1"/>
    <xf numFmtId="41" fontId="3" fillId="0" borderId="0" xfId="85" applyNumberFormat="1" applyFont="1" applyFill="1" applyAlignment="1">
      <alignment horizontal="left" indent="1"/>
    </xf>
    <xf numFmtId="43" fontId="3" fillId="0" borderId="0" xfId="64" applyNumberFormat="1" applyFont="1" applyFill="1"/>
    <xf numFmtId="169" fontId="3" fillId="0" borderId="0" xfId="64" applyNumberFormat="1" applyFont="1" applyFill="1"/>
    <xf numFmtId="0" fontId="31" fillId="0" borderId="0" xfId="64" applyFont="1" applyFill="1"/>
    <xf numFmtId="169" fontId="3" fillId="0" borderId="0" xfId="2" applyNumberFormat="1" applyFont="1" applyFill="1"/>
    <xf numFmtId="43" fontId="3" fillId="0" borderId="0" xfId="85" applyFont="1" applyFill="1"/>
    <xf numFmtId="3" fontId="3" fillId="0" borderId="0" xfId="2" applyNumberFormat="1" applyFont="1" applyFill="1" applyBorder="1" applyAlignment="1">
      <alignment wrapText="1"/>
    </xf>
    <xf numFmtId="164" fontId="3" fillId="0" borderId="0" xfId="2" applyNumberFormat="1" applyFont="1" applyFill="1" applyAlignment="1">
      <alignment horizontal="right"/>
    </xf>
    <xf numFmtId="3" fontId="31" fillId="0" borderId="0" xfId="64" applyNumberFormat="1" applyFont="1" applyFill="1"/>
  </cellXfs>
  <cellStyles count="280">
    <cellStyle name="20% - Accent1" xfId="104" builtinId="30" customBuiltin="1"/>
    <cellStyle name="20% - Accent2" xfId="108" builtinId="34" customBuiltin="1"/>
    <cellStyle name="20% - Accent3" xfId="112" builtinId="38" customBuiltin="1"/>
    <cellStyle name="20% - Accent4" xfId="116" builtinId="42" customBuiltin="1"/>
    <cellStyle name="20% - Accent5" xfId="120" builtinId="46" customBuiltin="1"/>
    <cellStyle name="20% - Accent6" xfId="124" builtinId="50" customBuiltin="1"/>
    <cellStyle name="40% - Accent1" xfId="105" builtinId="31" customBuiltin="1"/>
    <cellStyle name="40% - Accent2" xfId="109" builtinId="35" customBuiltin="1"/>
    <cellStyle name="40% - Accent3" xfId="113" builtinId="39" customBuiltin="1"/>
    <cellStyle name="40% - Accent4" xfId="117" builtinId="43" customBuiltin="1"/>
    <cellStyle name="40% - Accent5" xfId="121" builtinId="47" customBuiltin="1"/>
    <cellStyle name="40% - Accent6" xfId="125" builtinId="51" customBuiltin="1"/>
    <cellStyle name="60% - Accent1" xfId="106" builtinId="32" customBuiltin="1"/>
    <cellStyle name="60% - Accent2" xfId="110" builtinId="36" customBuiltin="1"/>
    <cellStyle name="60% - Accent3" xfId="114" builtinId="40" customBuiltin="1"/>
    <cellStyle name="60% - Accent4" xfId="118" builtinId="44" customBuiltin="1"/>
    <cellStyle name="60% - Accent5" xfId="122" builtinId="48" customBuiltin="1"/>
    <cellStyle name="60% - Accent6" xfId="126" builtinId="52" customBuiltin="1"/>
    <cellStyle name="Accent1" xfId="103" builtinId="29" customBuiltin="1"/>
    <cellStyle name="Accent2" xfId="107" builtinId="33" customBuiltin="1"/>
    <cellStyle name="Accent3" xfId="111" builtinId="37" customBuiltin="1"/>
    <cellStyle name="Accent4" xfId="115" builtinId="41" customBuiltin="1"/>
    <cellStyle name="Accent5" xfId="119" builtinId="45" customBuiltin="1"/>
    <cellStyle name="Accent6" xfId="123" builtinId="49" customBuiltin="1"/>
    <cellStyle name="Bad" xfId="92" builtinId="27" customBuiltin="1"/>
    <cellStyle name="Calculation" xfId="96" builtinId="22" customBuiltin="1"/>
    <cellStyle name="Check Cell" xfId="98" builtinId="23" customBuiltin="1"/>
    <cellStyle name="Comma" xfId="85" builtinId="3"/>
    <cellStyle name="Comma 10" xfId="33"/>
    <cellStyle name="Comma 11" xfId="35"/>
    <cellStyle name="Comma 12" xfId="37"/>
    <cellStyle name="Comma 13" xfId="39"/>
    <cellStyle name="Comma 14" xfId="41"/>
    <cellStyle name="Comma 15" xfId="43"/>
    <cellStyle name="Comma 16" xfId="45"/>
    <cellStyle name="Comma 17" xfId="47"/>
    <cellStyle name="Comma 18" xfId="49"/>
    <cellStyle name="Comma 19" xfId="51"/>
    <cellStyle name="Comma 2" xfId="2"/>
    <cellStyle name="Comma 2 2" xfId="11"/>
    <cellStyle name="Comma 2 3" xfId="83"/>
    <cellStyle name="Comma 2 4" xfId="10"/>
    <cellStyle name="Comma 20" xfId="53"/>
    <cellStyle name="Comma 21" xfId="55"/>
    <cellStyle name="Comma 22" xfId="57"/>
    <cellStyle name="Comma 23" xfId="59"/>
    <cellStyle name="Comma 24" xfId="61"/>
    <cellStyle name="Comma 25" xfId="63"/>
    <cellStyle name="Comma 26" xfId="67"/>
    <cellStyle name="Comma 27" xfId="69"/>
    <cellStyle name="Comma 28" xfId="71"/>
    <cellStyle name="Comma 29" xfId="73"/>
    <cellStyle name="Comma 3" xfId="19"/>
    <cellStyle name="Comma 3 2" xfId="158"/>
    <cellStyle name="Comma 3 2 2" xfId="178"/>
    <cellStyle name="Comma 3 2 3" xfId="232"/>
    <cellStyle name="Comma 3 3" xfId="177"/>
    <cellStyle name="Comma 3 4" xfId="231"/>
    <cellStyle name="Comma 3 5" xfId="136"/>
    <cellStyle name="Comma 30" xfId="75"/>
    <cellStyle name="Comma 31" xfId="77"/>
    <cellStyle name="Comma 32" xfId="79"/>
    <cellStyle name="Comma 33" xfId="9"/>
    <cellStyle name="Comma 4" xfId="21"/>
    <cellStyle name="Comma 4 2" xfId="170"/>
    <cellStyle name="Comma 4 2 2" xfId="179"/>
    <cellStyle name="Comma 4 2 3" xfId="233"/>
    <cellStyle name="Comma 4 3" xfId="176"/>
    <cellStyle name="Comma 4 4" xfId="226"/>
    <cellStyle name="Comma 4 5" xfId="230"/>
    <cellStyle name="Comma 5" xfId="23"/>
    <cellStyle name="Comma 5 2" xfId="173"/>
    <cellStyle name="Comma 5 2 2" xfId="181"/>
    <cellStyle name="Comma 5 2 3" xfId="235"/>
    <cellStyle name="Comma 5 3" xfId="180"/>
    <cellStyle name="Comma 5 4" xfId="234"/>
    <cellStyle name="Comma 6" xfId="25"/>
    <cellStyle name="Comma 7" xfId="27"/>
    <cellStyle name="Comma 8" xfId="29"/>
    <cellStyle name="Comma 9" xfId="31"/>
    <cellStyle name="Currency 2" xfId="3"/>
    <cellStyle name="Currency 2 2" xfId="82"/>
    <cellStyle name="Currency 2 3" xfId="13"/>
    <cellStyle name="Currency 3" xfId="18"/>
    <cellStyle name="Currency 3 2" xfId="159"/>
    <cellStyle name="Currency 3 2 2" xfId="183"/>
    <cellStyle name="Currency 3 2 3" xfId="237"/>
    <cellStyle name="Currency 3 3" xfId="182"/>
    <cellStyle name="Currency 3 4" xfId="236"/>
    <cellStyle name="Currency 3 5" xfId="137"/>
    <cellStyle name="Currency 4" xfId="12"/>
    <cellStyle name="Explanatory Text" xfId="101" builtinId="53" customBuiltin="1"/>
    <cellStyle name="General" xfId="4"/>
    <cellStyle name="Good" xfId="91" builtinId="26" customBuiltin="1"/>
    <cellStyle name="Heading 1" xfId="87" builtinId="16" customBuiltin="1"/>
    <cellStyle name="Heading 2" xfId="88" builtinId="17" customBuiltin="1"/>
    <cellStyle name="Heading 3" xfId="89" builtinId="18" customBuiltin="1"/>
    <cellStyle name="Heading 4" xfId="90" builtinId="19" customBuiltin="1"/>
    <cellStyle name="Hyperlink 2" xfId="129"/>
    <cellStyle name="Input" xfId="94" builtinId="20" customBuiltin="1"/>
    <cellStyle name="Linked Cell" xfId="97" builtinId="24" customBuiltin="1"/>
    <cellStyle name="Neutral" xfId="93" builtinId="28" customBuiltin="1"/>
    <cellStyle name="nONE" xfId="5"/>
    <cellStyle name="Normal" xfId="0" builtinId="0"/>
    <cellStyle name="Normal 10" xfId="32"/>
    <cellStyle name="Normal 11" xfId="34"/>
    <cellStyle name="Normal 12" xfId="36"/>
    <cellStyle name="Normal 13" xfId="38"/>
    <cellStyle name="Normal 14" xfId="40"/>
    <cellStyle name="Normal 15" xfId="42"/>
    <cellStyle name="Normal 16" xfId="44"/>
    <cellStyle name="Normal 17" xfId="46"/>
    <cellStyle name="Normal 18" xfId="48"/>
    <cellStyle name="Normal 19" xfId="50"/>
    <cellStyle name="Normal 2" xfId="1"/>
    <cellStyle name="Normal 2 2" xfId="64"/>
    <cellStyle name="Normal 2 2 2" xfId="134"/>
    <cellStyle name="Normal 2 2 2 2" xfId="144"/>
    <cellStyle name="Normal 2 2 2 2 2" xfId="166"/>
    <cellStyle name="Normal 2 2 2 2 2 2" xfId="188"/>
    <cellStyle name="Normal 2 2 2 2 2 3" xfId="242"/>
    <cellStyle name="Normal 2 2 2 2 3" xfId="187"/>
    <cellStyle name="Normal 2 2 2 2 4" xfId="241"/>
    <cellStyle name="Normal 2 2 2 3" xfId="155"/>
    <cellStyle name="Normal 2 2 2 3 2" xfId="189"/>
    <cellStyle name="Normal 2 2 2 3 3" xfId="243"/>
    <cellStyle name="Normal 2 2 2 4" xfId="186"/>
    <cellStyle name="Normal 2 2 2 5" xfId="240"/>
    <cellStyle name="Normal 2 2 3" xfId="140"/>
    <cellStyle name="Normal 2 2 3 2" xfId="162"/>
    <cellStyle name="Normal 2 2 3 2 2" xfId="191"/>
    <cellStyle name="Normal 2 2 3 2 3" xfId="245"/>
    <cellStyle name="Normal 2 2 3 3" xfId="190"/>
    <cellStyle name="Normal 2 2 3 4" xfId="244"/>
    <cellStyle name="Normal 2 2 4" xfId="151"/>
    <cellStyle name="Normal 2 2 4 2" xfId="192"/>
    <cellStyle name="Normal 2 2 4 3" xfId="246"/>
    <cellStyle name="Normal 2 2 5" xfId="185"/>
    <cellStyle name="Normal 2 2 6" xfId="239"/>
    <cellStyle name="Normal 2 2 7" xfId="130"/>
    <cellStyle name="Normal 2 3" xfId="84"/>
    <cellStyle name="Normal 2 3 2" xfId="142"/>
    <cellStyle name="Normal 2 3 2 2" xfId="164"/>
    <cellStyle name="Normal 2 3 2 2 2" xfId="195"/>
    <cellStyle name="Normal 2 3 2 2 3" xfId="249"/>
    <cellStyle name="Normal 2 3 2 3" xfId="194"/>
    <cellStyle name="Normal 2 3 2 4" xfId="248"/>
    <cellStyle name="Normal 2 3 3" xfId="153"/>
    <cellStyle name="Normal 2 3 3 2" xfId="196"/>
    <cellStyle name="Normal 2 3 3 3" xfId="250"/>
    <cellStyle name="Normal 2 3 4" xfId="193"/>
    <cellStyle name="Normal 2 3 5" xfId="247"/>
    <cellStyle name="Normal 2 3 6" xfId="132"/>
    <cellStyle name="Normal 2 4" xfId="14"/>
    <cellStyle name="Normal 2 4 2" xfId="160"/>
    <cellStyle name="Normal 2 4 2 2" xfId="198"/>
    <cellStyle name="Normal 2 4 2 3" xfId="252"/>
    <cellStyle name="Normal 2 4 3" xfId="197"/>
    <cellStyle name="Normal 2 4 4" xfId="251"/>
    <cellStyle name="Normal 2 5" xfId="147"/>
    <cellStyle name="Normal 2 6" xfId="149"/>
    <cellStyle name="Normal 2 6 2" xfId="199"/>
    <cellStyle name="Normal 2 6 3" xfId="253"/>
    <cellStyle name="Normal 2 7" xfId="184"/>
    <cellStyle name="Normal 2 8" xfId="238"/>
    <cellStyle name="Normal 20" xfId="52"/>
    <cellStyle name="Normal 21" xfId="54"/>
    <cellStyle name="Normal 22" xfId="56"/>
    <cellStyle name="Normal 23" xfId="58"/>
    <cellStyle name="Normal 24" xfId="60"/>
    <cellStyle name="Normal 25" xfId="62"/>
    <cellStyle name="Normal 26" xfId="66"/>
    <cellStyle name="Normal 27" xfId="68"/>
    <cellStyle name="Normal 28" xfId="70"/>
    <cellStyle name="Normal 29" xfId="72"/>
    <cellStyle name="Normal 3" xfId="15"/>
    <cellStyle name="Normal 3 2" xfId="80"/>
    <cellStyle name="Normal 3 2 2" xfId="135"/>
    <cellStyle name="Normal 3 2 2 2" xfId="145"/>
    <cellStyle name="Normal 3 2 2 2 2" xfId="167"/>
    <cellStyle name="Normal 3 2 2 2 2 2" xfId="204"/>
    <cellStyle name="Normal 3 2 2 2 2 3" xfId="258"/>
    <cellStyle name="Normal 3 2 2 2 3" xfId="203"/>
    <cellStyle name="Normal 3 2 2 2 4" xfId="257"/>
    <cellStyle name="Normal 3 2 2 3" xfId="156"/>
    <cellStyle name="Normal 3 2 2 3 2" xfId="205"/>
    <cellStyle name="Normal 3 2 2 3 3" xfId="259"/>
    <cellStyle name="Normal 3 2 2 4" xfId="202"/>
    <cellStyle name="Normal 3 2 2 5" xfId="256"/>
    <cellStyle name="Normal 3 2 3" xfId="141"/>
    <cellStyle name="Normal 3 2 3 2" xfId="163"/>
    <cellStyle name="Normal 3 2 3 2 2" xfId="207"/>
    <cellStyle name="Normal 3 2 3 2 3" xfId="261"/>
    <cellStyle name="Normal 3 2 3 3" xfId="206"/>
    <cellStyle name="Normal 3 2 3 4" xfId="260"/>
    <cellStyle name="Normal 3 2 4" xfId="152"/>
    <cellStyle name="Normal 3 2 4 2" xfId="208"/>
    <cellStyle name="Normal 3 2 4 3" xfId="262"/>
    <cellStyle name="Normal 3 2 5" xfId="201"/>
    <cellStyle name="Normal 3 2 6" xfId="255"/>
    <cellStyle name="Normal 3 2 7" xfId="131"/>
    <cellStyle name="Normal 3 3" xfId="133"/>
    <cellStyle name="Normal 3 3 2" xfId="143"/>
    <cellStyle name="Normal 3 3 2 2" xfId="165"/>
    <cellStyle name="Normal 3 3 2 2 2" xfId="211"/>
    <cellStyle name="Normal 3 3 2 2 3" xfId="265"/>
    <cellStyle name="Normal 3 3 2 3" xfId="210"/>
    <cellStyle name="Normal 3 3 2 4" xfId="264"/>
    <cellStyle name="Normal 3 3 3" xfId="154"/>
    <cellStyle name="Normal 3 3 3 2" xfId="212"/>
    <cellStyle name="Normal 3 3 3 3" xfId="266"/>
    <cellStyle name="Normal 3 3 4" xfId="209"/>
    <cellStyle name="Normal 3 3 5" xfId="263"/>
    <cellStyle name="Normal 3 4" xfId="139"/>
    <cellStyle name="Normal 3 4 2" xfId="161"/>
    <cellStyle name="Normal 3 4 2 2" xfId="214"/>
    <cellStyle name="Normal 3 4 2 3" xfId="268"/>
    <cellStyle name="Normal 3 4 3" xfId="213"/>
    <cellStyle name="Normal 3 4 4" xfId="267"/>
    <cellStyle name="Normal 3 5" xfId="150"/>
    <cellStyle name="Normal 3 5 2" xfId="215"/>
    <cellStyle name="Normal 3 5 3" xfId="269"/>
    <cellStyle name="Normal 3 6" xfId="200"/>
    <cellStyle name="Normal 3 7" xfId="254"/>
    <cellStyle name="Normal 3 8" xfId="128"/>
    <cellStyle name="Normal 30" xfId="74"/>
    <cellStyle name="Normal 31" xfId="76"/>
    <cellStyle name="Normal 32" xfId="78"/>
    <cellStyle name="Normal 33" xfId="8"/>
    <cellStyle name="Normal 4" xfId="20"/>
    <cellStyle name="Normal 4 2" xfId="138"/>
    <cellStyle name="Normal 5" xfId="22"/>
    <cellStyle name="Normal 5 2" xfId="157"/>
    <cellStyle name="Normal 5 2 2" xfId="217"/>
    <cellStyle name="Normal 5 2 3" xfId="271"/>
    <cellStyle name="Normal 5 3" xfId="216"/>
    <cellStyle name="Normal 5 4" xfId="270"/>
    <cellStyle name="Normal 6" xfId="24"/>
    <cellStyle name="Normal 6 2" xfId="168"/>
    <cellStyle name="Normal 6 2 2" xfId="218"/>
    <cellStyle name="Normal 6 2 3" xfId="272"/>
    <cellStyle name="Normal 6 3" xfId="174"/>
    <cellStyle name="Normal 6 4" xfId="224"/>
    <cellStyle name="Normal 6 5" xfId="228"/>
    <cellStyle name="Normal 7" xfId="26"/>
    <cellStyle name="Normal 7 2" xfId="172"/>
    <cellStyle name="Normal 7 2 2" xfId="220"/>
    <cellStyle name="Normal 7 2 3" xfId="274"/>
    <cellStyle name="Normal 7 3" xfId="219"/>
    <cellStyle name="Normal 7 4" xfId="227"/>
    <cellStyle name="Normal 7 5" xfId="273"/>
    <cellStyle name="Normal 8" xfId="28"/>
    <cellStyle name="Normal 9" xfId="30"/>
    <cellStyle name="Note" xfId="100" builtinId="10" customBuiltin="1"/>
    <cellStyle name="Output" xfId="95" builtinId="21" customBuiltin="1"/>
    <cellStyle name="Percent" xfId="279" builtinId="5"/>
    <cellStyle name="Percent 2" xfId="6"/>
    <cellStyle name="Percent 2 2" xfId="81"/>
    <cellStyle name="Percent 2 3" xfId="65"/>
    <cellStyle name="Percent 3" xfId="16"/>
    <cellStyle name="Percent 3 2" xfId="169"/>
    <cellStyle name="Percent 3 2 2" xfId="221"/>
    <cellStyle name="Percent 3 2 3" xfId="275"/>
    <cellStyle name="Percent 3 3" xfId="175"/>
    <cellStyle name="Percent 3 4" xfId="225"/>
    <cellStyle name="Percent 3 5" xfId="229"/>
    <cellStyle name="Percent 3 6" xfId="146"/>
    <cellStyle name="Percent 4" xfId="148"/>
    <cellStyle name="Percent 4 2" xfId="171"/>
    <cellStyle name="Percent 4 2 2" xfId="223"/>
    <cellStyle name="Percent 4 2 3" xfId="277"/>
    <cellStyle name="Percent 4 3" xfId="222"/>
    <cellStyle name="Percent 4 4" xfId="276"/>
    <cellStyle name="Percent 5" xfId="278"/>
    <cellStyle name="Title" xfId="86" builtinId="15" customBuiltin="1"/>
    <cellStyle name="Total" xfId="102" builtinId="25" customBuiltin="1"/>
    <cellStyle name="TRANSMISSION RELIABILITY PORTION OF PROJECT" xfId="7"/>
    <cellStyle name="TRANSMISSION RELIABILITY PORTION OF PROJECT 2" xfId="17"/>
    <cellStyle name="TRANSMISSION RELIABILITY PORTION OF PROJECT 2 2" xfId="127"/>
    <cellStyle name="Warning Text" xfId="99" builtinId="11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sc.state.ut.us/SHR02/ACCTNG/GENERAL/JAN%20LEWIS/DSM/Recovery%20Files/RECOV03-May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Codes"/>
      <sheetName val="SCRInput2"/>
      <sheetName val="Inputs"/>
      <sheetName val="DSM Output"/>
      <sheetName val="DSM Dollars"/>
      <sheetName val="Centralia Credit"/>
      <sheetName val="Y2K"/>
      <sheetName val="Deferred Acct."/>
      <sheetName val="PCA"/>
      <sheetName val="Hermiston"/>
      <sheetName val="Trail Mtn."/>
      <sheetName val="WA SBC"/>
      <sheetName val="0103 Proration (191)"/>
      <sheetName val="WA Centralia"/>
      <sheetName val="WA SBC - Class 48T"/>
      <sheetName val="Module2"/>
    </sheetNames>
    <sheetDataSet>
      <sheetData sheetId="0"/>
      <sheetData sheetId="1"/>
      <sheetData sheetId="2"/>
      <sheetData sheetId="3"/>
      <sheetData sheetId="4"/>
      <sheetData sheetId="5">
        <row r="1">
          <cell r="AL1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44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36" sqref="D36"/>
    </sheetView>
  </sheetViews>
  <sheetFormatPr defaultRowHeight="12.75" outlineLevelCol="1"/>
  <cols>
    <col min="1" max="1" width="44.140625" style="16" customWidth="1"/>
    <col min="2" max="2" width="13.5703125" style="31" customWidth="1" outlineLevel="1"/>
    <col min="3" max="3" width="11.42578125" style="31" customWidth="1" outlineLevel="1"/>
    <col min="4" max="4" width="11.42578125" style="31" customWidth="1"/>
    <col min="5" max="5" width="13.42578125" style="16" customWidth="1"/>
    <col min="6" max="6" width="13.140625" style="16" customWidth="1"/>
    <col min="7" max="7" width="14.5703125" style="16" customWidth="1"/>
    <col min="8" max="8" width="14.28515625" style="16" customWidth="1"/>
    <col min="9" max="9" width="11.28515625" style="16" bestFit="1" customWidth="1"/>
    <col min="10" max="10" width="12.5703125" style="16" customWidth="1"/>
    <col min="11" max="11" width="11.140625" style="16" bestFit="1" customWidth="1"/>
    <col min="12" max="12" width="1.5703125" style="16" customWidth="1"/>
    <col min="13" max="24" width="11.5703125" style="16" customWidth="1" outlineLevel="1"/>
    <col min="25" max="25" width="12.140625" style="16" bestFit="1" customWidth="1"/>
    <col min="26" max="26" width="1.7109375" style="16" customWidth="1"/>
    <col min="27" max="27" width="13" style="16" bestFit="1" customWidth="1"/>
    <col min="28" max="16384" width="9.140625" style="16"/>
  </cols>
  <sheetData>
    <row r="1" spans="1:32">
      <c r="A1" s="14"/>
      <c r="B1" s="15"/>
      <c r="C1" s="15"/>
      <c r="D1" s="15"/>
    </row>
    <row r="2" spans="1:32">
      <c r="A2" s="17" t="s">
        <v>5</v>
      </c>
      <c r="B2" s="18"/>
      <c r="C2" s="18"/>
      <c r="D2" s="18"/>
      <c r="G2" s="19"/>
      <c r="N2" s="17"/>
    </row>
    <row r="3" spans="1:32">
      <c r="B3" s="20" t="s">
        <v>8</v>
      </c>
      <c r="C3" s="20" t="s">
        <v>10</v>
      </c>
      <c r="D3" s="20" t="s">
        <v>20</v>
      </c>
      <c r="H3" s="21" t="s">
        <v>9</v>
      </c>
      <c r="I3" s="22" t="s">
        <v>24</v>
      </c>
      <c r="J3" s="22" t="s">
        <v>25</v>
      </c>
      <c r="K3" s="22" t="s">
        <v>33</v>
      </c>
      <c r="Y3" s="23" t="s">
        <v>6</v>
      </c>
      <c r="AA3" s="23" t="s">
        <v>26</v>
      </c>
    </row>
    <row r="4" spans="1:32">
      <c r="B4" s="24" t="s">
        <v>23</v>
      </c>
      <c r="C4" s="24" t="s">
        <v>21</v>
      </c>
      <c r="D4" s="24" t="s">
        <v>23</v>
      </c>
      <c r="E4" s="25">
        <v>42644</v>
      </c>
      <c r="F4" s="25">
        <v>42675</v>
      </c>
      <c r="G4" s="25">
        <v>42705</v>
      </c>
      <c r="H4" s="26" t="s">
        <v>27</v>
      </c>
      <c r="I4" s="27" t="s">
        <v>11</v>
      </c>
      <c r="J4" s="27" t="s">
        <v>11</v>
      </c>
      <c r="K4" s="27" t="s">
        <v>11</v>
      </c>
      <c r="L4" s="28"/>
      <c r="M4" s="25">
        <v>42736</v>
      </c>
      <c r="N4" s="25">
        <v>42767</v>
      </c>
      <c r="O4" s="25">
        <v>42795</v>
      </c>
      <c r="P4" s="25">
        <v>42826</v>
      </c>
      <c r="Q4" s="25">
        <v>42856</v>
      </c>
      <c r="R4" s="25">
        <v>42887</v>
      </c>
      <c r="S4" s="25">
        <v>42917</v>
      </c>
      <c r="T4" s="25">
        <v>42948</v>
      </c>
      <c r="U4" s="25">
        <v>42979</v>
      </c>
      <c r="V4" s="25">
        <v>43009</v>
      </c>
      <c r="W4" s="25">
        <v>43040</v>
      </c>
      <c r="X4" s="25">
        <v>43070</v>
      </c>
      <c r="Y4" s="29" t="s">
        <v>28</v>
      </c>
      <c r="Z4" s="30"/>
      <c r="AA4" s="27" t="s">
        <v>11</v>
      </c>
      <c r="AB4" s="30"/>
      <c r="AC4" s="30"/>
      <c r="AD4" s="30"/>
      <c r="AE4" s="30"/>
      <c r="AF4" s="30"/>
    </row>
    <row r="5" spans="1:32">
      <c r="E5" s="28"/>
      <c r="F5" s="28"/>
      <c r="G5" s="28"/>
      <c r="H5" s="27"/>
      <c r="I5" s="27"/>
      <c r="J5" s="27"/>
      <c r="K5" s="27"/>
      <c r="L5" s="30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30"/>
      <c r="AA5" s="1"/>
      <c r="AB5" s="30"/>
      <c r="AC5" s="30"/>
      <c r="AD5" s="30"/>
      <c r="AE5" s="30"/>
      <c r="AF5" s="30"/>
    </row>
    <row r="6" spans="1:32">
      <c r="A6" s="17" t="s">
        <v>0</v>
      </c>
      <c r="B6" s="32"/>
      <c r="C6" s="32"/>
      <c r="D6" s="32"/>
      <c r="E6" s="30"/>
      <c r="F6" s="30"/>
      <c r="G6" s="30"/>
      <c r="H6" s="30"/>
      <c r="I6" s="30"/>
      <c r="J6" s="30"/>
      <c r="K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AA6" s="1"/>
    </row>
    <row r="7" spans="1:32" ht="15">
      <c r="A7" s="6" t="s">
        <v>19</v>
      </c>
      <c r="B7" s="33">
        <v>2440994.17</v>
      </c>
      <c r="C7" s="33">
        <v>2139217</v>
      </c>
      <c r="D7" s="33">
        <f t="shared" ref="D7:D12" si="0">SUM(B7:C7)</f>
        <v>4580211.17</v>
      </c>
      <c r="E7" s="3">
        <f>+(-$D$7+$K$7)/3</f>
        <v>175223.2766666667</v>
      </c>
      <c r="F7" s="3">
        <f>+(-$D$7+$K$7)/3</f>
        <v>175223.2766666667</v>
      </c>
      <c r="G7" s="3">
        <f>+(-$D$7+$K$7)/3</f>
        <v>175223.2766666667</v>
      </c>
      <c r="H7" s="3">
        <f t="shared" ref="H7:H12" si="1">SUM(D7:G7)</f>
        <v>5105880.9999999991</v>
      </c>
      <c r="I7" s="3">
        <v>6305881</v>
      </c>
      <c r="J7" s="3">
        <f>6305881-1100000</f>
        <v>5205881</v>
      </c>
      <c r="K7" s="3">
        <f>5205881-100000</f>
        <v>5105881</v>
      </c>
      <c r="M7" s="34">
        <v>251179</v>
      </c>
      <c r="N7" s="34">
        <v>251179</v>
      </c>
      <c r="O7" s="34">
        <v>753537</v>
      </c>
      <c r="P7" s="34">
        <v>753537</v>
      </c>
      <c r="Q7" s="34">
        <v>251179</v>
      </c>
      <c r="R7" s="34">
        <v>251179</v>
      </c>
      <c r="S7" s="34">
        <v>251179</v>
      </c>
      <c r="T7" s="34">
        <v>251179</v>
      </c>
      <c r="U7" s="34">
        <v>251179</v>
      </c>
      <c r="V7" s="34">
        <v>251179</v>
      </c>
      <c r="W7" s="34">
        <v>2511790</v>
      </c>
      <c r="X7" s="34">
        <v>251179</v>
      </c>
      <c r="Y7" s="13">
        <f t="shared" ref="Y7:Y12" si="2">SUM(M7:X7)</f>
        <v>6279475</v>
      </c>
      <c r="Z7" s="39"/>
      <c r="AA7" s="43">
        <v>6279475</v>
      </c>
    </row>
    <row r="8" spans="1:32" ht="15">
      <c r="A8" s="6" t="s">
        <v>1</v>
      </c>
      <c r="B8" s="33">
        <v>38911.24</v>
      </c>
      <c r="C8" s="33"/>
      <c r="D8" s="33">
        <f t="shared" si="0"/>
        <v>38911.24</v>
      </c>
      <c r="E8" s="8">
        <f>+(+$K$8-$D$8)/3</f>
        <v>4362.920000000001</v>
      </c>
      <c r="F8" s="8">
        <f>+(+$K$8-$D$8)/3</f>
        <v>4362.920000000001</v>
      </c>
      <c r="G8" s="8">
        <f>+(+$K$8-$D$8)/3</f>
        <v>4362.920000000001</v>
      </c>
      <c r="H8" s="3">
        <f t="shared" si="1"/>
        <v>51999.999999999993</v>
      </c>
      <c r="I8" s="3">
        <v>135000</v>
      </c>
      <c r="J8" s="3">
        <v>65000</v>
      </c>
      <c r="K8" s="3">
        <v>52000</v>
      </c>
      <c r="M8" s="34">
        <v>7083.333333333333</v>
      </c>
      <c r="N8" s="34">
        <v>7083.333333333333</v>
      </c>
      <c r="O8" s="34">
        <v>7083.333333333333</v>
      </c>
      <c r="P8" s="34">
        <v>7083.333333333333</v>
      </c>
      <c r="Q8" s="34">
        <v>7083.333333333333</v>
      </c>
      <c r="R8" s="34">
        <v>7083.333333333333</v>
      </c>
      <c r="S8" s="34">
        <v>7083.333333333333</v>
      </c>
      <c r="T8" s="34">
        <v>7083.333333333333</v>
      </c>
      <c r="U8" s="34">
        <v>7083.333333333333</v>
      </c>
      <c r="V8" s="34">
        <v>7083.333333333333</v>
      </c>
      <c r="W8" s="34">
        <v>7083.333333333333</v>
      </c>
      <c r="X8" s="34">
        <v>7083.333333333333</v>
      </c>
      <c r="Y8" s="13">
        <f t="shared" si="2"/>
        <v>85000</v>
      </c>
      <c r="Z8" s="39"/>
      <c r="AA8" s="43">
        <v>85000</v>
      </c>
    </row>
    <row r="9" spans="1:32">
      <c r="A9" s="6" t="s">
        <v>2</v>
      </c>
      <c r="B9" s="33">
        <v>1126356</v>
      </c>
      <c r="C9" s="33">
        <v>92735.81</v>
      </c>
      <c r="D9" s="33">
        <f t="shared" si="0"/>
        <v>1219091.81</v>
      </c>
      <c r="E9" s="8">
        <f>351225/3</f>
        <v>117075</v>
      </c>
      <c r="F9" s="8">
        <f>351225/3</f>
        <v>117075</v>
      </c>
      <c r="G9" s="8">
        <f>351225/3</f>
        <v>117075</v>
      </c>
      <c r="H9" s="3">
        <f t="shared" si="1"/>
        <v>1570316.81</v>
      </c>
      <c r="I9" s="3">
        <v>1735505</v>
      </c>
      <c r="J9" s="3">
        <v>1735505</v>
      </c>
      <c r="K9" s="3">
        <v>1570317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3">
        <f t="shared" si="2"/>
        <v>0</v>
      </c>
      <c r="Z9" s="39"/>
      <c r="AA9" s="43">
        <v>0</v>
      </c>
    </row>
    <row r="10" spans="1:32" ht="15">
      <c r="A10" s="6" t="s">
        <v>7</v>
      </c>
      <c r="B10" s="33">
        <v>1496949.63</v>
      </c>
      <c r="C10" s="33">
        <f>4590.47+80507</f>
        <v>85097.47</v>
      </c>
      <c r="D10" s="33">
        <f t="shared" si="0"/>
        <v>1582047.0999999999</v>
      </c>
      <c r="E10" s="1">
        <f>443969+190275+3400</f>
        <v>637644</v>
      </c>
      <c r="F10" s="1">
        <v>3400</v>
      </c>
      <c r="G10" s="1">
        <f>634000+3400</f>
        <v>637400</v>
      </c>
      <c r="H10" s="3">
        <f t="shared" si="1"/>
        <v>2860491.0999999996</v>
      </c>
      <c r="I10" s="3">
        <v>2641995</v>
      </c>
      <c r="J10" s="3">
        <v>2641995</v>
      </c>
      <c r="K10" s="3">
        <v>2860491</v>
      </c>
      <c r="M10" s="34">
        <v>54002.239999999998</v>
      </c>
      <c r="N10" s="34">
        <v>54002.239999999998</v>
      </c>
      <c r="O10" s="34">
        <v>567023.52</v>
      </c>
      <c r="P10" s="34">
        <v>54002.239999999998</v>
      </c>
      <c r="Q10" s="34">
        <v>54002.239999999998</v>
      </c>
      <c r="R10" s="34">
        <v>567023.52</v>
      </c>
      <c r="S10" s="34">
        <v>54002.239999999998</v>
      </c>
      <c r="T10" s="34">
        <v>54002.239999999998</v>
      </c>
      <c r="U10" s="34">
        <v>567023.52</v>
      </c>
      <c r="V10" s="34">
        <v>54002.239999999998</v>
      </c>
      <c r="W10" s="34">
        <v>54002.239999999998</v>
      </c>
      <c r="X10" s="34">
        <v>567023.52</v>
      </c>
      <c r="Y10" s="13">
        <f>SUM(M10:X10)</f>
        <v>2700112</v>
      </c>
      <c r="Z10" s="39"/>
      <c r="AA10" s="43">
        <v>2700112</v>
      </c>
    </row>
    <row r="11" spans="1:32">
      <c r="A11" s="6" t="s">
        <v>12</v>
      </c>
      <c r="B11" s="33">
        <f>2836.68+30+179658.26</f>
        <v>182524.94</v>
      </c>
      <c r="C11" s="33"/>
      <c r="D11" s="33">
        <f t="shared" si="0"/>
        <v>182524.94</v>
      </c>
      <c r="E11" s="9">
        <v>0</v>
      </c>
      <c r="F11" s="10">
        <v>0</v>
      </c>
      <c r="G11" s="10">
        <v>0</v>
      </c>
      <c r="H11" s="3">
        <f t="shared" si="1"/>
        <v>182524.94</v>
      </c>
      <c r="I11" s="3">
        <v>1597829</v>
      </c>
      <c r="J11" s="3">
        <v>174141</v>
      </c>
      <c r="K11" s="3">
        <v>182525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3">
        <f t="shared" si="2"/>
        <v>0</v>
      </c>
      <c r="Z11" s="39"/>
      <c r="AA11" s="43">
        <v>0</v>
      </c>
    </row>
    <row r="12" spans="1:32" ht="15">
      <c r="A12" s="6" t="s">
        <v>13</v>
      </c>
      <c r="B12" s="33">
        <v>8828369.3399999999</v>
      </c>
      <c r="C12" s="33">
        <v>1158662.51</v>
      </c>
      <c r="D12" s="33">
        <f t="shared" si="0"/>
        <v>9987031.8499999996</v>
      </c>
      <c r="E12" s="8">
        <f>3916829/3</f>
        <v>1305609.6666666667</v>
      </c>
      <c r="F12" s="8">
        <f>3916829/3</f>
        <v>1305609.6666666667</v>
      </c>
      <c r="G12" s="8">
        <f>3916829/3</f>
        <v>1305609.6666666667</v>
      </c>
      <c r="H12" s="3">
        <f t="shared" si="1"/>
        <v>13903860.849999998</v>
      </c>
      <c r="I12" s="3">
        <v>14258496</v>
      </c>
      <c r="J12" s="3">
        <v>12536201</v>
      </c>
      <c r="K12" s="3">
        <v>13903861</v>
      </c>
      <c r="M12" s="34">
        <v>1194224.9283333332</v>
      </c>
      <c r="N12" s="34">
        <v>1194224.9283333332</v>
      </c>
      <c r="O12" s="34">
        <v>1194224.9283333332</v>
      </c>
      <c r="P12" s="34">
        <v>1194224.9283333332</v>
      </c>
      <c r="Q12" s="34">
        <v>1194224.9283333332</v>
      </c>
      <c r="R12" s="34">
        <v>1194224.9283333332</v>
      </c>
      <c r="S12" s="34">
        <v>1194224.9283333332</v>
      </c>
      <c r="T12" s="34">
        <v>1194224.9283333332</v>
      </c>
      <c r="U12" s="34">
        <v>1194224.9283333332</v>
      </c>
      <c r="V12" s="34">
        <v>1194224.9283333332</v>
      </c>
      <c r="W12" s="34">
        <v>1194224.9283333332</v>
      </c>
      <c r="X12" s="34">
        <v>1194224.9283333332</v>
      </c>
      <c r="Y12" s="13">
        <f t="shared" si="2"/>
        <v>14330699.139999995</v>
      </c>
      <c r="Z12" s="39"/>
      <c r="AA12" s="43">
        <v>14330699</v>
      </c>
    </row>
    <row r="13" spans="1:32" ht="15">
      <c r="A13" s="23"/>
      <c r="B13" s="7">
        <f>SUM(B7:B12)</f>
        <v>14114105.32</v>
      </c>
      <c r="C13" s="7">
        <f t="shared" ref="C13:J13" si="3">SUM(C7:C12)</f>
        <v>3475712.79</v>
      </c>
      <c r="D13" s="7">
        <f t="shared" si="3"/>
        <v>17589818.109999999</v>
      </c>
      <c r="E13" s="2">
        <f t="shared" si="3"/>
        <v>2239914.8633333333</v>
      </c>
      <c r="F13" s="2">
        <f t="shared" si="3"/>
        <v>1605670.8633333335</v>
      </c>
      <c r="G13" s="2">
        <f t="shared" si="3"/>
        <v>2239670.8633333333</v>
      </c>
      <c r="H13" s="2">
        <f t="shared" si="3"/>
        <v>23675074.699999996</v>
      </c>
      <c r="I13" s="2">
        <f t="shared" si="3"/>
        <v>26674706</v>
      </c>
      <c r="J13" s="2">
        <f t="shared" si="3"/>
        <v>22358723</v>
      </c>
      <c r="K13" s="2">
        <f t="shared" ref="K13" si="4">SUM(K7:K12)</f>
        <v>23675075</v>
      </c>
      <c r="M13" s="41">
        <f t="shared" ref="M13:Y13" si="5">SUM(M7:M12)</f>
        <v>1506489.5016666665</v>
      </c>
      <c r="N13" s="41">
        <f t="shared" si="5"/>
        <v>1506489.5016666665</v>
      </c>
      <c r="O13" s="41">
        <f t="shared" si="5"/>
        <v>2521868.7816666667</v>
      </c>
      <c r="P13" s="41">
        <f t="shared" si="5"/>
        <v>2008847.5016666665</v>
      </c>
      <c r="Q13" s="41">
        <f t="shared" si="5"/>
        <v>1506489.5016666665</v>
      </c>
      <c r="R13" s="41">
        <f t="shared" si="5"/>
        <v>2019510.7816666667</v>
      </c>
      <c r="S13" s="41">
        <f t="shared" si="5"/>
        <v>1506489.5016666665</v>
      </c>
      <c r="T13" s="41">
        <f t="shared" si="5"/>
        <v>1506489.5016666665</v>
      </c>
      <c r="U13" s="41">
        <f t="shared" si="5"/>
        <v>2019510.7816666667</v>
      </c>
      <c r="V13" s="41">
        <f t="shared" si="5"/>
        <v>1506489.5016666665</v>
      </c>
      <c r="W13" s="41">
        <f t="shared" si="5"/>
        <v>3767100.5016666669</v>
      </c>
      <c r="X13" s="41">
        <f t="shared" si="5"/>
        <v>2019510.7816666667</v>
      </c>
      <c r="Y13" s="42">
        <f t="shared" si="5"/>
        <v>23395286.139999993</v>
      </c>
      <c r="Z13" s="39"/>
      <c r="AA13" s="42">
        <f>SUM(AA7:AA12)</f>
        <v>23395286</v>
      </c>
    </row>
    <row r="14" spans="1:32" ht="15">
      <c r="B14" s="33"/>
      <c r="C14" s="33"/>
      <c r="D14" s="33"/>
      <c r="E14" s="1"/>
      <c r="F14" s="1"/>
      <c r="G14" s="1"/>
      <c r="H14" s="1"/>
      <c r="I14" s="1"/>
      <c r="J14" s="1"/>
      <c r="K14" s="1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43"/>
      <c r="Z14" s="39"/>
      <c r="AA14" s="43"/>
    </row>
    <row r="15" spans="1:32" ht="15">
      <c r="A15" s="17" t="s">
        <v>14</v>
      </c>
      <c r="B15" s="32"/>
      <c r="C15" s="32"/>
      <c r="D15" s="32"/>
      <c r="E15" s="1"/>
      <c r="F15" s="1"/>
      <c r="G15" s="1"/>
      <c r="H15" s="1"/>
      <c r="I15" s="1"/>
      <c r="J15" s="1"/>
      <c r="K15" s="1"/>
      <c r="M15" s="34" t="s">
        <v>4</v>
      </c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43"/>
      <c r="Z15" s="39"/>
      <c r="AA15" s="43"/>
    </row>
    <row r="16" spans="1:32" ht="15">
      <c r="A16" s="6" t="s">
        <v>15</v>
      </c>
      <c r="B16" s="33">
        <f>15869577.82+(3465464.19*0.62)</f>
        <v>18018165.617800001</v>
      </c>
      <c r="C16" s="33">
        <f>2500+((1301314.36+10760)*0.62)</f>
        <v>815986.10320000001</v>
      </c>
      <c r="D16" s="33">
        <f>SUM(B16:C16)</f>
        <v>18834151.721000001</v>
      </c>
      <c r="E16" s="3">
        <f>+(-$D$16+$K$16)/3</f>
        <v>1932904.7529999998</v>
      </c>
      <c r="F16" s="3">
        <f t="shared" ref="F16:G16" si="6">+(-$D$16+$K$16)/3</f>
        <v>1932904.7529999998</v>
      </c>
      <c r="G16" s="3">
        <f t="shared" si="6"/>
        <v>1932904.7529999998</v>
      </c>
      <c r="H16" s="3">
        <f>SUM(D16:G16)</f>
        <v>24632865.979999997</v>
      </c>
      <c r="I16" s="3">
        <v>23404097</v>
      </c>
      <c r="J16" s="3">
        <f>23404097+2000000</f>
        <v>25404097</v>
      </c>
      <c r="K16" s="3">
        <f>39730429*0.62</f>
        <v>24632865.98</v>
      </c>
      <c r="M16" s="34">
        <v>2426787.1999999997</v>
      </c>
      <c r="N16" s="34">
        <v>2426787.1999999997</v>
      </c>
      <c r="O16" s="34">
        <v>2426787.1999999997</v>
      </c>
      <c r="P16" s="34">
        <v>2426787.1999999997</v>
      </c>
      <c r="Q16" s="34">
        <v>2426787.1999999997</v>
      </c>
      <c r="R16" s="34">
        <v>2426787.1999999997</v>
      </c>
      <c r="S16" s="34">
        <v>2426787.1999999997</v>
      </c>
      <c r="T16" s="34">
        <v>2426787.1999999997</v>
      </c>
      <c r="U16" s="34">
        <v>2426787.1999999997</v>
      </c>
      <c r="V16" s="34">
        <v>2426787.1999999997</v>
      </c>
      <c r="W16" s="34">
        <v>2426787.1999999997</v>
      </c>
      <c r="X16" s="34">
        <v>2426787.1999999997</v>
      </c>
      <c r="Y16" s="13">
        <f>SUM(M16:X16)</f>
        <v>29121446.399999995</v>
      </c>
      <c r="Z16" s="39"/>
      <c r="AA16" s="43">
        <v>29121446</v>
      </c>
    </row>
    <row r="17" spans="1:27" ht="15">
      <c r="A17" s="23"/>
      <c r="B17" s="7">
        <f t="shared" ref="B17:J17" si="7">SUM(B16:B16)</f>
        <v>18018165.617800001</v>
      </c>
      <c r="C17" s="7">
        <f t="shared" si="7"/>
        <v>815986.10320000001</v>
      </c>
      <c r="D17" s="7">
        <f t="shared" si="7"/>
        <v>18834151.721000001</v>
      </c>
      <c r="E17" s="7">
        <f t="shared" si="7"/>
        <v>1932904.7529999998</v>
      </c>
      <c r="F17" s="7">
        <f t="shared" si="7"/>
        <v>1932904.7529999998</v>
      </c>
      <c r="G17" s="7">
        <f t="shared" si="7"/>
        <v>1932904.7529999998</v>
      </c>
      <c r="H17" s="7">
        <f t="shared" si="7"/>
        <v>24632865.979999997</v>
      </c>
      <c r="I17" s="7">
        <f t="shared" si="7"/>
        <v>23404097</v>
      </c>
      <c r="J17" s="7">
        <f t="shared" si="7"/>
        <v>25404097</v>
      </c>
      <c r="K17" s="7">
        <f t="shared" ref="K17" si="8">SUM(K16:K16)</f>
        <v>24632865.98</v>
      </c>
      <c r="M17" s="41">
        <f t="shared" ref="M17:Y17" si="9">SUM(M16:M16)</f>
        <v>2426787.1999999997</v>
      </c>
      <c r="N17" s="41">
        <f t="shared" si="9"/>
        <v>2426787.1999999997</v>
      </c>
      <c r="O17" s="41">
        <f t="shared" si="9"/>
        <v>2426787.1999999997</v>
      </c>
      <c r="P17" s="41">
        <f t="shared" si="9"/>
        <v>2426787.1999999997</v>
      </c>
      <c r="Q17" s="41">
        <f t="shared" si="9"/>
        <v>2426787.1999999997</v>
      </c>
      <c r="R17" s="41">
        <f t="shared" si="9"/>
        <v>2426787.1999999997</v>
      </c>
      <c r="S17" s="41">
        <f t="shared" si="9"/>
        <v>2426787.1999999997</v>
      </c>
      <c r="T17" s="41">
        <f t="shared" si="9"/>
        <v>2426787.1999999997</v>
      </c>
      <c r="U17" s="41">
        <f t="shared" si="9"/>
        <v>2426787.1999999997</v>
      </c>
      <c r="V17" s="41">
        <f t="shared" si="9"/>
        <v>2426787.1999999997</v>
      </c>
      <c r="W17" s="41">
        <f t="shared" si="9"/>
        <v>2426787.1999999997</v>
      </c>
      <c r="X17" s="41">
        <f t="shared" si="9"/>
        <v>2426787.1999999997</v>
      </c>
      <c r="Y17" s="42">
        <f t="shared" si="9"/>
        <v>29121446.399999995</v>
      </c>
      <c r="Z17" s="39"/>
      <c r="AA17" s="42">
        <f>SUM(AA16:AA16)</f>
        <v>29121446</v>
      </c>
    </row>
    <row r="18" spans="1:27" ht="15">
      <c r="A18" s="52"/>
      <c r="B18" s="33"/>
      <c r="C18" s="33"/>
      <c r="D18" s="1"/>
      <c r="E18" s="51"/>
      <c r="F18" s="1"/>
      <c r="G18" s="1"/>
      <c r="H18" s="1"/>
      <c r="I18" s="1"/>
      <c r="J18" s="1"/>
      <c r="K18" s="1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43"/>
      <c r="Z18" s="39"/>
      <c r="AA18" s="43"/>
    </row>
    <row r="19" spans="1:27" ht="15">
      <c r="A19" s="17" t="s">
        <v>29</v>
      </c>
      <c r="B19" s="32"/>
      <c r="C19" s="32"/>
      <c r="D19" s="32"/>
      <c r="E19" s="1"/>
      <c r="F19" s="1"/>
      <c r="G19" s="1"/>
      <c r="H19" s="1"/>
      <c r="I19" s="1"/>
      <c r="J19" s="1"/>
      <c r="K19" s="1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43"/>
      <c r="Z19" s="39"/>
      <c r="AA19" s="43"/>
    </row>
    <row r="20" spans="1:27" ht="15">
      <c r="A20" s="6" t="s">
        <v>15</v>
      </c>
      <c r="B20" s="33">
        <f>(7278276.29+1076636.13)+(3465464.19*0.38)</f>
        <v>9671788.8122000005</v>
      </c>
      <c r="C20" s="33">
        <f>900+((1301314.36+10760)*0.38)</f>
        <v>499488.25680000003</v>
      </c>
      <c r="D20" s="33">
        <f>SUM(B20:C20)</f>
        <v>10171277.069</v>
      </c>
      <c r="E20" s="3">
        <f>+(-$D$20+$K$20)/3</f>
        <v>1642095.3169999998</v>
      </c>
      <c r="F20" s="3">
        <f t="shared" ref="F20:G20" si="10">+(-$D$20+$K$20)/3</f>
        <v>1642095.3169999998</v>
      </c>
      <c r="G20" s="3">
        <f t="shared" si="10"/>
        <v>1642095.3169999998</v>
      </c>
      <c r="H20" s="3">
        <f>SUM(D20:G20)</f>
        <v>15097563.02</v>
      </c>
      <c r="I20" s="3">
        <v>11562295</v>
      </c>
      <c r="J20" s="3">
        <v>11562295</v>
      </c>
      <c r="K20" s="3">
        <f>39730429*0.38</f>
        <v>15097563.02</v>
      </c>
      <c r="M20" s="34">
        <v>1232335.2999999998</v>
      </c>
      <c r="N20" s="34">
        <v>1232335.2999999998</v>
      </c>
      <c r="O20" s="34">
        <v>1232335.2999999998</v>
      </c>
      <c r="P20" s="34">
        <v>1232335.2999999998</v>
      </c>
      <c r="Q20" s="34">
        <v>1232335.2999999998</v>
      </c>
      <c r="R20" s="34">
        <v>1232335.2999999998</v>
      </c>
      <c r="S20" s="34">
        <v>1232335.2999999998</v>
      </c>
      <c r="T20" s="34">
        <v>1232335.2999999998</v>
      </c>
      <c r="U20" s="34">
        <v>1232335.2999999998</v>
      </c>
      <c r="V20" s="34">
        <v>1232335.2999999998</v>
      </c>
      <c r="W20" s="34">
        <v>1232335.2999999998</v>
      </c>
      <c r="X20" s="34">
        <v>1232335.2999999998</v>
      </c>
      <c r="Y20" s="53">
        <f>SUM(M20:X20)</f>
        <v>14788023.600000001</v>
      </c>
      <c r="Z20" s="39"/>
      <c r="AA20" s="43">
        <v>14788024</v>
      </c>
    </row>
    <row r="21" spans="1:27" ht="15">
      <c r="A21" s="6" t="s">
        <v>16</v>
      </c>
      <c r="B21" s="33">
        <v>12383.41</v>
      </c>
      <c r="C21" s="33">
        <v>455000</v>
      </c>
      <c r="D21" s="33">
        <f>SUM(B21:C21)</f>
        <v>467383.41</v>
      </c>
      <c r="E21" s="47">
        <f>-51000+4500</f>
        <v>-46500</v>
      </c>
      <c r="F21" s="8">
        <v>3117</v>
      </c>
      <c r="G21" s="8">
        <v>3000</v>
      </c>
      <c r="H21" s="3">
        <f>SUM(D21:G21)</f>
        <v>427000.41</v>
      </c>
      <c r="I21" s="3">
        <v>952701</v>
      </c>
      <c r="J21" s="3">
        <v>952701</v>
      </c>
      <c r="K21" s="3">
        <v>427000</v>
      </c>
      <c r="M21" s="34">
        <v>9527.01</v>
      </c>
      <c r="N21" s="34">
        <v>9527.01</v>
      </c>
      <c r="O21" s="34">
        <v>9527.01</v>
      </c>
      <c r="P21" s="34">
        <v>9527.01</v>
      </c>
      <c r="Q21" s="34">
        <v>9527.01</v>
      </c>
      <c r="R21" s="34">
        <v>9527.01</v>
      </c>
      <c r="S21" s="34">
        <v>9527.01</v>
      </c>
      <c r="T21" s="34">
        <v>9527.01</v>
      </c>
      <c r="U21" s="34">
        <v>9527.01</v>
      </c>
      <c r="V21" s="34">
        <v>9527.01</v>
      </c>
      <c r="W21" s="34">
        <v>847903.89</v>
      </c>
      <c r="X21" s="34">
        <v>9527.01</v>
      </c>
      <c r="Y21" s="13">
        <f>SUM(M21:X21)</f>
        <v>952701</v>
      </c>
      <c r="Z21" s="39"/>
      <c r="AA21" s="43">
        <v>952701</v>
      </c>
    </row>
    <row r="22" spans="1:27" ht="15">
      <c r="A22" s="23"/>
      <c r="B22" s="7">
        <f t="shared" ref="B22:J22" si="11">SUM(B20:B21)</f>
        <v>9684172.2222000007</v>
      </c>
      <c r="C22" s="7">
        <f t="shared" si="11"/>
        <v>954488.25680000009</v>
      </c>
      <c r="D22" s="7">
        <f t="shared" si="11"/>
        <v>10638660.479</v>
      </c>
      <c r="E22" s="2">
        <f t="shared" si="11"/>
        <v>1595595.3169999998</v>
      </c>
      <c r="F22" s="2">
        <f t="shared" si="11"/>
        <v>1645212.3169999998</v>
      </c>
      <c r="G22" s="2">
        <f t="shared" si="11"/>
        <v>1645095.3169999998</v>
      </c>
      <c r="H22" s="2">
        <f t="shared" si="11"/>
        <v>15524563.43</v>
      </c>
      <c r="I22" s="2">
        <f t="shared" si="11"/>
        <v>12514996</v>
      </c>
      <c r="J22" s="2">
        <f t="shared" si="11"/>
        <v>12514996</v>
      </c>
      <c r="K22" s="2">
        <f t="shared" ref="K22" si="12">SUM(K20:K21)</f>
        <v>15524563.02</v>
      </c>
      <c r="M22" s="41">
        <f t="shared" ref="M22:Y22" si="13">SUM(M20:M21)</f>
        <v>1241862.3099999998</v>
      </c>
      <c r="N22" s="41">
        <f t="shared" si="13"/>
        <v>1241862.3099999998</v>
      </c>
      <c r="O22" s="41">
        <f t="shared" si="13"/>
        <v>1241862.3099999998</v>
      </c>
      <c r="P22" s="41">
        <f t="shared" si="13"/>
        <v>1241862.3099999998</v>
      </c>
      <c r="Q22" s="41">
        <f t="shared" si="13"/>
        <v>1241862.3099999998</v>
      </c>
      <c r="R22" s="41">
        <f t="shared" si="13"/>
        <v>1241862.3099999998</v>
      </c>
      <c r="S22" s="41">
        <f t="shared" si="13"/>
        <v>1241862.3099999998</v>
      </c>
      <c r="T22" s="41">
        <f t="shared" si="13"/>
        <v>1241862.3099999998</v>
      </c>
      <c r="U22" s="41">
        <f t="shared" si="13"/>
        <v>1241862.3099999998</v>
      </c>
      <c r="V22" s="41">
        <f t="shared" si="13"/>
        <v>1241862.3099999998</v>
      </c>
      <c r="W22" s="41">
        <f t="shared" si="13"/>
        <v>2080239.19</v>
      </c>
      <c r="X22" s="41">
        <f t="shared" si="13"/>
        <v>1241862.3099999998</v>
      </c>
      <c r="Y22" s="42">
        <f t="shared" si="13"/>
        <v>15740724.600000001</v>
      </c>
      <c r="Z22" s="39"/>
      <c r="AA22" s="42">
        <f>SUM(AA20:AA21)</f>
        <v>15740725</v>
      </c>
    </row>
    <row r="23" spans="1:27" ht="15">
      <c r="A23" s="23"/>
      <c r="B23" s="32"/>
      <c r="C23" s="32"/>
      <c r="D23" s="32"/>
      <c r="E23" s="3"/>
      <c r="F23" s="3"/>
      <c r="G23" s="3"/>
      <c r="H23" s="3"/>
      <c r="I23" s="3"/>
      <c r="J23" s="3"/>
      <c r="K23" s="3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13"/>
      <c r="Z23" s="39"/>
      <c r="AA23" s="43"/>
    </row>
    <row r="24" spans="1:27" ht="15">
      <c r="A24" s="6" t="s">
        <v>17</v>
      </c>
      <c r="B24" s="33">
        <f>704322+5330.52</f>
        <v>709652.52</v>
      </c>
      <c r="C24" s="33"/>
      <c r="D24" s="33">
        <f t="shared" ref="D24:D27" si="14">SUM(B24:C24)</f>
        <v>709652.52</v>
      </c>
      <c r="E24" s="46">
        <f>+($K$24-$D$24)/3</f>
        <v>230115.82666666666</v>
      </c>
      <c r="F24" s="46">
        <f>+($K$24-$D$24)/3</f>
        <v>230115.82666666666</v>
      </c>
      <c r="G24" s="46">
        <f>+($K$24-$D$24)/3</f>
        <v>230115.82666666666</v>
      </c>
      <c r="H24" s="3">
        <f>SUM(D24:G24)</f>
        <v>1400000</v>
      </c>
      <c r="I24" s="3">
        <v>1400000</v>
      </c>
      <c r="J24" s="3">
        <v>1400000</v>
      </c>
      <c r="K24" s="3">
        <v>1400000</v>
      </c>
      <c r="M24" s="34">
        <v>116666.66666666666</v>
      </c>
      <c r="N24" s="34">
        <v>116666.66666666666</v>
      </c>
      <c r="O24" s="34">
        <v>116666.66666666666</v>
      </c>
      <c r="P24" s="34">
        <v>116666.66666666666</v>
      </c>
      <c r="Q24" s="34">
        <v>116666.66666666666</v>
      </c>
      <c r="R24" s="34">
        <v>116666.66666666666</v>
      </c>
      <c r="S24" s="34">
        <v>116666.66666666666</v>
      </c>
      <c r="T24" s="34">
        <v>116666.66666666666</v>
      </c>
      <c r="U24" s="34">
        <v>116666.66666666666</v>
      </c>
      <c r="V24" s="34">
        <v>116666.66666666666</v>
      </c>
      <c r="W24" s="34">
        <v>116666.66666666666</v>
      </c>
      <c r="X24" s="34">
        <v>116666.66666666666</v>
      </c>
      <c r="Y24" s="13">
        <f>SUM(M24:X24)</f>
        <v>1400000</v>
      </c>
      <c r="Z24" s="39"/>
      <c r="AA24" s="43">
        <v>1400000</v>
      </c>
    </row>
    <row r="25" spans="1:27" ht="15">
      <c r="A25" s="6" t="s">
        <v>32</v>
      </c>
      <c r="B25" s="33">
        <f>23678.82+36588.1+12935.59</f>
        <v>73202.509999999995</v>
      </c>
      <c r="C25" s="33"/>
      <c r="D25" s="33">
        <f t="shared" si="14"/>
        <v>73202.509999999995</v>
      </c>
      <c r="E25" s="8">
        <v>9297</v>
      </c>
      <c r="F25" s="8">
        <v>20000</v>
      </c>
      <c r="G25" s="46">
        <f>120000+14000</f>
        <v>134000</v>
      </c>
      <c r="H25" s="3">
        <f>SUM(D25:G25)</f>
        <v>236499.51</v>
      </c>
      <c r="I25" s="3">
        <v>219852</v>
      </c>
      <c r="J25" s="3">
        <v>211000</v>
      </c>
      <c r="K25" s="3">
        <v>236500</v>
      </c>
      <c r="M25" s="34">
        <v>27466.79</v>
      </c>
      <c r="N25" s="34">
        <v>10564.150000000001</v>
      </c>
      <c r="O25" s="34">
        <v>10564.150000000001</v>
      </c>
      <c r="P25" s="34">
        <v>10564.150000000001</v>
      </c>
      <c r="Q25" s="34">
        <v>4225.66</v>
      </c>
      <c r="R25" s="34">
        <v>4225.66</v>
      </c>
      <c r="S25" s="34">
        <v>4225.66</v>
      </c>
      <c r="T25" s="34">
        <v>4225.66</v>
      </c>
      <c r="U25" s="34">
        <v>4225.66</v>
      </c>
      <c r="V25" s="34">
        <v>10564.150000000001</v>
      </c>
      <c r="W25" s="34">
        <v>10564.150000000001</v>
      </c>
      <c r="X25" s="34">
        <v>109867.16</v>
      </c>
      <c r="Y25" s="13">
        <f>SUM(M25:X25)</f>
        <v>211283.00000000003</v>
      </c>
      <c r="Z25" s="39"/>
      <c r="AA25" s="43">
        <v>211283</v>
      </c>
    </row>
    <row r="26" spans="1:27" ht="15">
      <c r="A26" s="6" t="s">
        <v>18</v>
      </c>
      <c r="B26" s="33"/>
      <c r="C26" s="33">
        <v>38295.61</v>
      </c>
      <c r="D26" s="33">
        <f t="shared" si="14"/>
        <v>38295.61</v>
      </c>
      <c r="E26" s="8">
        <f>401390/3</f>
        <v>133796.66666666666</v>
      </c>
      <c r="F26" s="8">
        <f>401390/3</f>
        <v>133796.66666666666</v>
      </c>
      <c r="G26" s="8">
        <f>401390/3</f>
        <v>133796.66666666666</v>
      </c>
      <c r="H26" s="3">
        <f>SUM(D26:G26)</f>
        <v>439685.61</v>
      </c>
      <c r="I26" s="3">
        <v>1029991</v>
      </c>
      <c r="J26" s="3">
        <v>774416</v>
      </c>
      <c r="K26" s="3">
        <v>439686</v>
      </c>
      <c r="M26" s="34">
        <v>11174.52</v>
      </c>
      <c r="N26" s="34">
        <v>27936.300000000003</v>
      </c>
      <c r="O26" s="34">
        <v>27936.300000000003</v>
      </c>
      <c r="P26" s="34">
        <v>27936.300000000003</v>
      </c>
      <c r="Q26" s="34">
        <v>55872.600000000006</v>
      </c>
      <c r="R26" s="34">
        <v>55872.600000000006</v>
      </c>
      <c r="S26" s="34">
        <v>83808.899999999994</v>
      </c>
      <c r="T26" s="34">
        <v>83808.899999999994</v>
      </c>
      <c r="U26" s="34">
        <v>55872.600000000006</v>
      </c>
      <c r="V26" s="34">
        <v>55872.600000000006</v>
      </c>
      <c r="W26" s="34">
        <v>55872.600000000006</v>
      </c>
      <c r="X26" s="34">
        <v>16761.78</v>
      </c>
      <c r="Y26" s="13">
        <f>SUM(M26:X26)</f>
        <v>558726</v>
      </c>
      <c r="Z26" s="39"/>
      <c r="AA26" s="43">
        <v>558726</v>
      </c>
    </row>
    <row r="27" spans="1:27" ht="15">
      <c r="A27" s="6" t="s">
        <v>22</v>
      </c>
      <c r="B27" s="33">
        <v>60254.11</v>
      </c>
      <c r="C27" s="33"/>
      <c r="D27" s="33">
        <f t="shared" si="14"/>
        <v>60254.11</v>
      </c>
      <c r="E27" s="46">
        <v>2760</v>
      </c>
      <c r="F27" s="46">
        <v>2760</v>
      </c>
      <c r="G27" s="46">
        <v>2760</v>
      </c>
      <c r="H27" s="3">
        <f>SUM(D27:G27)</f>
        <v>68534.11</v>
      </c>
      <c r="I27" s="3">
        <v>56170</v>
      </c>
      <c r="J27" s="3">
        <v>56170</v>
      </c>
      <c r="K27" s="3">
        <v>68534</v>
      </c>
      <c r="M27" s="34">
        <v>86.86472999999998</v>
      </c>
      <c r="N27" s="34">
        <v>86.86472999999998</v>
      </c>
      <c r="O27" s="34">
        <v>86.86472999999998</v>
      </c>
      <c r="P27" s="34">
        <v>86.86472999999998</v>
      </c>
      <c r="Q27" s="34">
        <v>86.86472999999998</v>
      </c>
      <c r="R27" s="34">
        <v>86.86472999999998</v>
      </c>
      <c r="S27" s="34">
        <v>86.86472999999998</v>
      </c>
      <c r="T27" s="34">
        <v>86.86472999999998</v>
      </c>
      <c r="U27" s="34">
        <v>86.86472999999998</v>
      </c>
      <c r="V27" s="34">
        <v>86.86472999999998</v>
      </c>
      <c r="W27" s="34">
        <v>86.86472999999998</v>
      </c>
      <c r="X27" s="34">
        <v>86.86472999999998</v>
      </c>
      <c r="Y27" s="13">
        <f>SUM(M27:X27)</f>
        <v>1042.3767599999999</v>
      </c>
      <c r="Z27" s="44"/>
      <c r="AA27" s="43">
        <v>1042</v>
      </c>
    </row>
    <row r="28" spans="1:27" ht="15">
      <c r="B28" s="33"/>
      <c r="C28" s="33"/>
      <c r="D28" s="33"/>
      <c r="E28" s="5"/>
      <c r="F28" s="5"/>
      <c r="G28" s="5"/>
      <c r="H28" s="1"/>
      <c r="I28" s="1"/>
      <c r="J28" s="1"/>
      <c r="K28" s="1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43"/>
      <c r="Z28" s="44"/>
      <c r="AA28" s="43"/>
    </row>
    <row r="29" spans="1:27" ht="15">
      <c r="A29" s="35" t="s">
        <v>3</v>
      </c>
      <c r="B29" s="7">
        <f t="shared" ref="B29:Y29" si="15">+B13+B17+B22+SUM(B24:B28)</f>
        <v>42659552.300000004</v>
      </c>
      <c r="C29" s="7">
        <f t="shared" si="15"/>
        <v>5284482.7600000007</v>
      </c>
      <c r="D29" s="7">
        <f t="shared" si="15"/>
        <v>47944035.060000002</v>
      </c>
      <c r="E29" s="7">
        <f t="shared" si="15"/>
        <v>6144384.4266666658</v>
      </c>
      <c r="F29" s="7">
        <f t="shared" si="15"/>
        <v>5570460.4266666668</v>
      </c>
      <c r="G29" s="7">
        <f t="shared" si="15"/>
        <v>6318343.4266666658</v>
      </c>
      <c r="H29" s="7">
        <f t="shared" si="15"/>
        <v>65977223.339999989</v>
      </c>
      <c r="I29" s="7">
        <f t="shared" si="15"/>
        <v>65299812</v>
      </c>
      <c r="J29" s="7">
        <f t="shared" si="15"/>
        <v>62719402</v>
      </c>
      <c r="K29" s="7">
        <f t="shared" ref="K29" si="16">+K13+K17+K22+SUM(K24:K28)</f>
        <v>65977224</v>
      </c>
      <c r="L29" s="7">
        <f t="shared" si="15"/>
        <v>0</v>
      </c>
      <c r="M29" s="41">
        <f t="shared" si="15"/>
        <v>5330533.8530633328</v>
      </c>
      <c r="N29" s="41">
        <f t="shared" si="15"/>
        <v>5330392.9930633325</v>
      </c>
      <c r="O29" s="41">
        <f t="shared" si="15"/>
        <v>6345772.2730633328</v>
      </c>
      <c r="P29" s="41">
        <f t="shared" si="15"/>
        <v>5832750.9930633325</v>
      </c>
      <c r="Q29" s="41">
        <f t="shared" si="15"/>
        <v>5351990.8030633321</v>
      </c>
      <c r="R29" s="41">
        <f t="shared" si="15"/>
        <v>5865012.0830633324</v>
      </c>
      <c r="S29" s="41">
        <f t="shared" si="15"/>
        <v>5379927.1030633328</v>
      </c>
      <c r="T29" s="41">
        <f t="shared" si="15"/>
        <v>5379927.1030633328</v>
      </c>
      <c r="U29" s="41">
        <f t="shared" si="15"/>
        <v>5865012.0830633324</v>
      </c>
      <c r="V29" s="41">
        <f t="shared" si="15"/>
        <v>5358329.2930633323</v>
      </c>
      <c r="W29" s="41">
        <f t="shared" si="15"/>
        <v>8457317.1730633322</v>
      </c>
      <c r="X29" s="41">
        <f t="shared" si="15"/>
        <v>5931542.763063333</v>
      </c>
      <c r="Y29" s="45">
        <f t="shared" si="15"/>
        <v>70428508.516759992</v>
      </c>
      <c r="Z29" s="44"/>
      <c r="AA29" s="45">
        <f>+AA13+AA17+AA22+SUM(AA24:AA28)</f>
        <v>70428508</v>
      </c>
    </row>
    <row r="30" spans="1:27" s="17" customFormat="1">
      <c r="B30" s="32"/>
      <c r="C30" s="32"/>
      <c r="D30" s="32"/>
      <c r="E30" s="4"/>
      <c r="F30" s="4"/>
      <c r="G30" s="4"/>
      <c r="H30" s="4"/>
      <c r="I30" s="4"/>
      <c r="J30" s="4"/>
      <c r="K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12"/>
      <c r="Z30" s="36"/>
      <c r="AA30" s="1"/>
    </row>
    <row r="31" spans="1:27">
      <c r="A31" s="37"/>
      <c r="B31" s="32"/>
      <c r="C31" s="32"/>
      <c r="D31" s="32"/>
      <c r="E31" s="1"/>
      <c r="F31" s="1"/>
      <c r="G31" s="54" t="s">
        <v>36</v>
      </c>
      <c r="H31" s="13">
        <v>60692740</v>
      </c>
      <c r="I31" s="3"/>
      <c r="J31" s="3"/>
      <c r="K31" s="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/>
      <c r="AA31" s="1"/>
    </row>
    <row r="32" spans="1:27">
      <c r="E32" s="1"/>
      <c r="F32" s="1"/>
      <c r="G32" s="38" t="s">
        <v>37</v>
      </c>
      <c r="H32" s="55">
        <v>5284483</v>
      </c>
      <c r="J32" s="50"/>
      <c r="K32" s="50"/>
      <c r="M32" s="1"/>
      <c r="N32" s="1"/>
      <c r="O32" s="1"/>
      <c r="P32" s="1"/>
      <c r="Q32" s="1"/>
      <c r="R32" s="1"/>
      <c r="S32" s="1"/>
      <c r="T32" s="1"/>
      <c r="U32" s="1"/>
    </row>
    <row r="33" spans="1:13">
      <c r="A33" s="17" t="s">
        <v>30</v>
      </c>
      <c r="H33" s="39">
        <f>SUM(H31:H32)</f>
        <v>65977223</v>
      </c>
      <c r="M33" s="40"/>
    </row>
    <row r="34" spans="1:13">
      <c r="A34" s="16" t="s">
        <v>31</v>
      </c>
      <c r="H34" s="39"/>
    </row>
    <row r="35" spans="1:13">
      <c r="A35" s="16" t="s">
        <v>34</v>
      </c>
    </row>
    <row r="36" spans="1:13">
      <c r="A36" s="16" t="s">
        <v>35</v>
      </c>
    </row>
    <row r="40" spans="1:13">
      <c r="E40" s="31"/>
      <c r="F40" s="31"/>
      <c r="G40" s="31"/>
    </row>
    <row r="41" spans="1:13">
      <c r="E41" s="5"/>
      <c r="F41" s="5"/>
      <c r="G41" s="31"/>
    </row>
    <row r="42" spans="1:13">
      <c r="E42" s="49"/>
      <c r="F42" s="49"/>
      <c r="G42" s="49"/>
    </row>
    <row r="43" spans="1:13">
      <c r="E43" s="48"/>
    </row>
    <row r="44" spans="1:13">
      <c r="G44" s="48"/>
    </row>
  </sheetData>
  <pageMargins left="0.7" right="0.7" top="0.75" bottom="0.75" header="0.3" footer="0.3"/>
  <pageSetup scale="57" orientation="landscape" r:id="rId1"/>
  <colBreaks count="1" manualBreakCount="1">
    <brk id="11" max="1048575" man="1"/>
  </colBreaks>
  <ignoredErrors>
    <ignoredError sqref="K29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Projected Expenses - Exh A</vt:lpstr>
      <vt:lpstr>'Projected Expenses - Exh 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2010-11-01T19:40:29Z</dcterms:created>
  <dcterms:modified xsi:type="dcterms:W3CDTF">2016-11-23T20:59:23Z</dcterms:modified>
  <cp:contentStatus/>
</cp:coreProperties>
</file>