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170" yWindow="420" windowWidth="11250" windowHeight="5550" tabRatio="759"/>
  </bookViews>
  <sheets>
    <sheet name="Current Reconciliation - Exh B" sheetId="3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'Current Reconciliation - Exh B'!$5:$5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C53" i="3" l="1"/>
  <c r="G33" i="3"/>
  <c r="G32" i="3"/>
  <c r="G31" i="3"/>
  <c r="G30" i="3"/>
  <c r="G29" i="3"/>
  <c r="G28" i="3"/>
  <c r="G27" i="3"/>
  <c r="G26" i="3"/>
  <c r="G25" i="3"/>
  <c r="G22" i="3"/>
  <c r="G21" i="3"/>
  <c r="G20" i="3"/>
  <c r="G19" i="3"/>
  <c r="G18" i="3"/>
  <c r="G17" i="3"/>
  <c r="G16" i="3"/>
  <c r="G15" i="3"/>
  <c r="G14" i="3"/>
  <c r="G13" i="3"/>
  <c r="E11" i="3"/>
  <c r="F11" i="3" s="1"/>
  <c r="G11" i="3" s="1"/>
  <c r="G61" i="3" l="1"/>
  <c r="G57" i="3"/>
  <c r="D51" i="3"/>
  <c r="C51" i="3"/>
  <c r="B51" i="3"/>
  <c r="D37" i="3" l="1"/>
  <c r="C37" i="3"/>
  <c r="C23" i="3" l="1"/>
  <c r="D23" i="3" l="1"/>
  <c r="B37" i="3" l="1"/>
  <c r="E12" i="3" l="1"/>
  <c r="F12" i="3" l="1"/>
  <c r="E13" i="3" l="1"/>
  <c r="G12" i="3"/>
  <c r="F13" i="3"/>
  <c r="E14" i="3" s="1"/>
  <c r="F14" i="3" l="1"/>
  <c r="E15" i="3" s="1"/>
  <c r="F15" i="3" l="1"/>
  <c r="E16" i="3" s="1"/>
  <c r="F16" i="3" l="1"/>
  <c r="E17" i="3" s="1"/>
  <c r="F17" i="3" l="1"/>
  <c r="E18" i="3" s="1"/>
  <c r="F18" i="3" l="1"/>
  <c r="E19" i="3" s="1"/>
  <c r="F19" i="3" l="1"/>
  <c r="E20" i="3" s="1"/>
  <c r="F20" i="3" l="1"/>
  <c r="E21" i="3" s="1"/>
  <c r="B23" i="3"/>
  <c r="F21" i="3" l="1"/>
  <c r="F22" i="3" l="1"/>
  <c r="E25" i="3" l="1"/>
  <c r="F25" i="3" s="1"/>
  <c r="E26" i="3" s="1"/>
  <c r="E23" i="3"/>
  <c r="F26" i="3" l="1"/>
  <c r="E27" i="3" s="1"/>
  <c r="F27" i="3" l="1"/>
  <c r="E28" i="3" s="1"/>
  <c r="F28" i="3" l="1"/>
  <c r="E29" i="3" s="1"/>
  <c r="F29" i="3" l="1"/>
  <c r="E30" i="3" s="1"/>
  <c r="F30" i="3" l="1"/>
  <c r="E31" i="3" s="1"/>
  <c r="F31" i="3" l="1"/>
  <c r="E32" i="3" s="1"/>
  <c r="F32" i="3" l="1"/>
  <c r="E33" i="3" l="1"/>
  <c r="F33" i="3" s="1"/>
  <c r="E34" i="3" s="1"/>
  <c r="G55" i="3" l="1"/>
  <c r="F34" i="3"/>
  <c r="G34" i="3" s="1"/>
  <c r="E35" i="3" l="1"/>
  <c r="F35" i="3" l="1"/>
  <c r="E36" i="3" l="1"/>
  <c r="E37" i="3" s="1"/>
  <c r="G35" i="3"/>
  <c r="F36" i="3" l="1"/>
  <c r="G36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8" i="3" l="1"/>
  <c r="G59" i="3" s="1"/>
  <c r="G63" i="3" s="1"/>
  <c r="E51" i="3"/>
</calcChain>
</file>

<file path=xl/comments1.xml><?xml version="1.0" encoding="utf-8"?>
<comments xmlns="http://schemas.openxmlformats.org/spreadsheetml/2006/main">
  <authors>
    <author>Author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Per STEP legislation, carrying charge will be equal to the large-scale electric utility's pretax weighted average cost of captial approved by the commision. This can be applied to 3 separate accounts (Reg asset, Reg liab and Balancing acct for STEP). The rate will not be included in this reconciliation.</t>
        </r>
      </text>
    </comment>
  </commentList>
</comments>
</file>

<file path=xl/sharedStrings.xml><?xml version="1.0" encoding="utf-8"?>
<sst xmlns="http://schemas.openxmlformats.org/spreadsheetml/2006/main" count="75" uniqueCount="40">
  <si>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</si>
  <si>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</si>
  <si>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</si>
  <si>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</si>
  <si>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</si>
  <si>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</si>
  <si>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</si>
  <si>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</si>
  <si>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</si>
  <si>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</si>
  <si>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</si>
  <si>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</si>
  <si>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</si>
  <si>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</si>
  <si>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</si>
  <si>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</si>
  <si>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</si>
  <si>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</si>
  <si>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</si>
  <si>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2014 totals</t>
  </si>
  <si>
    <t>Notes:</t>
  </si>
  <si>
    <t>2015 totals</t>
  </si>
  <si>
    <t>2016 totals</t>
  </si>
  <si>
    <t>Total Accurals</t>
  </si>
  <si>
    <t>N/A</t>
  </si>
  <si>
    <t>2017 totals</t>
  </si>
  <si>
    <t>DSM balancing account as of Sept 30, 2016</t>
  </si>
  <si>
    <t>Forecast DSM expenses through December 2017</t>
  </si>
  <si>
    <t>Forecast carrying charges through December 2017</t>
  </si>
  <si>
    <t>Total expenses through December 2017</t>
  </si>
  <si>
    <t>Forecast DSM balancing account as of December 31, 2017</t>
  </si>
  <si>
    <t>Total DSM surcharge collections through December 2017</t>
  </si>
  <si>
    <t xml:space="preserve">   Figures provided through Sept 2016 are actuals.</t>
  </si>
  <si>
    <t xml:space="preserve">   Rate Recovery estimates for 2017 calc from July 2016 forecast from Regulation</t>
  </si>
  <si>
    <t xml:space="preserve">   Rate Recovery estimates for 2016 calc from July 2015 forecast from Regulation</t>
  </si>
  <si>
    <t>Carrying Charge Rate</t>
  </si>
  <si>
    <t>Utah Demand-Side Management Reconciliation Analysis</t>
  </si>
  <si>
    <t xml:space="preserve">Using current rate of 4% </t>
  </si>
  <si>
    <t>Dec 2013 Accrual</t>
  </si>
  <si>
    <t>Exhibit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</si>
</sst>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8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5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5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6" applyNumberFormat="0" applyAlignment="0" applyProtection="0"/>
    <xf numFmtId="0" fontId="27" fillId="8" borderId="7" applyNumberFormat="0" applyAlignment="0" applyProtection="0"/>
    <xf numFmtId="0" fontId="28" fillId="8" borderId="6" applyNumberFormat="0" applyAlignment="0" applyProtection="0"/>
    <xf numFmtId="0" fontId="29" fillId="0" borderId="8" applyNumberFormat="0" applyFill="0" applyAlignment="0" applyProtection="0"/>
    <xf numFmtId="0" fontId="30" fillId="9" borderId="9" applyNumberFormat="0" applyAlignment="0" applyProtection="0"/>
    <xf numFmtId="0" fontId="31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5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" applyNumberFormat="1" applyFont="1" applyFill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1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1" xfId="0" applyNumberFormat="1" applyFont="1" applyBorder="1"/>
    <xf numFmtId="164" fontId="15" fillId="0" borderId="2" xfId="0" applyNumberFormat="1" applyFont="1" applyBorder="1"/>
    <xf numFmtId="164" fontId="3" fillId="0" borderId="1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10" fontId="3" fillId="0" borderId="0" xfId="12" applyNumberFormat="1" applyFont="1" applyAlignment="1" applyProtection="1">
      <alignment horizontal="right"/>
      <protection locked="0"/>
    </xf>
    <xf numFmtId="164" fontId="15" fillId="0" borderId="0" xfId="0" applyNumberFormat="1" applyFont="1" applyBorder="1"/>
    <xf numFmtId="10" fontId="3" fillId="0" borderId="0" xfId="8" applyNumberFormat="1" applyFont="1" applyAlignment="1" applyProtection="1">
      <alignment horizontal="center"/>
      <protection locked="0"/>
    </xf>
    <xf numFmtId="164" fontId="3" fillId="1" borderId="0" xfId="8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278">
    <cellStyle name="20% - Accent1" xfId="103" builtinId="30" customBuiltin="1"/>
    <cellStyle name="20% - Accent2" xfId="107" builtinId="34" customBuiltin="1"/>
    <cellStyle name="20% - Accent3" xfId="111" builtinId="38" customBuiltin="1"/>
    <cellStyle name="20% - Accent4" xfId="115" builtinId="42" customBuiltin="1"/>
    <cellStyle name="20% - Accent5" xfId="119" builtinId="46" customBuiltin="1"/>
    <cellStyle name="20% - Accent6" xfId="123" builtinId="50" customBuiltin="1"/>
    <cellStyle name="40% - Accent1" xfId="104" builtinId="31" customBuiltin="1"/>
    <cellStyle name="40% - Accent2" xfId="108" builtinId="35" customBuiltin="1"/>
    <cellStyle name="40% - Accent3" xfId="112" builtinId="39" customBuiltin="1"/>
    <cellStyle name="40% - Accent4" xfId="116" builtinId="43" customBuiltin="1"/>
    <cellStyle name="40% - Accent5" xfId="120" builtinId="47" customBuiltin="1"/>
    <cellStyle name="40% - Accent6" xfId="124" builtinId="51" customBuiltin="1"/>
    <cellStyle name="60% - Accent1" xfId="105" builtinId="32" customBuiltin="1"/>
    <cellStyle name="60% - Accent2" xfId="109" builtinId="36" customBuiltin="1"/>
    <cellStyle name="60% - Accent3" xfId="113" builtinId="40" customBuiltin="1"/>
    <cellStyle name="60% - Accent4" xfId="117" builtinId="44" customBuiltin="1"/>
    <cellStyle name="60% - Accent5" xfId="121" builtinId="48" customBuiltin="1"/>
    <cellStyle name="60% - Accent6" xfId="125" builtinId="52" customBuiltin="1"/>
    <cellStyle name="Accent1" xfId="102" builtinId="29" customBuiltin="1"/>
    <cellStyle name="Accent2" xfId="106" builtinId="33" customBuiltin="1"/>
    <cellStyle name="Accent3" xfId="110" builtinId="37" customBuiltin="1"/>
    <cellStyle name="Accent4" xfId="114" builtinId="41" customBuiltin="1"/>
    <cellStyle name="Accent5" xfId="118" builtinId="45" customBuiltin="1"/>
    <cellStyle name="Accent6" xfId="122" builtinId="49" customBuiltin="1"/>
    <cellStyle name="Bad" xfId="91" builtinId="27" customBuiltin="1"/>
    <cellStyle name="Calculation" xfId="95" builtinId="22" customBuiltin="1"/>
    <cellStyle name="Check Cell" xfId="97" builtinId="23" customBuiltin="1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7"/>
    <cellStyle name="Comma 3 2 2" xfId="177"/>
    <cellStyle name="Comma 3 2 3" xfId="231"/>
    <cellStyle name="Comma 3 3" xfId="176"/>
    <cellStyle name="Comma 3 4" xfId="230"/>
    <cellStyle name="Comma 3 5" xfId="135"/>
    <cellStyle name="Comma 30" xfId="75"/>
    <cellStyle name="Comma 31" xfId="77"/>
    <cellStyle name="Comma 32" xfId="79"/>
    <cellStyle name="Comma 33" xfId="9"/>
    <cellStyle name="Comma 4" xfId="21"/>
    <cellStyle name="Comma 4 2" xfId="169"/>
    <cellStyle name="Comma 4 2 2" xfId="178"/>
    <cellStyle name="Comma 4 2 3" xfId="232"/>
    <cellStyle name="Comma 4 3" xfId="175"/>
    <cellStyle name="Comma 4 4" xfId="225"/>
    <cellStyle name="Comma 4 5" xfId="229"/>
    <cellStyle name="Comma 5" xfId="23"/>
    <cellStyle name="Comma 5 2" xfId="172"/>
    <cellStyle name="Comma 5 2 2" xfId="180"/>
    <cellStyle name="Comma 5 2 3" xfId="234"/>
    <cellStyle name="Comma 5 3" xfId="179"/>
    <cellStyle name="Comma 5 4" xfId="233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8"/>
    <cellStyle name="Currency 3 2 2" xfId="182"/>
    <cellStyle name="Currency 3 2 3" xfId="236"/>
    <cellStyle name="Currency 3 3" xfId="181"/>
    <cellStyle name="Currency 3 4" xfId="235"/>
    <cellStyle name="Currency 3 5" xfId="136"/>
    <cellStyle name="Currency 4" xfId="12"/>
    <cellStyle name="Explanatory Text" xfId="100" builtinId="53" customBuiltin="1"/>
    <cellStyle name="General" xfId="4"/>
    <cellStyle name="Good" xfId="90" builtinId="26" customBuiltin="1"/>
    <cellStyle name="Heading 1" xfId="86" builtinId="16" customBuiltin="1"/>
    <cellStyle name="Heading 2" xfId="87" builtinId="17" customBuiltin="1"/>
    <cellStyle name="Heading 3" xfId="88" builtinId="18" customBuiltin="1"/>
    <cellStyle name="Heading 4" xfId="89" builtinId="19" customBuiltin="1"/>
    <cellStyle name="Hyperlink 2" xfId="128"/>
    <cellStyle name="Input" xfId="93" builtinId="20" customBuiltin="1"/>
    <cellStyle name="Linked Cell" xfId="96" builtinId="24" customBuiltin="1"/>
    <cellStyle name="Neutral" xfId="92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3"/>
    <cellStyle name="Normal 2 2 2 2" xfId="143"/>
    <cellStyle name="Normal 2 2 2 2 2" xfId="165"/>
    <cellStyle name="Normal 2 2 2 2 2 2" xfId="187"/>
    <cellStyle name="Normal 2 2 2 2 2 3" xfId="241"/>
    <cellStyle name="Normal 2 2 2 2 3" xfId="186"/>
    <cellStyle name="Normal 2 2 2 2 4" xfId="240"/>
    <cellStyle name="Normal 2 2 2 3" xfId="154"/>
    <cellStyle name="Normal 2 2 2 3 2" xfId="188"/>
    <cellStyle name="Normal 2 2 2 3 3" xfId="242"/>
    <cellStyle name="Normal 2 2 2 4" xfId="185"/>
    <cellStyle name="Normal 2 2 2 5" xfId="239"/>
    <cellStyle name="Normal 2 2 3" xfId="139"/>
    <cellStyle name="Normal 2 2 3 2" xfId="161"/>
    <cellStyle name="Normal 2 2 3 2 2" xfId="190"/>
    <cellStyle name="Normal 2 2 3 2 3" xfId="244"/>
    <cellStyle name="Normal 2 2 3 3" xfId="189"/>
    <cellStyle name="Normal 2 2 3 4" xfId="243"/>
    <cellStyle name="Normal 2 2 4" xfId="150"/>
    <cellStyle name="Normal 2 2 4 2" xfId="191"/>
    <cellStyle name="Normal 2 2 4 3" xfId="245"/>
    <cellStyle name="Normal 2 2 5" xfId="184"/>
    <cellStyle name="Normal 2 2 6" xfId="238"/>
    <cellStyle name="Normal 2 2 7" xfId="129"/>
    <cellStyle name="Normal 2 3" xfId="84"/>
    <cellStyle name="Normal 2 3 2" xfId="141"/>
    <cellStyle name="Normal 2 3 2 2" xfId="163"/>
    <cellStyle name="Normal 2 3 2 2 2" xfId="194"/>
    <cellStyle name="Normal 2 3 2 2 3" xfId="248"/>
    <cellStyle name="Normal 2 3 2 3" xfId="193"/>
    <cellStyle name="Normal 2 3 2 4" xfId="247"/>
    <cellStyle name="Normal 2 3 3" xfId="152"/>
    <cellStyle name="Normal 2 3 3 2" xfId="195"/>
    <cellStyle name="Normal 2 3 3 3" xfId="249"/>
    <cellStyle name="Normal 2 3 4" xfId="192"/>
    <cellStyle name="Normal 2 3 5" xfId="246"/>
    <cellStyle name="Normal 2 3 6" xfId="131"/>
    <cellStyle name="Normal 2 4" xfId="14"/>
    <cellStyle name="Normal 2 4 2" xfId="159"/>
    <cellStyle name="Normal 2 4 2 2" xfId="197"/>
    <cellStyle name="Normal 2 4 2 3" xfId="251"/>
    <cellStyle name="Normal 2 4 3" xfId="196"/>
    <cellStyle name="Normal 2 4 4" xfId="250"/>
    <cellStyle name="Normal 2 5" xfId="146"/>
    <cellStyle name="Normal 2 6" xfId="148"/>
    <cellStyle name="Normal 2 6 2" xfId="198"/>
    <cellStyle name="Normal 2 6 3" xfId="252"/>
    <cellStyle name="Normal 2 7" xfId="183"/>
    <cellStyle name="Normal 2 8" xfId="237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4"/>
    <cellStyle name="Normal 3 2 2 2" xfId="144"/>
    <cellStyle name="Normal 3 2 2 2 2" xfId="166"/>
    <cellStyle name="Normal 3 2 2 2 2 2" xfId="203"/>
    <cellStyle name="Normal 3 2 2 2 2 3" xfId="257"/>
    <cellStyle name="Normal 3 2 2 2 3" xfId="202"/>
    <cellStyle name="Normal 3 2 2 2 4" xfId="256"/>
    <cellStyle name="Normal 3 2 2 3" xfId="155"/>
    <cellStyle name="Normal 3 2 2 3 2" xfId="204"/>
    <cellStyle name="Normal 3 2 2 3 3" xfId="258"/>
    <cellStyle name="Normal 3 2 2 4" xfId="201"/>
    <cellStyle name="Normal 3 2 2 5" xfId="255"/>
    <cellStyle name="Normal 3 2 3" xfId="140"/>
    <cellStyle name="Normal 3 2 3 2" xfId="162"/>
    <cellStyle name="Normal 3 2 3 2 2" xfId="206"/>
    <cellStyle name="Normal 3 2 3 2 3" xfId="260"/>
    <cellStyle name="Normal 3 2 3 3" xfId="205"/>
    <cellStyle name="Normal 3 2 3 4" xfId="259"/>
    <cellStyle name="Normal 3 2 4" xfId="151"/>
    <cellStyle name="Normal 3 2 4 2" xfId="207"/>
    <cellStyle name="Normal 3 2 4 3" xfId="261"/>
    <cellStyle name="Normal 3 2 5" xfId="200"/>
    <cellStyle name="Normal 3 2 6" xfId="254"/>
    <cellStyle name="Normal 3 2 7" xfId="130"/>
    <cellStyle name="Normal 3 3" xfId="132"/>
    <cellStyle name="Normal 3 3 2" xfId="142"/>
    <cellStyle name="Normal 3 3 2 2" xfId="164"/>
    <cellStyle name="Normal 3 3 2 2 2" xfId="210"/>
    <cellStyle name="Normal 3 3 2 2 3" xfId="264"/>
    <cellStyle name="Normal 3 3 2 3" xfId="209"/>
    <cellStyle name="Normal 3 3 2 4" xfId="263"/>
    <cellStyle name="Normal 3 3 3" xfId="153"/>
    <cellStyle name="Normal 3 3 3 2" xfId="211"/>
    <cellStyle name="Normal 3 3 3 3" xfId="265"/>
    <cellStyle name="Normal 3 3 4" xfId="208"/>
    <cellStyle name="Normal 3 3 5" xfId="262"/>
    <cellStyle name="Normal 3 4" xfId="138"/>
    <cellStyle name="Normal 3 4 2" xfId="160"/>
    <cellStyle name="Normal 3 4 2 2" xfId="213"/>
    <cellStyle name="Normal 3 4 2 3" xfId="267"/>
    <cellStyle name="Normal 3 4 3" xfId="212"/>
    <cellStyle name="Normal 3 4 4" xfId="266"/>
    <cellStyle name="Normal 3 5" xfId="149"/>
    <cellStyle name="Normal 3 5 2" xfId="214"/>
    <cellStyle name="Normal 3 5 3" xfId="268"/>
    <cellStyle name="Normal 3 6" xfId="199"/>
    <cellStyle name="Normal 3 7" xfId="253"/>
    <cellStyle name="Normal 3 8" xfId="127"/>
    <cellStyle name="Normal 30" xfId="74"/>
    <cellStyle name="Normal 31" xfId="76"/>
    <cellStyle name="Normal 32" xfId="78"/>
    <cellStyle name="Normal 33" xfId="8"/>
    <cellStyle name="Normal 4" xfId="20"/>
    <cellStyle name="Normal 4 2" xfId="137"/>
    <cellStyle name="Normal 5" xfId="22"/>
    <cellStyle name="Normal 5 2" xfId="156"/>
    <cellStyle name="Normal 5 2 2" xfId="216"/>
    <cellStyle name="Normal 5 2 3" xfId="270"/>
    <cellStyle name="Normal 5 3" xfId="215"/>
    <cellStyle name="Normal 5 4" xfId="269"/>
    <cellStyle name="Normal 6" xfId="24"/>
    <cellStyle name="Normal 6 2" xfId="167"/>
    <cellStyle name="Normal 6 2 2" xfId="217"/>
    <cellStyle name="Normal 6 2 3" xfId="271"/>
    <cellStyle name="Normal 6 3" xfId="173"/>
    <cellStyle name="Normal 6 4" xfId="223"/>
    <cellStyle name="Normal 6 5" xfId="227"/>
    <cellStyle name="Normal 7" xfId="26"/>
    <cellStyle name="Normal 7 2" xfId="171"/>
    <cellStyle name="Normal 7 2 2" xfId="219"/>
    <cellStyle name="Normal 7 2 3" xfId="273"/>
    <cellStyle name="Normal 7 3" xfId="218"/>
    <cellStyle name="Normal 7 4" xfId="226"/>
    <cellStyle name="Normal 7 5" xfId="272"/>
    <cellStyle name="Normal 8" xfId="28"/>
    <cellStyle name="Normal 9" xfId="30"/>
    <cellStyle name="Note" xfId="99" builtinId="10" customBuiltin="1"/>
    <cellStyle name="Output" xfId="94" builtinId="21" customBuiltin="1"/>
    <cellStyle name="Percent 2" xfId="6"/>
    <cellStyle name="Percent 2 2" xfId="81"/>
    <cellStyle name="Percent 2 3" xfId="65"/>
    <cellStyle name="Percent 3" xfId="16"/>
    <cellStyle name="Percent 3 2" xfId="168"/>
    <cellStyle name="Percent 3 2 2" xfId="220"/>
    <cellStyle name="Percent 3 2 3" xfId="274"/>
    <cellStyle name="Percent 3 3" xfId="174"/>
    <cellStyle name="Percent 3 4" xfId="224"/>
    <cellStyle name="Percent 3 5" xfId="228"/>
    <cellStyle name="Percent 3 6" xfId="145"/>
    <cellStyle name="Percent 4" xfId="147"/>
    <cellStyle name="Percent 4 2" xfId="170"/>
    <cellStyle name="Percent 4 2 2" xfId="222"/>
    <cellStyle name="Percent 4 2 3" xfId="276"/>
    <cellStyle name="Percent 4 3" xfId="221"/>
    <cellStyle name="Percent 4 4" xfId="275"/>
    <cellStyle name="Percent 5" xfId="277"/>
    <cellStyle name="Title" xfId="85" builtinId="15" customBuiltin="1"/>
    <cellStyle name="Total" xfId="101" builtinId="25" customBuiltin="1"/>
    <cellStyle name="TRANSMISSION RELIABILITY PORTION OF PROJECT" xfId="7"/>
    <cellStyle name="TRANSMISSION RELIABILITY PORTION OF PROJECT 2" xfId="17"/>
    <cellStyle name="TRANSMISSION RELIABILITY PORTION OF PROJECT 2 2" xfId="126"/>
    <cellStyle name="Warning Text" xfId="98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68"/>
  <sheetViews>
    <sheetView tabSelected="1" zoomScale="90" zoomScaleNormal="90" workbookViewId="0">
      <pane ySplit="5" topLeftCell="A27" activePane="bottomLeft" state="frozen"/>
      <selection pane="bottomLeft" activeCell="D56" sqref="D56"/>
    </sheetView>
  </sheetViews>
  <sheetFormatPr defaultRowHeight="14.25"/>
  <cols>
    <col min="1" max="1" width="17.5703125" style="11" customWidth="1"/>
    <col min="2" max="2" width="17.28515625" style="11" customWidth="1"/>
    <col min="3" max="3" width="15.28515625" style="11" customWidth="1"/>
    <col min="4" max="4" width="17" style="11" customWidth="1"/>
    <col min="5" max="5" width="11.7109375" style="11" bestFit="1" customWidth="1"/>
    <col min="6" max="6" width="15.5703125" style="11" customWidth="1"/>
    <col min="7" max="7" width="16.85546875" style="11" customWidth="1"/>
    <col min="8" max="8" width="9.28515625" style="11" customWidth="1"/>
    <col min="9" max="9" width="1.42578125" style="11" customWidth="1"/>
    <col min="10" max="16384" width="9.140625" style="11"/>
  </cols>
  <sheetData>
    <row r="1" spans="1:131" s="5" customFormat="1" ht="12.75" customHeight="1">
      <c r="A1" s="1" t="s">
        <v>39</v>
      </c>
      <c r="B1" s="1"/>
      <c r="C1" s="1"/>
      <c r="D1" s="2"/>
      <c r="E1" s="1"/>
      <c r="F1" s="1"/>
      <c r="G1" s="1"/>
      <c r="H1" s="3"/>
      <c r="I1" s="4"/>
    </row>
    <row r="2" spans="1:131" s="6" customFormat="1" ht="12.75" customHeight="1">
      <c r="A2" s="1" t="s">
        <v>36</v>
      </c>
      <c r="B2" s="1"/>
      <c r="C2" s="1"/>
      <c r="D2" s="2"/>
      <c r="E2" s="1"/>
      <c r="F2" s="1"/>
      <c r="G2" s="1"/>
      <c r="H2" s="3"/>
      <c r="I2" s="4"/>
    </row>
    <row r="3" spans="1:131" s="6" customFormat="1" ht="12.75" customHeight="1">
      <c r="A3" s="51" t="s">
        <v>37</v>
      </c>
      <c r="B3" s="51"/>
      <c r="C3" s="51"/>
      <c r="D3" s="51"/>
      <c r="E3" s="51"/>
      <c r="F3" s="51"/>
      <c r="G3" s="51"/>
      <c r="H3" s="51"/>
      <c r="I3" s="51"/>
    </row>
    <row r="4" spans="1:131">
      <c r="A4" s="7"/>
      <c r="B4" s="8"/>
      <c r="C4" s="8"/>
      <c r="D4" s="8"/>
      <c r="E4" s="12"/>
      <c r="F4" s="13" t="s">
        <v>0</v>
      </c>
      <c r="G4" s="13"/>
      <c r="H4" s="1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</row>
    <row r="5" spans="1:131" s="5" customFormat="1" ht="51" customHeight="1">
      <c r="A5" s="15"/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35</v>
      </c>
      <c r="I5" s="18"/>
    </row>
    <row r="6" spans="1:131" ht="13.5" customHeight="1">
      <c r="A6" s="19"/>
      <c r="B6" s="20"/>
      <c r="C6" s="20"/>
      <c r="D6" s="20"/>
      <c r="E6" s="20"/>
      <c r="F6" s="20"/>
      <c r="G6" s="20"/>
      <c r="H6" s="2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9"/>
      <c r="DX6" s="9"/>
      <c r="DY6" s="9"/>
      <c r="DZ6" s="10"/>
      <c r="EA6" s="10"/>
    </row>
    <row r="7" spans="1:131" ht="13.5" customHeight="1">
      <c r="A7" s="19" t="s">
        <v>38</v>
      </c>
      <c r="B7" s="20"/>
      <c r="C7" s="33">
        <v>2660862</v>
      </c>
      <c r="D7" s="20"/>
      <c r="E7" s="20"/>
      <c r="F7" s="20"/>
      <c r="G7" s="20"/>
      <c r="H7" s="2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9"/>
      <c r="DX7" s="9"/>
      <c r="DY7" s="9"/>
      <c r="DZ7" s="10"/>
      <c r="EA7" s="10"/>
    </row>
    <row r="8" spans="1:131" ht="9.75" customHeight="1">
      <c r="A8" s="22"/>
      <c r="B8" s="44"/>
      <c r="C8" s="44"/>
      <c r="D8" s="44"/>
      <c r="E8" s="44"/>
      <c r="F8" s="42"/>
      <c r="G8" s="42"/>
      <c r="H8" s="43"/>
      <c r="I8" s="28"/>
    </row>
    <row r="9" spans="1:131">
      <c r="A9" s="22" t="s">
        <v>19</v>
      </c>
      <c r="B9" s="35">
        <v>81727633.670000002</v>
      </c>
      <c r="C9" s="35">
        <v>2023176.2700000005</v>
      </c>
      <c r="D9" s="35">
        <v>-59356899.010000005</v>
      </c>
      <c r="E9" s="41">
        <v>292294</v>
      </c>
      <c r="F9" s="42">
        <v>13730097.343999993</v>
      </c>
      <c r="G9" s="42">
        <v>18414135.263999995</v>
      </c>
      <c r="H9" s="47">
        <v>7.7600000000000002E-2</v>
      </c>
      <c r="I9" s="28"/>
    </row>
    <row r="10" spans="1:131">
      <c r="B10" s="38"/>
      <c r="C10" s="38"/>
      <c r="D10" s="38"/>
      <c r="E10" s="45"/>
      <c r="F10" s="45"/>
      <c r="G10" s="45"/>
      <c r="H10" s="46"/>
      <c r="I10" s="46"/>
    </row>
    <row r="11" spans="1:131">
      <c r="A11" s="24" t="s">
        <v>7</v>
      </c>
      <c r="B11" s="33">
        <v>3318076.89</v>
      </c>
      <c r="C11" s="33">
        <v>97753.14</v>
      </c>
      <c r="D11" s="33">
        <v>-4853002.2699999996</v>
      </c>
      <c r="E11" s="33">
        <f>ROUND((((B11+D11)/2)+F9)*(7.76%/12),0)-71</f>
        <v>83754</v>
      </c>
      <c r="F11" s="33">
        <f>+F9+B11+D11+E11</f>
        <v>12278925.963999994</v>
      </c>
      <c r="G11" s="33">
        <f>SUM(C11)+F11+C9+C7</f>
        <v>17060717.373999994</v>
      </c>
      <c r="H11" s="23">
        <v>7.3200000000000001E-2</v>
      </c>
      <c r="I11" s="28"/>
    </row>
    <row r="12" spans="1:131">
      <c r="A12" s="25" t="s">
        <v>8</v>
      </c>
      <c r="B12" s="33">
        <v>3457488.39</v>
      </c>
      <c r="C12" s="33">
        <v>774323.81</v>
      </c>
      <c r="D12" s="33">
        <v>-4566382.75</v>
      </c>
      <c r="E12" s="33">
        <f>ROUND((((B12+D12)/2)+F11)*(7.76%/12),0)-145</f>
        <v>75673</v>
      </c>
      <c r="F12" s="33">
        <f t="shared" ref="F12:F22" si="0">+F11+B12+D12+E12</f>
        <v>11245704.603999995</v>
      </c>
      <c r="G12" s="33">
        <f>SUM(C11:C12)+F12+C9+C7</f>
        <v>16801819.823999994</v>
      </c>
      <c r="H12" s="23">
        <v>7.3200000000000001E-2</v>
      </c>
      <c r="I12" s="28"/>
    </row>
    <row r="13" spans="1:131">
      <c r="A13" s="26" t="s">
        <v>9</v>
      </c>
      <c r="B13" s="33">
        <v>6337484.4500000002</v>
      </c>
      <c r="C13" s="33">
        <v>-1655767.62</v>
      </c>
      <c r="D13" s="33">
        <v>-4692272.12</v>
      </c>
      <c r="E13" s="33">
        <f>ROUND((((B13+D13)/2)+F12)*(7.76%/12),0)+218</f>
        <v>78260</v>
      </c>
      <c r="F13" s="33">
        <f t="shared" si="0"/>
        <v>12969176.933999993</v>
      </c>
      <c r="G13" s="33">
        <f>SUM(C11:C13)+F13+C9+C7</f>
        <v>16869524.533999994</v>
      </c>
      <c r="H13" s="23">
        <v>7.3200000000000001E-2</v>
      </c>
      <c r="I13" s="27"/>
    </row>
    <row r="14" spans="1:131">
      <c r="A14" s="24" t="s">
        <v>10</v>
      </c>
      <c r="B14" s="33">
        <v>6266841.8499999996</v>
      </c>
      <c r="C14" s="33">
        <v>-54610.2</v>
      </c>
      <c r="D14" s="33">
        <v>-4546601.7699999996</v>
      </c>
      <c r="E14" s="33">
        <f t="shared" ref="E14:E21" si="1">ROUND((((B14+D14)/2)+F13)*(7.76%/12),0)</f>
        <v>89429</v>
      </c>
      <c r="F14" s="33">
        <f t="shared" si="0"/>
        <v>14778846.013999995</v>
      </c>
      <c r="G14" s="33">
        <f>SUM(C11:C14)+F14+C9+C7</f>
        <v>18624583.413999997</v>
      </c>
      <c r="H14" s="23">
        <v>7.3200000000000001E-2</v>
      </c>
      <c r="I14" s="28"/>
    </row>
    <row r="15" spans="1:131">
      <c r="A15" s="25" t="s">
        <v>11</v>
      </c>
      <c r="B15" s="33">
        <v>4339625.5199999996</v>
      </c>
      <c r="C15" s="33">
        <v>424983.98</v>
      </c>
      <c r="D15" s="33">
        <v>-4905098.67</v>
      </c>
      <c r="E15" s="33">
        <f t="shared" si="1"/>
        <v>93742</v>
      </c>
      <c r="F15" s="33">
        <f t="shared" si="0"/>
        <v>14307114.863999994</v>
      </c>
      <c r="G15" s="33">
        <f>SUM(C11:C15)+F15+C9+C7</f>
        <v>18577836.243999995</v>
      </c>
      <c r="H15" s="23">
        <v>7.3200000000000001E-2</v>
      </c>
      <c r="I15" s="28"/>
    </row>
    <row r="16" spans="1:131">
      <c r="A16" s="25" t="s">
        <v>12</v>
      </c>
      <c r="B16" s="33">
        <v>6359044.46</v>
      </c>
      <c r="C16" s="33">
        <v>-316592.64000000001</v>
      </c>
      <c r="D16" s="33">
        <v>-5996971.2199999997</v>
      </c>
      <c r="E16" s="33">
        <f t="shared" si="1"/>
        <v>93690</v>
      </c>
      <c r="F16" s="33">
        <f t="shared" si="0"/>
        <v>14762878.103999995</v>
      </c>
      <c r="G16" s="33">
        <f>SUM(C11:C16)+F16+C9+C7</f>
        <v>18717006.843999997</v>
      </c>
      <c r="H16" s="23">
        <v>7.3200000000000001E-2</v>
      </c>
      <c r="I16" s="28"/>
    </row>
    <row r="17" spans="1:9">
      <c r="A17" s="24" t="s">
        <v>13</v>
      </c>
      <c r="B17" s="33">
        <v>4432790.5999999996</v>
      </c>
      <c r="C17" s="33">
        <v>1038998.71</v>
      </c>
      <c r="D17" s="33">
        <v>-7896361.6799999997</v>
      </c>
      <c r="E17" s="33">
        <f t="shared" si="1"/>
        <v>84268</v>
      </c>
      <c r="F17" s="33">
        <f t="shared" si="0"/>
        <v>11383575.023999996</v>
      </c>
      <c r="G17" s="33">
        <f>SUM(C11:C17)+F17+C9+C7</f>
        <v>16376702.473999996</v>
      </c>
      <c r="H17" s="23">
        <v>7.3200000000000001E-2</v>
      </c>
      <c r="I17" s="28"/>
    </row>
    <row r="18" spans="1:9">
      <c r="A18" s="24" t="s">
        <v>14</v>
      </c>
      <c r="B18" s="33">
        <v>5145653.0199999996</v>
      </c>
      <c r="C18" s="33">
        <v>1071909.69</v>
      </c>
      <c r="D18" s="33">
        <v>-7295459.5800000001</v>
      </c>
      <c r="E18" s="33">
        <f t="shared" si="1"/>
        <v>66663</v>
      </c>
      <c r="F18" s="33">
        <f t="shared" si="0"/>
        <v>9300431.463999996</v>
      </c>
      <c r="G18" s="33">
        <f>SUM(C11:C18)+F18+C9+C7</f>
        <v>15365468.603999995</v>
      </c>
      <c r="H18" s="23">
        <v>7.3200000000000001E-2</v>
      </c>
      <c r="I18" s="28"/>
    </row>
    <row r="19" spans="1:9">
      <c r="A19" s="24" t="s">
        <v>15</v>
      </c>
      <c r="B19" s="33">
        <v>6483484.71</v>
      </c>
      <c r="C19" s="33">
        <v>-1307725.3</v>
      </c>
      <c r="D19" s="33">
        <v>-7124727.3899999997</v>
      </c>
      <c r="E19" s="33">
        <f t="shared" si="1"/>
        <v>58069</v>
      </c>
      <c r="F19" s="33">
        <f t="shared" si="0"/>
        <v>8717257.7839999944</v>
      </c>
      <c r="G19" s="33">
        <f>SUM(C11:C19)+F19+C9+C7</f>
        <v>13474569.623999994</v>
      </c>
      <c r="H19" s="23">
        <v>7.3200000000000001E-2</v>
      </c>
      <c r="I19" s="28"/>
    </row>
    <row r="20" spans="1:9">
      <c r="A20" s="24" t="s">
        <v>16</v>
      </c>
      <c r="B20" s="33">
        <v>5104305.95</v>
      </c>
      <c r="C20" s="33">
        <v>-400031.34</v>
      </c>
      <c r="D20" s="33">
        <v>-5654586.3200000003</v>
      </c>
      <c r="E20" s="33">
        <f t="shared" si="1"/>
        <v>54592</v>
      </c>
      <c r="F20" s="33">
        <f t="shared" si="0"/>
        <v>8221569.4139999934</v>
      </c>
      <c r="G20" s="33">
        <f>SUM(C11:C20)+F20+C9+C7</f>
        <v>12578849.913999993</v>
      </c>
      <c r="H20" s="23">
        <v>7.3200000000000001E-2</v>
      </c>
      <c r="I20" s="28"/>
    </row>
    <row r="21" spans="1:9">
      <c r="A21" s="24" t="s">
        <v>17</v>
      </c>
      <c r="B21" s="33">
        <v>6351919.1500000004</v>
      </c>
      <c r="C21" s="33">
        <v>215829.67</v>
      </c>
      <c r="D21" s="33">
        <v>-4933463.7</v>
      </c>
      <c r="E21" s="33">
        <f t="shared" si="1"/>
        <v>57752</v>
      </c>
      <c r="F21" s="33">
        <f t="shared" si="0"/>
        <v>9697776.8639999926</v>
      </c>
      <c r="G21" s="33">
        <f>SUM(C11:C21)+F21+C9+C7</f>
        <v>14270887.033999994</v>
      </c>
      <c r="H21" s="23">
        <v>7.3200000000000001E-2</v>
      </c>
      <c r="I21" s="28"/>
    </row>
    <row r="22" spans="1:9">
      <c r="A22" s="24" t="s">
        <v>18</v>
      </c>
      <c r="B22" s="33">
        <v>4644388.6500000004</v>
      </c>
      <c r="C22" s="33">
        <v>933148.8</v>
      </c>
      <c r="D22" s="33">
        <v>-5585785.9500000002</v>
      </c>
      <c r="E22" s="33">
        <v>7276</v>
      </c>
      <c r="F22" s="33">
        <f t="shared" si="0"/>
        <v>8763655.5639999919</v>
      </c>
      <c r="G22" s="33">
        <f>SUM(C11:C22)+F22+C9+C7</f>
        <v>14269914.533999991</v>
      </c>
      <c r="H22" s="23">
        <v>7.3200000000000001E-2</v>
      </c>
      <c r="I22" s="28"/>
    </row>
    <row r="23" spans="1:9">
      <c r="A23" s="22" t="s">
        <v>21</v>
      </c>
      <c r="B23" s="35">
        <f>SUM(B11:B22)</f>
        <v>62241103.639999993</v>
      </c>
      <c r="C23" s="35">
        <f>SUM(C11:C22)</f>
        <v>822220.69999999984</v>
      </c>
      <c r="D23" s="35">
        <f>SUM(D11:D22)</f>
        <v>-68050713.420000002</v>
      </c>
      <c r="E23" s="41">
        <f>SUM(E11:E22)</f>
        <v>843168</v>
      </c>
      <c r="F23" s="42"/>
      <c r="G23" s="42"/>
      <c r="H23" s="43"/>
      <c r="I23" s="28"/>
    </row>
    <row r="24" spans="1:9">
      <c r="B24" s="38"/>
      <c r="C24" s="38"/>
      <c r="D24" s="38"/>
      <c r="E24" s="45"/>
      <c r="F24" s="45"/>
      <c r="G24" s="45"/>
      <c r="H24" s="46"/>
      <c r="I24" s="46"/>
    </row>
    <row r="25" spans="1:9">
      <c r="A25" s="24" t="s">
        <v>7</v>
      </c>
      <c r="B25" s="33">
        <v>3957447.2</v>
      </c>
      <c r="C25" s="33">
        <v>-640324.02</v>
      </c>
      <c r="D25" s="33">
        <v>-6219136.7800000003</v>
      </c>
      <c r="E25" s="33">
        <f>ROUND((((B25+D25)/2)+F22)*(7.74%/12),0)</f>
        <v>49232</v>
      </c>
      <c r="F25" s="33">
        <f>+F22+B25+D25+E25</f>
        <v>6551197.9839999909</v>
      </c>
      <c r="G25" s="33">
        <f>SUM(C25)+F25+C23+C9+C7</f>
        <v>11417132.933999991</v>
      </c>
      <c r="H25" s="23">
        <v>7.7600000000000002E-2</v>
      </c>
      <c r="I25" s="23">
        <v>7.7600000000000002E-2</v>
      </c>
    </row>
    <row r="26" spans="1:9">
      <c r="A26" s="25" t="s">
        <v>8</v>
      </c>
      <c r="B26" s="33">
        <v>5502164.0700000003</v>
      </c>
      <c r="C26" s="33">
        <v>-97140.5</v>
      </c>
      <c r="D26" s="33">
        <v>-5812722.0199999996</v>
      </c>
      <c r="E26" s="33">
        <f>ROUND((((B26+D26)/2)+F25)*(7.74%/12),0)</f>
        <v>41254</v>
      </c>
      <c r="F26" s="33">
        <f t="shared" ref="F26:F36" si="2">+F25+B26+D26+E26</f>
        <v>6281894.0339999907</v>
      </c>
      <c r="G26" s="33">
        <f>SUM(C25:C26)+F26+C23+C9+C7</f>
        <v>11050688.483999992</v>
      </c>
      <c r="H26" s="23">
        <v>7.7600000000000002E-2</v>
      </c>
      <c r="I26" s="23">
        <v>7.7600000000000002E-2</v>
      </c>
    </row>
    <row r="27" spans="1:9">
      <c r="A27" s="26" t="s">
        <v>9</v>
      </c>
      <c r="B27" s="33">
        <v>4010642.76</v>
      </c>
      <c r="C27" s="33">
        <v>-101375.81</v>
      </c>
      <c r="D27" s="33">
        <v>-5114181.01</v>
      </c>
      <c r="E27" s="33">
        <f>ROUND((((B27+D27)/2)+F26)*(4.45%/12),0)+25</f>
        <v>21274</v>
      </c>
      <c r="F27" s="33">
        <f t="shared" si="2"/>
        <v>5199629.7839999907</v>
      </c>
      <c r="G27" s="33">
        <f>SUM(C25:C27)+F27+C23+C9+C7</f>
        <v>9867048.4239999913</v>
      </c>
      <c r="H27" s="23">
        <v>4.4499999999999998E-2</v>
      </c>
      <c r="I27" s="23">
        <v>7.7600000000000002E-2</v>
      </c>
    </row>
    <row r="28" spans="1:9">
      <c r="A28" s="24" t="s">
        <v>10</v>
      </c>
      <c r="B28" s="33">
        <v>3649184.13</v>
      </c>
      <c r="C28" s="33">
        <v>1887278.57</v>
      </c>
      <c r="D28" s="33">
        <v>-5036556.5999999996</v>
      </c>
      <c r="E28" s="33">
        <f t="shared" ref="E28:E36" si="3">ROUND((((B28+D28)/2)+F27)*(4.45%/12),0)</f>
        <v>16710</v>
      </c>
      <c r="F28" s="33">
        <f t="shared" si="2"/>
        <v>3828967.31399999</v>
      </c>
      <c r="G28" s="33">
        <f>SUM(C25:C28)+F28+C23+C9+C7</f>
        <v>10383664.523999991</v>
      </c>
      <c r="H28" s="23">
        <v>4.4499999999999998E-2</v>
      </c>
      <c r="I28" s="23">
        <v>7.7600000000000002E-2</v>
      </c>
    </row>
    <row r="29" spans="1:9">
      <c r="A29" s="25" t="s">
        <v>11</v>
      </c>
      <c r="B29" s="33">
        <v>4189551.42</v>
      </c>
      <c r="C29" s="33">
        <v>-1727121.6</v>
      </c>
      <c r="D29" s="33">
        <v>-5313045.41</v>
      </c>
      <c r="E29" s="33">
        <f t="shared" si="3"/>
        <v>12116</v>
      </c>
      <c r="F29" s="33">
        <f t="shared" si="2"/>
        <v>2717589.3239999898</v>
      </c>
      <c r="G29" s="33">
        <f>SUM(C25:C29)+F29+C23+C9+C7</f>
        <v>7545164.9339999901</v>
      </c>
      <c r="H29" s="23">
        <v>4.4499999999999998E-2</v>
      </c>
      <c r="I29" s="23">
        <v>7.7600000000000002E-2</v>
      </c>
    </row>
    <row r="30" spans="1:9">
      <c r="A30" s="25" t="s">
        <v>12</v>
      </c>
      <c r="B30" s="33">
        <v>7211523.1900000004</v>
      </c>
      <c r="C30" s="33">
        <v>-962707.25</v>
      </c>
      <c r="D30" s="33">
        <v>-6686874.79</v>
      </c>
      <c r="E30" s="33">
        <f t="shared" si="3"/>
        <v>11051</v>
      </c>
      <c r="F30" s="33">
        <f t="shared" si="2"/>
        <v>3253288.7239999911</v>
      </c>
      <c r="G30" s="33">
        <f>SUM(C25:C30)+F30+C23+C9+C7</f>
        <v>7118157.0839999914</v>
      </c>
      <c r="H30" s="23">
        <v>4.4499999999999998E-2</v>
      </c>
      <c r="I30" s="23">
        <v>7.7600000000000002E-2</v>
      </c>
    </row>
    <row r="31" spans="1:9">
      <c r="A31" s="24" t="s">
        <v>13</v>
      </c>
      <c r="B31" s="33">
        <v>3541877.75</v>
      </c>
      <c r="C31" s="33">
        <v>1301932.57</v>
      </c>
      <c r="D31" s="33">
        <v>-8541981.0299999993</v>
      </c>
      <c r="E31" s="33">
        <f t="shared" si="3"/>
        <v>2793</v>
      </c>
      <c r="F31" s="33">
        <f t="shared" si="2"/>
        <v>-1744021.5560000082</v>
      </c>
      <c r="G31" s="33">
        <f>SUM(C25:C31)+F31+C23+C9+C7</f>
        <v>3422779.3739999919</v>
      </c>
      <c r="H31" s="23">
        <v>4.4499999999999998E-2</v>
      </c>
      <c r="I31" s="23">
        <v>7.7600000000000002E-2</v>
      </c>
    </row>
    <row r="32" spans="1:9">
      <c r="A32" s="24" t="s">
        <v>14</v>
      </c>
      <c r="B32" s="33">
        <v>5719255.9699999997</v>
      </c>
      <c r="C32" s="33">
        <v>-1630704.05</v>
      </c>
      <c r="D32" s="33">
        <v>-8970590.6500000004</v>
      </c>
      <c r="E32" s="33">
        <f t="shared" si="3"/>
        <v>-12496</v>
      </c>
      <c r="F32" s="33">
        <f t="shared" si="2"/>
        <v>-5007852.2360000089</v>
      </c>
      <c r="G32" s="33">
        <f>SUM(C25:C32)+F32+C23+C9+C7</f>
        <v>-1471755.3560000081</v>
      </c>
      <c r="H32" s="23">
        <v>4.4499999999999998E-2</v>
      </c>
      <c r="I32" s="23">
        <v>7.7600000000000002E-2</v>
      </c>
    </row>
    <row r="33" spans="1:9">
      <c r="A33" s="24" t="s">
        <v>15</v>
      </c>
      <c r="B33" s="33">
        <v>4877905.8099999996</v>
      </c>
      <c r="C33" s="33">
        <v>1748387.19</v>
      </c>
      <c r="D33" s="33">
        <v>-7603915.2000000002</v>
      </c>
      <c r="E33" s="33">
        <f t="shared" si="3"/>
        <v>-23625</v>
      </c>
      <c r="F33" s="33">
        <f t="shared" si="2"/>
        <v>-7757486.6260000095</v>
      </c>
      <c r="G33" s="36">
        <f>SUM(C25:C33)+F33+C23+C9+C7</f>
        <v>-2473002.5560000092</v>
      </c>
      <c r="H33" s="23">
        <v>4.4499999999999998E-2</v>
      </c>
      <c r="I33" s="23">
        <v>7.7600000000000002E-2</v>
      </c>
    </row>
    <row r="34" spans="1:9">
      <c r="A34" s="24" t="s">
        <v>16</v>
      </c>
      <c r="B34" s="37">
        <v>6144384.4266666658</v>
      </c>
      <c r="C34" s="37"/>
      <c r="D34" s="37">
        <v>-5545925.0247408478</v>
      </c>
      <c r="E34" s="33">
        <f t="shared" si="3"/>
        <v>-27658</v>
      </c>
      <c r="F34" s="33">
        <f t="shared" si="2"/>
        <v>-7186685.2240741914</v>
      </c>
      <c r="G34" s="33">
        <f>SUM(C25:C34)+F34+C23+C9+C7</f>
        <v>-1902201.1540741911</v>
      </c>
      <c r="H34" s="23">
        <v>4.4499999999999998E-2</v>
      </c>
      <c r="I34" s="23">
        <v>7.7600000000000002E-2</v>
      </c>
    </row>
    <row r="35" spans="1:9">
      <c r="A35" s="24" t="s">
        <v>17</v>
      </c>
      <c r="B35" s="37">
        <v>5570460.4266666668</v>
      </c>
      <c r="C35" s="37"/>
      <c r="D35" s="37">
        <v>-5615774.4933432378</v>
      </c>
      <c r="E35" s="33">
        <f t="shared" si="3"/>
        <v>-26735</v>
      </c>
      <c r="F35" s="33">
        <f t="shared" si="2"/>
        <v>-7258734.2907507624</v>
      </c>
      <c r="G35" s="33">
        <f>SUM(C25:C35)+F35+C23+C9+C7</f>
        <v>-1974250.2207507621</v>
      </c>
      <c r="H35" s="23">
        <v>4.4499999999999998E-2</v>
      </c>
      <c r="I35" s="23">
        <v>7.7600000000000002E-2</v>
      </c>
    </row>
    <row r="36" spans="1:9">
      <c r="A36" s="24" t="s">
        <v>18</v>
      </c>
      <c r="B36" s="37">
        <v>6318343.4266666658</v>
      </c>
      <c r="C36" s="37"/>
      <c r="D36" s="37">
        <v>-6195559.2145590475</v>
      </c>
      <c r="E36" s="33">
        <f t="shared" si="3"/>
        <v>-26690</v>
      </c>
      <c r="F36" s="33">
        <f t="shared" si="2"/>
        <v>-7162640.0786431441</v>
      </c>
      <c r="G36" s="33">
        <f>SUM(C25:C36)+F36+C23+C9+C7</f>
        <v>-1878156.0086431438</v>
      </c>
      <c r="H36" s="23">
        <v>4.4499999999999998E-2</v>
      </c>
      <c r="I36" s="23">
        <v>7.7600000000000002E-2</v>
      </c>
    </row>
    <row r="37" spans="1:9">
      <c r="A37" s="22" t="s">
        <v>22</v>
      </c>
      <c r="B37" s="35">
        <f>SUM(B25:B36)</f>
        <v>60692740.580000013</v>
      </c>
      <c r="C37" s="35">
        <f>SUM(C25:C36)</f>
        <v>-221774.90000000014</v>
      </c>
      <c r="D37" s="35">
        <f>SUM(D25:D36)</f>
        <v>-76656262.222643137</v>
      </c>
      <c r="E37" s="41">
        <f>SUM(E25:E36)</f>
        <v>37226</v>
      </c>
      <c r="F37" s="42"/>
      <c r="G37" s="42"/>
      <c r="H37" s="43"/>
      <c r="I37" s="28"/>
    </row>
    <row r="38" spans="1:9">
      <c r="A38" s="22"/>
      <c r="B38" s="34"/>
      <c r="C38" s="34"/>
      <c r="D38" s="34"/>
      <c r="E38" s="44"/>
      <c r="F38" s="42"/>
      <c r="G38" s="42"/>
      <c r="H38" s="43"/>
      <c r="I38" s="28"/>
    </row>
    <row r="39" spans="1:9">
      <c r="A39" s="24" t="s">
        <v>7</v>
      </c>
      <c r="B39" s="37">
        <v>5330533.8530633328</v>
      </c>
      <c r="C39" s="37"/>
      <c r="D39" s="37">
        <v>-5977194.8761992212</v>
      </c>
      <c r="E39" s="50"/>
      <c r="F39" s="50"/>
      <c r="G39" s="33">
        <f>+G36+B39+D39</f>
        <v>-2524817.0317790322</v>
      </c>
      <c r="H39" s="49" t="s">
        <v>24</v>
      </c>
      <c r="I39" s="23">
        <v>7.7600000000000002E-2</v>
      </c>
    </row>
    <row r="40" spans="1:9">
      <c r="A40" s="25" t="s">
        <v>8</v>
      </c>
      <c r="B40" s="37">
        <v>5330392.9930633325</v>
      </c>
      <c r="C40" s="37"/>
      <c r="D40" s="37">
        <v>-5279190.3703194177</v>
      </c>
      <c r="E40" s="50"/>
      <c r="F40" s="50"/>
      <c r="G40" s="33">
        <f t="shared" ref="G40:G50" si="4">+G39+B40+D40</f>
        <v>-2473614.4090351174</v>
      </c>
      <c r="H40" s="49" t="s">
        <v>24</v>
      </c>
      <c r="I40" s="23">
        <v>7.7600000000000002E-2</v>
      </c>
    </row>
    <row r="41" spans="1:9">
      <c r="A41" s="26" t="s">
        <v>9</v>
      </c>
      <c r="B41" s="37">
        <v>6345772.2730633328</v>
      </c>
      <c r="C41" s="37"/>
      <c r="D41" s="37">
        <v>-5536659.078345973</v>
      </c>
      <c r="E41" s="50"/>
      <c r="F41" s="50"/>
      <c r="G41" s="33">
        <f t="shared" si="4"/>
        <v>-1664501.2143177576</v>
      </c>
      <c r="H41" s="49" t="s">
        <v>24</v>
      </c>
      <c r="I41" s="23">
        <v>7.7600000000000002E-2</v>
      </c>
    </row>
    <row r="42" spans="1:9">
      <c r="A42" s="24" t="s">
        <v>10</v>
      </c>
      <c r="B42" s="37">
        <v>5832750.9930633325</v>
      </c>
      <c r="C42" s="37"/>
      <c r="D42" s="37">
        <v>-5221452.1406707941</v>
      </c>
      <c r="E42" s="50"/>
      <c r="F42" s="50"/>
      <c r="G42" s="33">
        <f t="shared" si="4"/>
        <v>-1053202.3619252192</v>
      </c>
      <c r="H42" s="49" t="s">
        <v>24</v>
      </c>
      <c r="I42" s="23">
        <v>7.7600000000000002E-2</v>
      </c>
    </row>
    <row r="43" spans="1:9">
      <c r="A43" s="25" t="s">
        <v>11</v>
      </c>
      <c r="B43" s="37">
        <v>5351990.8030633321</v>
      </c>
      <c r="C43" s="37"/>
      <c r="D43" s="37">
        <v>-6120595.002084367</v>
      </c>
      <c r="E43" s="50"/>
      <c r="F43" s="50"/>
      <c r="G43" s="33">
        <f t="shared" si="4"/>
        <v>-1821806.5609462541</v>
      </c>
      <c r="H43" s="49" t="s">
        <v>24</v>
      </c>
      <c r="I43" s="23">
        <v>7.7600000000000002E-2</v>
      </c>
    </row>
    <row r="44" spans="1:9">
      <c r="A44" s="25" t="s">
        <v>12</v>
      </c>
      <c r="B44" s="37">
        <v>5865012.0830633324</v>
      </c>
      <c r="C44" s="37"/>
      <c r="D44" s="37">
        <v>-6993020.728438681</v>
      </c>
      <c r="E44" s="50"/>
      <c r="F44" s="50"/>
      <c r="G44" s="33">
        <f t="shared" si="4"/>
        <v>-2949815.2063216027</v>
      </c>
      <c r="H44" s="49" t="s">
        <v>24</v>
      </c>
      <c r="I44" s="23">
        <v>7.7600000000000002E-2</v>
      </c>
    </row>
    <row r="45" spans="1:9">
      <c r="A45" s="24" t="s">
        <v>13</v>
      </c>
      <c r="B45" s="37">
        <v>5379927.1030633328</v>
      </c>
      <c r="C45" s="37"/>
      <c r="D45" s="37">
        <v>-8403742.378579542</v>
      </c>
      <c r="E45" s="50"/>
      <c r="F45" s="50"/>
      <c r="G45" s="33">
        <f t="shared" si="4"/>
        <v>-5973630.4818378119</v>
      </c>
      <c r="H45" s="49" t="s">
        <v>24</v>
      </c>
      <c r="I45" s="23">
        <v>7.7600000000000002E-2</v>
      </c>
    </row>
    <row r="46" spans="1:9">
      <c r="A46" s="24" t="s">
        <v>14</v>
      </c>
      <c r="B46" s="37">
        <v>5379927.1030633328</v>
      </c>
      <c r="C46" s="37"/>
      <c r="D46" s="37">
        <v>-8029765.8530469434</v>
      </c>
      <c r="E46" s="50"/>
      <c r="F46" s="50"/>
      <c r="G46" s="33">
        <f t="shared" si="4"/>
        <v>-8623469.2318214215</v>
      </c>
      <c r="H46" s="49" t="s">
        <v>24</v>
      </c>
      <c r="I46" s="23">
        <v>7.7600000000000002E-2</v>
      </c>
    </row>
    <row r="47" spans="1:9">
      <c r="A47" s="24" t="s">
        <v>15</v>
      </c>
      <c r="B47" s="37">
        <v>5865012.0830633324</v>
      </c>
      <c r="C47" s="37"/>
      <c r="D47" s="37">
        <v>-6672579.3546777768</v>
      </c>
      <c r="E47" s="50"/>
      <c r="F47" s="50"/>
      <c r="G47" s="33">
        <f t="shared" si="4"/>
        <v>-9431036.503435865</v>
      </c>
      <c r="H47" s="49" t="s">
        <v>24</v>
      </c>
      <c r="I47" s="23">
        <v>7.7600000000000002E-2</v>
      </c>
    </row>
    <row r="48" spans="1:9">
      <c r="A48" s="24" t="s">
        <v>16</v>
      </c>
      <c r="B48" s="37">
        <v>5358329.2930633323</v>
      </c>
      <c r="C48" s="37"/>
      <c r="D48" s="37">
        <v>-5366209.9499155832</v>
      </c>
      <c r="E48" s="50"/>
      <c r="F48" s="50"/>
      <c r="G48" s="33">
        <f t="shared" si="4"/>
        <v>-9438917.160288116</v>
      </c>
      <c r="H48" s="49" t="s">
        <v>24</v>
      </c>
      <c r="I48" s="23">
        <v>7.7600000000000002E-2</v>
      </c>
    </row>
    <row r="49" spans="1:9">
      <c r="A49" s="24" t="s">
        <v>17</v>
      </c>
      <c r="B49" s="37">
        <v>8457317.1730633322</v>
      </c>
      <c r="C49" s="37"/>
      <c r="D49" s="37">
        <v>-5394910.4409514172</v>
      </c>
      <c r="E49" s="50"/>
      <c r="F49" s="50"/>
      <c r="G49" s="33">
        <f t="shared" si="4"/>
        <v>-6376510.4281762009</v>
      </c>
      <c r="H49" s="49" t="s">
        <v>24</v>
      </c>
      <c r="I49" s="23">
        <v>7.7600000000000002E-2</v>
      </c>
    </row>
    <row r="50" spans="1:9">
      <c r="A50" s="24" t="s">
        <v>18</v>
      </c>
      <c r="B50" s="37">
        <v>5931542.763063333</v>
      </c>
      <c r="C50" s="37"/>
      <c r="D50" s="37">
        <v>-5939417.4191558268</v>
      </c>
      <c r="E50" s="50"/>
      <c r="F50" s="50"/>
      <c r="G50" s="33">
        <f t="shared" si="4"/>
        <v>-6384385.0842686947</v>
      </c>
      <c r="H50" s="49" t="s">
        <v>24</v>
      </c>
      <c r="I50" s="23">
        <v>7.7600000000000002E-2</v>
      </c>
    </row>
    <row r="51" spans="1:9">
      <c r="A51" s="22" t="s">
        <v>25</v>
      </c>
      <c r="B51" s="35">
        <f>SUM(B39:B50)</f>
        <v>70428508.516759992</v>
      </c>
      <c r="C51" s="35">
        <f>SUM(C39:C50)</f>
        <v>0</v>
      </c>
      <c r="D51" s="35">
        <f>SUM(D39:D50)</f>
        <v>-74934737.59238553</v>
      </c>
      <c r="E51" s="41">
        <f>SUM(E39:E50)</f>
        <v>0</v>
      </c>
      <c r="F51" s="42"/>
      <c r="G51" s="42"/>
      <c r="H51" s="43"/>
      <c r="I51" s="28"/>
    </row>
    <row r="52" spans="1:9" ht="9" customHeight="1">
      <c r="A52" s="22"/>
      <c r="B52" s="34"/>
      <c r="C52" s="34"/>
      <c r="D52" s="34"/>
      <c r="E52" s="44"/>
      <c r="F52" s="42"/>
      <c r="G52" s="42"/>
      <c r="H52" s="43"/>
      <c r="I52" s="28"/>
    </row>
    <row r="53" spans="1:9">
      <c r="A53" s="24" t="s">
        <v>23</v>
      </c>
      <c r="B53" s="38"/>
      <c r="C53" s="34">
        <f>+C23+C9+C37+C7</f>
        <v>5284484.07</v>
      </c>
      <c r="D53" s="38"/>
      <c r="E53" s="45"/>
      <c r="F53" s="45"/>
      <c r="G53" s="45"/>
      <c r="H53" s="46"/>
      <c r="I53" s="46"/>
    </row>
    <row r="54" spans="1:9" ht="20.25" customHeight="1">
      <c r="B54" s="38"/>
      <c r="C54" s="48"/>
      <c r="D54" s="38"/>
      <c r="E54" s="45"/>
      <c r="F54" s="45"/>
      <c r="G54" s="45"/>
      <c r="H54" s="46"/>
      <c r="I54" s="46"/>
    </row>
    <row r="55" spans="1:9">
      <c r="A55" s="29" t="s">
        <v>26</v>
      </c>
      <c r="B55" s="38"/>
      <c r="C55" s="38"/>
      <c r="D55" s="38"/>
      <c r="E55" s="38"/>
      <c r="F55" s="38"/>
      <c r="G55" s="38">
        <f>+G33</f>
        <v>-2473002.5560000092</v>
      </c>
    </row>
    <row r="56" spans="1:9" ht="8.25" customHeight="1">
      <c r="A56" s="30"/>
      <c r="B56" s="38"/>
      <c r="C56" s="38"/>
      <c r="D56" s="38"/>
      <c r="E56" s="38"/>
      <c r="F56" s="38"/>
      <c r="G56" s="38"/>
    </row>
    <row r="57" spans="1:9">
      <c r="A57" s="29" t="s">
        <v>27</v>
      </c>
      <c r="B57" s="38"/>
      <c r="C57" s="38"/>
      <c r="D57" s="38"/>
      <c r="E57" s="38"/>
      <c r="F57" s="38"/>
      <c r="G57" s="38">
        <f>+SUM(B34:B36)+SUM(B39:B50)</f>
        <v>88461696.796759993</v>
      </c>
    </row>
    <row r="58" spans="1:9">
      <c r="A58" s="29" t="s">
        <v>28</v>
      </c>
      <c r="B58" s="38"/>
      <c r="C58" s="38"/>
      <c r="D58" s="38"/>
      <c r="E58" s="38"/>
      <c r="F58" s="38"/>
      <c r="G58" s="38">
        <f>+SUM(E34:E36)+SUM(E39:E50)</f>
        <v>-81083</v>
      </c>
    </row>
    <row r="59" spans="1:9">
      <c r="A59" s="29" t="s">
        <v>29</v>
      </c>
      <c r="B59" s="38"/>
      <c r="C59" s="38"/>
      <c r="D59" s="38"/>
      <c r="E59" s="38"/>
      <c r="F59" s="38"/>
      <c r="G59" s="39">
        <f>SUM(G57:G58)</f>
        <v>88380613.796759993</v>
      </c>
    </row>
    <row r="60" spans="1:9" ht="9" customHeight="1">
      <c r="A60" s="30"/>
      <c r="B60" s="38"/>
      <c r="C60" s="38"/>
      <c r="D60" s="38"/>
      <c r="E60" s="38"/>
      <c r="F60" s="38"/>
      <c r="G60" s="38"/>
    </row>
    <row r="61" spans="1:9">
      <c r="A61" s="29" t="s">
        <v>31</v>
      </c>
      <c r="B61" s="38"/>
      <c r="C61" s="38"/>
      <c r="D61" s="38"/>
      <c r="E61" s="38"/>
      <c r="F61" s="38"/>
      <c r="G61" s="38">
        <f>SUM(D34:D36)+SUM(D39:D50)</f>
        <v>-92291996.325028658</v>
      </c>
    </row>
    <row r="62" spans="1:9" ht="9" customHeight="1">
      <c r="A62" s="31"/>
      <c r="B62" s="38"/>
      <c r="C62" s="38"/>
      <c r="D62" s="38"/>
      <c r="E62" s="38"/>
      <c r="F62" s="38"/>
      <c r="G62" s="38"/>
    </row>
    <row r="63" spans="1:9" ht="15" thickBot="1">
      <c r="A63" s="29" t="s">
        <v>30</v>
      </c>
      <c r="B63" s="38"/>
      <c r="C63" s="38"/>
      <c r="D63" s="38"/>
      <c r="E63" s="38"/>
      <c r="F63" s="38"/>
      <c r="G63" s="40">
        <f>+G55+G59+G61</f>
        <v>-6384385.0842686743</v>
      </c>
    </row>
    <row r="64" spans="1:9" ht="15" thickTop="1">
      <c r="A64" s="30"/>
      <c r="B64" s="38"/>
      <c r="C64" s="38"/>
      <c r="D64" s="38"/>
      <c r="E64" s="38"/>
      <c r="F64" s="38"/>
      <c r="G64" s="38"/>
    </row>
    <row r="65" spans="1:7">
      <c r="A65" s="32" t="s">
        <v>20</v>
      </c>
      <c r="B65" s="38"/>
      <c r="C65" s="38"/>
      <c r="D65" s="38"/>
      <c r="E65" s="38"/>
      <c r="F65" s="38"/>
      <c r="G65" s="38"/>
    </row>
    <row r="66" spans="1:7">
      <c r="A66" s="32" t="s">
        <v>32</v>
      </c>
      <c r="B66" s="38"/>
      <c r="C66" s="45"/>
      <c r="D66" s="45"/>
      <c r="E66" s="38"/>
      <c r="F66" s="38"/>
      <c r="G66" s="38"/>
    </row>
    <row r="67" spans="1:7" ht="14.25" customHeight="1">
      <c r="A67" s="32" t="s">
        <v>34</v>
      </c>
      <c r="B67" s="45"/>
      <c r="C67" s="45"/>
      <c r="D67" s="45"/>
      <c r="E67" s="45"/>
      <c r="F67" s="45"/>
      <c r="G67" s="38"/>
    </row>
    <row r="68" spans="1:7">
      <c r="A68" s="32" t="s">
        <v>33</v>
      </c>
    </row>
  </sheetData>
  <mergeCells count="1">
    <mergeCell ref="A3:I3"/>
  </mergeCells>
  <pageMargins left="0.7" right="0.45" top="0.75" bottom="0.75" header="0.3" footer="0.3"/>
  <pageSetup scale="68" orientation="portrait" r:id="rId1"/>
  <ignoredErrors>
    <ignoredError sqref="B10 B23:D23 E23 F36 F25 F26 F27 F28 F29 F30 F31 F32 F33 F34 F35 D24 E25:E32 E51 B51:D51 D37 C38:E38 C37 E37 E33:E36 B37 B38 G39:G50 E12:E14 E15:E21 F21 F20 F19 F18 F17 F16 F15 F14 F13 F12 F22 E11:G11 E22 G22 G25 G33:G36 C53" unlockedFormula="1"/>
    <ignoredError sqref="G21 G20 G19 G18 G17 G16 G15 G14 G13 G12 G26:G32" formulaRange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Reconciliation - Exh B</vt:lpstr>
      <vt:lpstr>'Current Reconciliation - Exh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2016-11-23T21:01:08Z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