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T15\"/>
    </mc:Choice>
  </mc:AlternateContent>
  <bookViews>
    <workbookView xWindow="240" yWindow="360" windowWidth="18900" windowHeight="8565" activeTab="2"/>
  </bookViews>
  <sheets>
    <sheet name="RateSpread-1" sheetId="2" r:id="rId1"/>
    <sheet name="Rate Design" sheetId="4" r:id="rId2"/>
    <sheet name="Rate Spread" sheetId="6" r:id="rId3"/>
    <sheet name="Res Bill Impact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123Graph_A" localSheetId="0" hidden="1">[3]Inputs!#REF!</definedName>
    <definedName name="__123Graph_A" hidden="1">[3]Inputs!#REF!</definedName>
    <definedName name="__123Graph_B" localSheetId="0" hidden="1">[3]Inputs!#REF!</definedName>
    <definedName name="__123Graph_B" hidden="1">[3]Inputs!#REF!</definedName>
    <definedName name="__123Graph_D" localSheetId="0" hidden="1">[3]Inputs!#REF!</definedName>
    <definedName name="__123Graph_D" hidden="1">[3]Inputs!#REF!</definedName>
    <definedName name="__MEN3" localSheetId="0">[1]Jan!#REF!</definedName>
    <definedName name="__MEN3">[1]Jan!#REF!</definedName>
    <definedName name="__TOP1" localSheetId="0">[1]Jan!#REF!</definedName>
    <definedName name="__TOP1">[1]Jan!#REF!</definedName>
    <definedName name="_1Price_Ta" localSheetId="0">#REF!</definedName>
    <definedName name="_1Price_Ta">#REF!</definedName>
    <definedName name="_3Price_Ta" localSheetId="0">#REF!</definedName>
    <definedName name="_3Price_Ta">#REF!</definedName>
    <definedName name="_5Price_Ta" localSheetId="0">#REF!</definedName>
    <definedName name="_5Price_Ta">#REF!</definedName>
    <definedName name="_B" localSheetId="0">#REF!</definedName>
    <definedName name="_B">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rder1" localSheetId="0" hidden="1">255</definedName>
    <definedName name="_Order1" hidden="1">255</definedName>
    <definedName name="_Order2" localSheetId="0" hidden="1">255</definedName>
    <definedName name="_Order2" hidden="1">255</definedName>
    <definedName name="_P" localSheetId="0">#REF!</definedName>
    <definedName name="_P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PL" localSheetId="0">#REF!</definedName>
    <definedName name="_SPL">#REF!</definedName>
    <definedName name="_TOP1" localSheetId="0">[1]Jan!#REF!</definedName>
    <definedName name="_TOP1">[1]Jan!#REF!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t108D_S">[4]FuncStudy!$F$2067</definedName>
    <definedName name="Acct108D00S">[4]FuncStudy!$F$2059</definedName>
    <definedName name="Acct108DSS">[4]FuncStudy!$F$2063</definedName>
    <definedName name="Acct228.42TROJD" localSheetId="0">'[5]Func Study'!#REF!</definedName>
    <definedName name="Acct228.42TROJD">'[5]Func Study'!#REF!</definedName>
    <definedName name="ACCT2281">[4]FuncStudy!$F$1848</definedName>
    <definedName name="Acct2282">[4]FuncStudy!$F$1852</definedName>
    <definedName name="Acct2283">[4]FuncStudy!$F$1857</definedName>
    <definedName name="Acct2283S">[4]FuncStudy!$F$1861</definedName>
    <definedName name="Acct22842">[4]FuncStudy!$F$1870</definedName>
    <definedName name="Acct22842TROJD" localSheetId="0">'[5]Func Study'!#REF!</definedName>
    <definedName name="Acct22842TROJD">'[5]Func Study'!#REF!</definedName>
    <definedName name="Acct228SO">[4]FuncStudy!$F$1851</definedName>
    <definedName name="ACCT25398">[4]FuncStudy!$F$1882</definedName>
    <definedName name="Acct25399">[4]FuncStudy!$F$1889</definedName>
    <definedName name="Acct254">[4]FuncStudy!$F$1866</definedName>
    <definedName name="Acct282DITBAL">[4]FuncStudy!$F$1914</definedName>
    <definedName name="Acct350">[4]FuncStudy!$F$1324</definedName>
    <definedName name="Acct352">[4]FuncStudy!$F$1331</definedName>
    <definedName name="Acct353">[4]FuncStudy!$F$1337</definedName>
    <definedName name="Acct354">[4]FuncStudy!$F$1343</definedName>
    <definedName name="Acct355">[4]FuncStudy!$F$1349</definedName>
    <definedName name="Acct356">[4]FuncStudy!$F$1355</definedName>
    <definedName name="Acct357">[4]FuncStudy!$F$1361</definedName>
    <definedName name="Acct358">[4]FuncStudy!$F$1367</definedName>
    <definedName name="Acct359">[4]FuncStudy!$F$1373</definedName>
    <definedName name="Acct360">[4]FuncStudy!$F$1389</definedName>
    <definedName name="Acct361">[4]FuncStudy!$F$1395</definedName>
    <definedName name="Acct362">[4]FuncStudy!$F$1401</definedName>
    <definedName name="Acct364">[4]FuncStudy!$F$1408</definedName>
    <definedName name="Acct365">[4]FuncStudy!$F$1415</definedName>
    <definedName name="Acct366">[4]FuncStudy!$F$1422</definedName>
    <definedName name="Acct367">[4]FuncStudy!$F$1429</definedName>
    <definedName name="Acct368">[4]FuncStudy!$F$1435</definedName>
    <definedName name="Acct369">[4]FuncStudy!$F$1442</definedName>
    <definedName name="Acct370">[4]FuncStudy!$F$1448</definedName>
    <definedName name="Acct371">[4]FuncStudy!$F$1455</definedName>
    <definedName name="Acct372">[4]FuncStudy!$F$1462</definedName>
    <definedName name="Acct372A">[4]FuncStudy!$F$1461</definedName>
    <definedName name="Acct372DP">[4]FuncStudy!$F$1459</definedName>
    <definedName name="Acct372DS">[4]FuncStudy!$F$1460</definedName>
    <definedName name="Acct373">[4]FuncStudy!$F$1468</definedName>
    <definedName name="Acct444S">[4]FuncStudy!$F$105</definedName>
    <definedName name="Acct447DGU" localSheetId="0">'[5]Func Study'!#REF!</definedName>
    <definedName name="Acct447DGU">'[5]Func Study'!#REF!</definedName>
    <definedName name="Acct448S">[4]FuncStudy!$F$114</definedName>
    <definedName name="Acct450S">[4]FuncStudy!$F$139</definedName>
    <definedName name="Acct451S">[4]FuncStudy!$F$144</definedName>
    <definedName name="Acct454S">[4]FuncStudy!$F$154</definedName>
    <definedName name="Acct456S">[4]FuncStudy!$F$160</definedName>
    <definedName name="Acct580">[4]FuncStudy!$F$537</definedName>
    <definedName name="Acct581">[4]FuncStudy!$F$542</definedName>
    <definedName name="Acct582">[4]FuncStudy!$F$547</definedName>
    <definedName name="Acct583">[4]FuncStudy!$F$552</definedName>
    <definedName name="Acct584">[4]FuncStudy!$F$557</definedName>
    <definedName name="Acct585">[4]FuncStudy!$F$562</definedName>
    <definedName name="Acct586">[4]FuncStudy!$F$567</definedName>
    <definedName name="Acct587">[4]FuncStudy!$F$572</definedName>
    <definedName name="Acct588">[4]FuncStudy!$F$577</definedName>
    <definedName name="Acct589">[4]FuncStudy!$F$582</definedName>
    <definedName name="Acct590">[4]FuncStudy!$F$587</definedName>
    <definedName name="Acct591">[4]FuncStudy!$F$592</definedName>
    <definedName name="Acct592">[4]FuncStudy!$F$597</definedName>
    <definedName name="Acct593">[4]FuncStudy!$F$602</definedName>
    <definedName name="Acct594">[4]FuncStudy!$F$607</definedName>
    <definedName name="Acct595">[4]FuncStudy!$F$612</definedName>
    <definedName name="Acct596">[4]FuncStudy!$F$617</definedName>
    <definedName name="Acct597">[4]FuncStudy!$F$622</definedName>
    <definedName name="Acct598">[4]FuncStudy!$F$627</definedName>
    <definedName name="Acct928RE">[4]FuncStudy!$F$750</definedName>
    <definedName name="AcctAGA">[4]FuncStudy!$F$133</definedName>
    <definedName name="AcctTable">[6]Variables!$AK$42:$AK$396</definedName>
    <definedName name="AcctTS0">[4]FuncStudy!$F$1381</definedName>
    <definedName name="ActualROE">[7]FuncStudy!$E$61</definedName>
    <definedName name="actualror">[8]WorkArea!$F$86</definedName>
    <definedName name="Adjs2avg">[9]Inputs!$L$255:'[9]Inputs'!$T$505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#REF!</definedName>
    <definedName name="APR">#REF!</definedName>
    <definedName name="APRT" localSheetId="0">#REF!</definedName>
    <definedName name="APRT">#REF!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gFactors">[6]Factors!$B$3:$P$99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cap">[10]Readings!$B$2</definedName>
    <definedName name="Capacity" localSheetId="0">#REF!</definedName>
    <definedName name="Capacity">#REF!</definedName>
    <definedName name="Check" localSheetId="0">#REF!</definedName>
    <definedName name="Check">#REF!</definedName>
    <definedName name="Classification">[4]FuncStudy!$Y$91</definedName>
    <definedName name="COMADJ" localSheetId="0">#REF!</definedName>
    <definedName name="COMADJ">#REF!</definedName>
    <definedName name="Comn">[7]Inputs!$K$21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py" localSheetId="0" hidden="1">#REF!</definedName>
    <definedName name="copy" hidden="1">#REF!</definedName>
    <definedName name="COSFacVal">[4]Inputs!$W$11</definedName>
    <definedName name="_xlnm.Database" localSheetId="0">[11]Invoice!#REF!</definedName>
    <definedName name="_xlnm.Database">[11]Invoice!#REF!</definedName>
    <definedName name="DATE" localSheetId="0">[12]Jan!#REF!</definedName>
    <definedName name="DATE">[12]Jan!#REF!</definedName>
    <definedName name="Debt_">[7]Inputs!$K$19</definedName>
    <definedName name="DEC" localSheetId="0">#REF!</definedName>
    <definedName name="DEC">#REF!</definedName>
    <definedName name="DECT" localSheetId="0">#REF!</definedName>
    <definedName name="DECT">#REF!</definedName>
    <definedName name="Demand">[5]Inputs!$D$8</definedName>
    <definedName name="Demand2">[4]Inputs!$D$10</definedName>
    <definedName name="Dis">[4]FuncStudy!$Y$90</definedName>
    <definedName name="DisFac">'[4]Func Dist Factor Table'!$A$11:$G$25</definedName>
    <definedName name="Dist_factor" localSheetId="0">#REF!</definedName>
    <definedName name="Dist_factor">#REF!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ergy">[10]Readings!$B$3</definedName>
    <definedName name="Engy">[5]Inputs!$D$9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ck">'[4]COS Factor Table'!$Q$15:$Q$136</definedName>
    <definedName name="FactorType">[6]Variables!$AK$2:$AL$12</definedName>
    <definedName name="FACTP" localSheetId="0">#REF!</definedName>
    <definedName name="FACTP">#REF!</definedName>
    <definedName name="FactSum">'[4]COS Factor Table'!$A$14:$Q$137</definedName>
    <definedName name="FEB" localSheetId="0">#REF!</definedName>
    <definedName name="FEB">#REF!</definedName>
    <definedName name="FEBT" localSheetId="0">#REF!</definedName>
    <definedName name="FEBT">#REF!</definedName>
    <definedName name="FIX" localSheetId="0">#REF!</definedName>
    <definedName name="FIX">#REF!</definedName>
    <definedName name="FranchiseTax">[9]Variables!$D$26</definedName>
    <definedName name="Func">'[4]Func Factor Table'!$A$10:$H$76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Function">[4]FuncStudy!$Y$90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TaxOptVal">[4]Inputs!$Y$11</definedName>
    <definedName name="INDADJ" localSheetId="0">#REF!</definedName>
    <definedName name="INDADJ">#REF!</definedName>
    <definedName name="INPUT" localSheetId="0">[13]Summary!#REF!</definedName>
    <definedName name="INPUT">[13]Summary!#REF!</definedName>
    <definedName name="Instructions" localSheetId="0">#REF!</definedName>
    <definedName name="Instructions">#REF!</definedName>
    <definedName name="IRR" localSheetId="0">#REF!</definedName>
    <definedName name="IRR">#REF!</definedName>
    <definedName name="IRRIGATION" localSheetId="0">#REF!</definedName>
    <definedName name="IRRIGATION">#REF!</definedName>
    <definedName name="JAN" localSheetId="0">#REF!</definedName>
    <definedName name="JAN">#REF!</definedName>
    <definedName name="JANT" localSheetId="0">#REF!</definedName>
    <definedName name="JANT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T" localSheetId="0">#REF!</definedName>
    <definedName name="JUNT">#REF!</definedName>
    <definedName name="Jurisdiction">[6]Variables!$AK$15</definedName>
    <definedName name="JurisNumber">[6]Variables!$AL$15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imcount" hidden="1">1</definedName>
    <definedName name="Line_Ext_Credit" localSheetId="0">#REF!</definedName>
    <definedName name="Line_Ext_Credit">#REF!</definedName>
    <definedName name="LinkCos">'[4]JAM Download'!$I$4</definedName>
    <definedName name="LOG" localSheetId="0">[14]Backup!#REF!</definedName>
    <definedName name="LOG">[14]Backup!#REF!</definedName>
    <definedName name="LOSS" localSheetId="0">[14]Backup!#REF!</definedName>
    <definedName name="LOSS">[14]Backup!#REF!</definedName>
    <definedName name="MACTIT" localSheetId="0">#REF!</definedName>
    <definedName name="MACTIT">#REF!</definedName>
    <definedName name="MAR" localSheetId="0">#REF!</definedName>
    <definedName name="MAR">#REF!</definedName>
    <definedName name="MART" localSheetId="0">#REF!</definedName>
    <definedName name="MART">#REF!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[15]MacroBuilder!#REF!</definedName>
    <definedName name="Menu_Large">[15]MacroBuilder!#REF!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[15]MacroBuilder!#REF!</definedName>
    <definedName name="Menu_Small">[15]MacroBuilder!#REF!</definedName>
    <definedName name="Method">[5]Inputs!$C$6</definedName>
    <definedName name="MONTH" localSheetId="0">[14]Backup!#REF!</definedName>
    <definedName name="MONTH">[14]Backup!#REF!</definedName>
    <definedName name="monthlist">[16]Table!$R$2:$S$13</definedName>
    <definedName name="monthtotals">'[16]WA SBC'!$D$40:$O$40</definedName>
    <definedName name="MSPAverageInput" localSheetId="0">[17]Inputs!#REF!</definedName>
    <definedName name="MSPAverageInput">[17]Inputs!#REF!</definedName>
    <definedName name="MSPYearEndInput" localSheetId="0">[17]Inputs!#REF!</definedName>
    <definedName name="MSPYearEndInput">[17]Inputs!#REF!</definedName>
    <definedName name="MTKWH" localSheetId="0">#REF!</definedName>
    <definedName name="MTKWH">#REF!</definedName>
    <definedName name="MTR_YR3">[18]Variables!$E$14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LagDays">[4]Inputs!$H$23</definedName>
    <definedName name="NetToGross">[9]Variables!$D$23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 localSheetId="0">#REF!</definedName>
    <definedName name="NOVT">#REF!</definedName>
    <definedName name="NUM" localSheetId="0">#REF!</definedName>
    <definedName name="NUM">#REF!</definedName>
    <definedName name="OCT" localSheetId="0">#REF!</definedName>
    <definedName name="OCT">#REF!</definedName>
    <definedName name="OCTT" localSheetId="0">#REF!</definedName>
    <definedName name="OCTT">#REF!</definedName>
    <definedName name="OH">[4]Inputs!$D$24</definedName>
    <definedName name="ONE" localSheetId="0">[1]Jan!#REF!</definedName>
    <definedName name="ONE">[1]Jan!#REF!</definedName>
    <definedName name="option">'[8]Dist Misc'!$F$120</definedName>
    <definedName name="OR_305_12mo_endg_200203" localSheetId="0">#REF!</definedName>
    <definedName name="OR_305_12mo_endg_200203">#REF!</definedName>
    <definedName name="P" localSheetId="0">#REF!</definedName>
    <definedName name="P">#REF!</definedName>
    <definedName name="page1" localSheetId="0">[13]Summary!#REF!</definedName>
    <definedName name="page1">[13]Summary!#REF!</definedName>
    <definedName name="Page2" localSheetId="0">'[19]Summary Table - Earned'!#REF!</definedName>
    <definedName name="Page2">'[19]Summary Table - Earned'!#REF!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[15]TransInvest!#REF!</definedName>
    <definedName name="Page62">[15]TransInvest!#REF!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[5]Inputs!$T$5</definedName>
    <definedName name="PLUG" localSheetId="0">#REF!</definedName>
    <definedName name="PLUG">#REF!</definedName>
    <definedName name="PMAC" localSheetId="0">[14]Backup!#REF!</definedName>
    <definedName name="PMAC">[14]Backup!#REF!</definedName>
    <definedName name="Pref_">[7]Inputs!$K$20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_xlnm.Print_Area" localSheetId="0">'RateSpread-1'!$A$1:$Q$53</definedName>
    <definedName name="_xlnm.Print_Area" localSheetId="3">'Res Bill Impact'!$A$1:$X$40</definedName>
    <definedName name="_xlnm.Print_Area">#REF!</definedName>
    <definedName name="_xlnm.Print_Titles" localSheetId="1">'Rate Design'!$1:$10</definedName>
    <definedName name="_xlnm.Print_Titles" localSheetId="0">'RateSpread-1'!$A:$K,'RateSpread-1'!$9:$13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[9]Variables!$D$28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SAPBEXwbID" hidden="1">"45EQYSCWE9WJMGB34OOD1BOQZ"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g" localSheetId="0">#REF!</definedName>
    <definedName name="sg">#REF!</definedName>
    <definedName name="SITRate">[4]Inputs!$H$20</definedName>
    <definedName name="START" localSheetId="0">[1]Jan!#REF!</definedName>
    <definedName name="START">[1]Jan!#REF!</definedName>
    <definedName name="State">[4]Inputs!$C$5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rgetROR">[20]Inputs!$L$6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Period">[4]Inputs!$C$6</definedName>
    <definedName name="TotalRateBase">'[4]G+T+D+R+M'!$H$58</definedName>
    <definedName name="TotTaxRate">[4]Inputs!$H$17</definedName>
    <definedName name="TRANSM_2">[21]Transm2!$A$1:$M$461:'[21]10 Yr FC'!$M$47</definedName>
    <definedName name="UAACT550SGW">[4]FuncStudy!$Y$406</definedName>
    <definedName name="UAACT554SGW">[4]FuncStudy!$Y$428</definedName>
    <definedName name="UAcct103">[4]FuncStudy!$Y$1316</definedName>
    <definedName name="UAcct105S">[4]FuncStudy!$Y$1674</definedName>
    <definedName name="UAcct105SEU">[4]FuncStudy!$Y$1678</definedName>
    <definedName name="UAcct105SGG">[4]FuncStudy!$Y$1679</definedName>
    <definedName name="UAcct105SGP1">[4]FuncStudy!$Y$1675</definedName>
    <definedName name="UAcct105SGP2">[4]FuncStudy!$Y$1677</definedName>
    <definedName name="UAcct105SGT">[4]FuncStudy!$Y$1676</definedName>
    <definedName name="UAcct1081390">[4]FuncStudy!$Y$2101</definedName>
    <definedName name="UAcct1081390Rcl">[4]FuncStudy!$Y$2100</definedName>
    <definedName name="UAcct1081399">[4]FuncStudy!$Y$2109</definedName>
    <definedName name="UAcct1081399Rcl">[4]FuncStudy!$Y$2108</definedName>
    <definedName name="UAcct108360">[4]FuncStudy!$Y$2008</definedName>
    <definedName name="UAcct108361">[4]FuncStudy!$Y$2012</definedName>
    <definedName name="UAcct108362">[4]FuncStudy!$Y$2016</definedName>
    <definedName name="UAcct108364">[4]FuncStudy!$Y$2020</definedName>
    <definedName name="UAcct108365">[4]FuncStudy!$Y$2024</definedName>
    <definedName name="UAcct108366">[4]FuncStudy!$Y$2028</definedName>
    <definedName name="UAcct108367">[4]FuncStudy!$Y$2032</definedName>
    <definedName name="UAcct108368">[4]FuncStudy!$Y$2036</definedName>
    <definedName name="UAcct108369">[4]FuncStudy!$Y$2040</definedName>
    <definedName name="UAcct108370">[4]FuncStudy!$Y$2044</definedName>
    <definedName name="UAcct108371">[4]FuncStudy!$Y$2048</definedName>
    <definedName name="UAcct108372">[4]FuncStudy!$Y$2052</definedName>
    <definedName name="UAcct108373">[4]FuncStudy!$Y$2056</definedName>
    <definedName name="UAcct108D">[4]FuncStudy!$Y$2068</definedName>
    <definedName name="UAcct108D00">[4]FuncStudy!$Y$2060</definedName>
    <definedName name="UAcct108Ds">[4]FuncStudy!$Y$2064</definedName>
    <definedName name="UAcct108Ep">[4]FuncStudy!$Y$1990</definedName>
    <definedName name="UAcct108Gpcn">[4]FuncStudy!$Y$2078</definedName>
    <definedName name="UAcct108Gps">[4]FuncStudy!$Y$2074</definedName>
    <definedName name="UAcct108Gpse">[4]FuncStudy!$Y$2080</definedName>
    <definedName name="UAcct108Gpsg">[4]FuncStudy!$Y$2077</definedName>
    <definedName name="UAcct108Gpsgp">[4]FuncStudy!$Y$2075</definedName>
    <definedName name="UAcct108Gpsgu">[4]FuncStudy!$Y$2076</definedName>
    <definedName name="UAcct108Gpso">[4]FuncStudy!$Y$2079</definedName>
    <definedName name="UACCT108GPSSGCH">[4]FuncStudy!$Y$2082</definedName>
    <definedName name="UACCT108GPSSGCT">[4]FuncStudy!$Y$2081</definedName>
    <definedName name="UAcct108Hp">[4]FuncStudy!$Y$1977</definedName>
    <definedName name="UAcct108Mp">[4]FuncStudy!$Y$2094</definedName>
    <definedName name="UAcct108Np">[4]FuncStudy!$Y$1970</definedName>
    <definedName name="UAcct108Op">[4]FuncStudy!$Y$1985</definedName>
    <definedName name="UAcct108Opsgw">[4]FuncStudy!$Y$1982</definedName>
    <definedName name="UAcct108OPSSGCT">[4]FuncStudy!$Y$1984</definedName>
    <definedName name="UAcct108Sp">[4]FuncStudy!$Y$1964</definedName>
    <definedName name="uacct108spssgch">[4]FuncStudy!$Y$1963</definedName>
    <definedName name="UAcct108Tp">[4]FuncStudy!$Y$2004</definedName>
    <definedName name="UAcct111390">[4]FuncStudy!$Y$2161</definedName>
    <definedName name="UAcct111Clg">[4]FuncStudy!$Y$2130</definedName>
    <definedName name="UAcct111Clgcn">[4]FuncStudy!$Y$2126</definedName>
    <definedName name="UAcct111Clgsop">[4]FuncStudy!$Y$2129</definedName>
    <definedName name="UAcct111Clgsou">[4]FuncStudy!$Y$2128</definedName>
    <definedName name="UAcct111Clh">[4]FuncStudy!$Y$2136</definedName>
    <definedName name="UAcct111Cls">[4]FuncStudy!$Y$2121</definedName>
    <definedName name="UAcct111Ipcn">[4]FuncStudy!$Y$2145</definedName>
    <definedName name="UAcct111Ips">[4]FuncStudy!$Y$2140</definedName>
    <definedName name="UAcct111Ipse">[4]FuncStudy!$Y$2143</definedName>
    <definedName name="UAcct111Ipsg">[4]FuncStudy!$Y$2144</definedName>
    <definedName name="UAcct111Ipsgp">[4]FuncStudy!$Y$2141</definedName>
    <definedName name="UAcct111Ipsgu">[4]FuncStudy!$Y$2142</definedName>
    <definedName name="uacct111ipso">[4]FuncStudy!$Y$2148</definedName>
    <definedName name="UACCT111IPSSGCH">[4]FuncStudy!$Y$2147</definedName>
    <definedName name="UAcct114">[4]FuncStudy!$Y$1686</definedName>
    <definedName name="UAcct120">[4]FuncStudy!$Y$1690</definedName>
    <definedName name="UAcct124">[4]FuncStudy!$Y$1695</definedName>
    <definedName name="UAcct141">[4]FuncStudy!$Y$1835</definedName>
    <definedName name="UAcct151">[4]FuncStudy!$Y$1717</definedName>
    <definedName name="uacct151ssech">[4]FuncStudy!$Y$1716</definedName>
    <definedName name="UAcct154">[4]FuncStudy!$Y$1751</definedName>
    <definedName name="uacct154ssgch">[4]FuncStudy!$Y$1750</definedName>
    <definedName name="UAcct163">[4]FuncStudy!$Y$1756</definedName>
    <definedName name="UAcct165">[4]FuncStudy!$Y$1771</definedName>
    <definedName name="UAcct165Se">[4]FuncStudy!$Y$1769</definedName>
    <definedName name="UAcct182">[4]FuncStudy!$Y$1702</definedName>
    <definedName name="UAcct18222">[4]FuncStudy!$Y$1825</definedName>
    <definedName name="UAcct182M">[4]FuncStudy!$Y$1781</definedName>
    <definedName name="UAcct182MSSGCT">[4]FuncStudy!$Y$1779</definedName>
    <definedName name="UAcct186">[4]FuncStudy!$Y$1710</definedName>
    <definedName name="UAcct1869">[4]FuncStudy!$Y$1830</definedName>
    <definedName name="UAcct186M">[4]FuncStudy!$Y$1792</definedName>
    <definedName name="UAcct186Mse">[4]FuncStudy!$Y$1789</definedName>
    <definedName name="UAcct190">[4]FuncStudy!$Y$1904</definedName>
    <definedName name="UAcct190CN">[4]FuncStudy!$Y$1893</definedName>
    <definedName name="UAcct190Dop">[4]FuncStudy!$Y$1894</definedName>
    <definedName name="UACCT190IBT">[4]FuncStudy!$Y$1896</definedName>
    <definedName name="UACCT190SSGCT">[4]FuncStudy!$Y$1903</definedName>
    <definedName name="UACCT2281">[4]FuncStudy!$Y$1848</definedName>
    <definedName name="UAcct2282">[4]FuncStudy!$Y$1852</definedName>
    <definedName name="UAcct2283">[4]FuncStudy!$Y$1857</definedName>
    <definedName name="UAcct2283S">[4]FuncStudy!$Y$1861</definedName>
    <definedName name="UAcct22842">[4]FuncStudy!$Y$1870</definedName>
    <definedName name="UAcct22842Trojd" localSheetId="0">'[5]Func Study'!#REF!</definedName>
    <definedName name="UAcct22842Trojd">'[5]Func Study'!#REF!</definedName>
    <definedName name="UAcct235">[4]FuncStudy!$Y$1844</definedName>
    <definedName name="UAcct252">[4]FuncStudy!$Y$1878</definedName>
    <definedName name="UAcct25316">[4]FuncStudy!$Y$1725</definedName>
    <definedName name="UAcct25317">[4]FuncStudy!$Y$1729</definedName>
    <definedName name="UAcct25318">[4]FuncStudy!$Y$1761</definedName>
    <definedName name="UAcct25319">[4]FuncStudy!$Y$1733</definedName>
    <definedName name="UACCT25398">[4]FuncStudy!$Y$1882</definedName>
    <definedName name="UAcct25399">[4]FuncStudy!$Y$1889</definedName>
    <definedName name="UAcct254">[4]FuncStudy!$Y$1866</definedName>
    <definedName name="UACCT254SO">[4]FuncStudy!$Y$1865</definedName>
    <definedName name="UAcct255">[4]FuncStudy!$Y$1954</definedName>
    <definedName name="UAcct281">[4]FuncStudy!$Y$1910</definedName>
    <definedName name="UAcct282">[4]FuncStudy!$Y$1928</definedName>
    <definedName name="UAcct282So">[4]FuncStudy!$Y$1916</definedName>
    <definedName name="UAcct283">[4]FuncStudy!$Y$1941</definedName>
    <definedName name="UAcct283So">[4]FuncStudy!$Y$1934</definedName>
    <definedName name="UAcct301S">[4]FuncStudy!$Y$1637</definedName>
    <definedName name="UAcct301Sg">[4]FuncStudy!$Y$1639</definedName>
    <definedName name="UAcct301So">[4]FuncStudy!$Y$1638</definedName>
    <definedName name="UAcct302S">[4]FuncStudy!$Y$1642</definedName>
    <definedName name="UAcct302Sg">[4]FuncStudy!$Y$1643</definedName>
    <definedName name="UAcct302Sgp">[4]FuncStudy!$Y$1644</definedName>
    <definedName name="UAcct302Sgu">[4]FuncStudy!$Y$1645</definedName>
    <definedName name="UAcct303Cn">[4]FuncStudy!$Y$1653</definedName>
    <definedName name="UAcct303S">[4]FuncStudy!$Y$1649</definedName>
    <definedName name="UAcct303Se">[4]FuncStudy!$Y$1652</definedName>
    <definedName name="UAcct303Sg">[4]FuncStudy!$Y$1650</definedName>
    <definedName name="UAcct303So">[4]FuncStudy!$Y$1651</definedName>
    <definedName name="UACCT303SSGCT">[4]FuncStudy!$Y$1655</definedName>
    <definedName name="UAcct310">[4]FuncStudy!$Y$1152</definedName>
    <definedName name="uacct310ssgch">[4]FuncStudy!$Y$1151</definedName>
    <definedName name="UAcct311">[4]FuncStudy!$Y$1157</definedName>
    <definedName name="uacct311ssgch">[4]FuncStudy!$Y$1156</definedName>
    <definedName name="UAcct312">[4]FuncStudy!$Y$1162</definedName>
    <definedName name="uacct312ssgch">[4]FuncStudy!$Y$1161</definedName>
    <definedName name="UAcct314">[4]FuncStudy!$Y$1167</definedName>
    <definedName name="uacct314ssgch">[4]FuncStudy!$Y$1166</definedName>
    <definedName name="UAcct315">[4]FuncStudy!$Y$1172</definedName>
    <definedName name="uacct315ssgch">[4]FuncStudy!$Y$1171</definedName>
    <definedName name="UAcct316">[4]FuncStudy!$Y$1177</definedName>
    <definedName name="uacct316ssgch">[4]FuncStudy!$Y$1176</definedName>
    <definedName name="UAcct320">[4]FuncStudy!$Y$1189</definedName>
    <definedName name="UAcct321">[4]FuncStudy!$Y$1193</definedName>
    <definedName name="UAcct322">[4]FuncStudy!$Y$1197</definedName>
    <definedName name="UAcct323">[4]FuncStudy!$Y$1201</definedName>
    <definedName name="UAcct324">[4]FuncStudy!$Y$1205</definedName>
    <definedName name="UAcct325">[4]FuncStudy!$Y$1209</definedName>
    <definedName name="UAcct33">[4]FuncStudy!$Y$131</definedName>
    <definedName name="UAcct330">[4]FuncStudy!$Y$1222</definedName>
    <definedName name="UAcct331">[4]FuncStudy!$Y$1227</definedName>
    <definedName name="UAcct332">[4]FuncStudy!$Y$1232</definedName>
    <definedName name="UAcct333">[4]FuncStudy!$Y$1237</definedName>
    <definedName name="UAcct334">[4]FuncStudy!$Y$1242</definedName>
    <definedName name="UAcct335">[4]FuncStudy!$Y$1247</definedName>
    <definedName name="UAcct336">[4]FuncStudy!$Y$1252</definedName>
    <definedName name="UAcct33T">[4]FuncStudy!$Y$132</definedName>
    <definedName name="UAcct340">[4]FuncStudy!$Y$1267</definedName>
    <definedName name="UAcct340Sgw">[4]FuncStudy!$Y$1265</definedName>
    <definedName name="UAcct341">[4]FuncStudy!$Y$1273</definedName>
    <definedName name="UACCT341SGW">[4]FuncStudy!$Y$1271</definedName>
    <definedName name="uacct341ssgct">[4]FuncStudy!$Y$1272</definedName>
    <definedName name="UAcct342">[4]FuncStudy!$Y$1278</definedName>
    <definedName name="uacct342ssgct">[4]FuncStudy!$Y$1277</definedName>
    <definedName name="UAcct343">[4]FuncStudy!$Y$1285</definedName>
    <definedName name="UAcct343Sgw">[4]FuncStudy!$Y$1283</definedName>
    <definedName name="uacct343sscct">[4]FuncStudy!$Y$1284</definedName>
    <definedName name="UAcct344">[4]FuncStudy!$Y$1292</definedName>
    <definedName name="UACCT344SGW">[4]FuncStudy!$Y$1290</definedName>
    <definedName name="uacct344ssgct">[4]FuncStudy!$Y$1291</definedName>
    <definedName name="UAcct345">[4]FuncStudy!$Y$1298</definedName>
    <definedName name="UACCT345SGW">[4]FuncStudy!$Y$1296</definedName>
    <definedName name="uacct345ssgct">[4]FuncStudy!$Y$1297</definedName>
    <definedName name="UAcct346">[4]FuncStudy!$Y$1304</definedName>
    <definedName name="UAcct346SGW">[4]FuncStudy!$Y$1302</definedName>
    <definedName name="UAcct350">[4]FuncStudy!$Y$1324</definedName>
    <definedName name="UAcct352">[4]FuncStudy!$Y$1331</definedName>
    <definedName name="UAcct353">[4]FuncStudy!$Y$1337</definedName>
    <definedName name="UAcct354">[4]FuncStudy!$Y$1343</definedName>
    <definedName name="UAcct355">[4]FuncStudy!$Y$1349</definedName>
    <definedName name="UAcct356">[4]FuncStudy!$Y$1355</definedName>
    <definedName name="UAcct357">[4]FuncStudy!$Y$1361</definedName>
    <definedName name="UAcct358">[4]FuncStudy!$Y$1367</definedName>
    <definedName name="UAcct359">[4]FuncStudy!$Y$1373</definedName>
    <definedName name="UAcct360">[4]FuncStudy!$Y$1389</definedName>
    <definedName name="UAcct361">[4]FuncStudy!$Y$1395</definedName>
    <definedName name="UAcct362">[4]FuncStudy!$Y$1401</definedName>
    <definedName name="UAcct368">[4]FuncStudy!$Y$1435</definedName>
    <definedName name="UAcct369">[4]FuncStudy!$Y$1442</definedName>
    <definedName name="UAcct370">[4]FuncStudy!$Y$1448</definedName>
    <definedName name="UAcct372A">[4]FuncStudy!$Y$1461</definedName>
    <definedName name="UAcct372Dp">[4]FuncStudy!$Y$1459</definedName>
    <definedName name="UAcct372Ds">[4]FuncStudy!$Y$1460</definedName>
    <definedName name="UAcct373">[4]FuncStudy!$Y$1468</definedName>
    <definedName name="UAcct389Cn">[4]FuncStudy!$Y$1483</definedName>
    <definedName name="UAcct389S">[4]FuncStudy!$Y$1482</definedName>
    <definedName name="UAcct389Sg">[4]FuncStudy!$Y$1485</definedName>
    <definedName name="UAcct389Sgu">[4]FuncStudy!$Y$1484</definedName>
    <definedName name="UAcct389So">[4]FuncStudy!$Y$1486</definedName>
    <definedName name="UAcct390Cn">[4]FuncStudy!$Y$1493</definedName>
    <definedName name="UACCT390LS">[4]FuncStudy!$Y$1602</definedName>
    <definedName name="UAcct390LSG">[4]FuncStudy!$Y$1603</definedName>
    <definedName name="UAcct390LSO">[4]FuncStudy!$Y$1604</definedName>
    <definedName name="UAcct390S">[4]FuncStudy!$Y$1490</definedName>
    <definedName name="UAcct390Sgp">[4]FuncStudy!$Y$1491</definedName>
    <definedName name="UAcct390Sgu">[4]FuncStudy!$Y$1492</definedName>
    <definedName name="UAcct390Sop">[4]FuncStudy!$Y$1494</definedName>
    <definedName name="UAcct390Sou">[4]FuncStudy!$Y$1495</definedName>
    <definedName name="UAcct391Cn">[4]FuncStudy!$Y$1502</definedName>
    <definedName name="UAcct391S">[4]FuncStudy!$Y$1499</definedName>
    <definedName name="UAcct391Se">[4]FuncStudy!$Y$1504</definedName>
    <definedName name="UAcct391Sg">[4]FuncStudy!$Y$1503</definedName>
    <definedName name="UAcct391Sgp">[4]FuncStudy!$Y$1500</definedName>
    <definedName name="UAcct391Sgu">[4]FuncStudy!$Y$1501</definedName>
    <definedName name="UAcct391So">[4]FuncStudy!$Y$1505</definedName>
    <definedName name="uacct391ssgch">[4]FuncStudy!$Y$1506</definedName>
    <definedName name="UACCT391SSGCT">[4]FuncStudy!$Y$1507</definedName>
    <definedName name="UAcct392Cn">[4]FuncStudy!$Y$1514</definedName>
    <definedName name="UAcct392L">[4]FuncStudy!$Y$1612</definedName>
    <definedName name="UACCT392LRCL">[4]FuncStudy!$F$1615</definedName>
    <definedName name="UAcct392S">[4]FuncStudy!$Y$1511</definedName>
    <definedName name="UAcct392Se">[4]FuncStudy!$Y$1516</definedName>
    <definedName name="UAcct392Sg">[4]FuncStudy!$Y$1513</definedName>
    <definedName name="UAcct392Sgp">[4]FuncStudy!$Y$1517</definedName>
    <definedName name="UAcct392Sgu">[4]FuncStudy!$Y$1515</definedName>
    <definedName name="UAcct392So">[4]FuncStudy!$Y$1512</definedName>
    <definedName name="uacct392ssgch">[4]FuncStudy!$Y$1518</definedName>
    <definedName name="uacct392ssgct">[4]FuncStudy!$Y$1519</definedName>
    <definedName name="UAcct393S">[4]FuncStudy!$Y$1523</definedName>
    <definedName name="UAcct393Sg">[4]FuncStudy!$Y$1527</definedName>
    <definedName name="UAcct393Sgp">[4]FuncStudy!$Y$1524</definedName>
    <definedName name="UAcct393Sgu">[4]FuncStudy!$Y$1525</definedName>
    <definedName name="UAcct393So">[4]FuncStudy!$Y$1526</definedName>
    <definedName name="uacct393ssgct">[4]FuncStudy!$Y$1528</definedName>
    <definedName name="UAcct394S">[4]FuncStudy!$Y$1532</definedName>
    <definedName name="UAcct394Se">[4]FuncStudy!$Y$1536</definedName>
    <definedName name="UAcct394Sg">[4]FuncStudy!$Y$1537</definedName>
    <definedName name="UAcct394Sgp">[4]FuncStudy!$Y$1533</definedName>
    <definedName name="UAcct394Sgu">[4]FuncStudy!$Y$1534</definedName>
    <definedName name="UAcct394So">[4]FuncStudy!$Y$1535</definedName>
    <definedName name="UACCT394SSGCH">[4]FuncStudy!$Y$1538</definedName>
    <definedName name="UACCT394SSGCT">[4]FuncStudy!$Y$1539</definedName>
    <definedName name="UAcct395S">[4]FuncStudy!$Y$1543</definedName>
    <definedName name="UAcct395Se">[4]FuncStudy!$Y$1547</definedName>
    <definedName name="UAcct395Sg">[4]FuncStudy!$Y$1548</definedName>
    <definedName name="UAcct395Sgp">[4]FuncStudy!$Y$1544</definedName>
    <definedName name="UAcct395Sgu">[4]FuncStudy!$Y$1545</definedName>
    <definedName name="UAcct395So">[4]FuncStudy!$Y$1546</definedName>
    <definedName name="UACCT395SSGCH">[4]FuncStudy!$Y$1549</definedName>
    <definedName name="UACCT395SSGCT">[4]FuncStudy!$Y$1550</definedName>
    <definedName name="UAcct396S">[4]FuncStudy!$Y$1554</definedName>
    <definedName name="UAcct396Se">[4]FuncStudy!$Y$1559</definedName>
    <definedName name="UAcct396Sg">[4]FuncStudy!$Y$1556</definedName>
    <definedName name="UAcct396Sgp">[4]FuncStudy!$Y$1555</definedName>
    <definedName name="UAcct396Sgu">[4]FuncStudy!$Y$1558</definedName>
    <definedName name="UAcct396So">[4]FuncStudy!$Y$1557</definedName>
    <definedName name="UACCT396SSGCH">[4]FuncStudy!$Y$1561</definedName>
    <definedName name="UACCT396SSGCT">[4]FuncStudy!$Y$1560</definedName>
    <definedName name="UAcct397Cn">[4]FuncStudy!$Y$1569</definedName>
    <definedName name="UAcct397S">[4]FuncStudy!$Y$1565</definedName>
    <definedName name="UAcct397Se">[4]FuncStudy!$Y$1571</definedName>
    <definedName name="UAcct397Sg">[4]FuncStudy!$Y$1570</definedName>
    <definedName name="UAcct397Sgp">[4]FuncStudy!$Y$1566</definedName>
    <definedName name="UAcct397Sgu">[4]FuncStudy!$Y$1567</definedName>
    <definedName name="UAcct397So">[4]FuncStudy!$Y$1568</definedName>
    <definedName name="UACCT397SSGCH">[4]FuncStudy!$Y$1572</definedName>
    <definedName name="UACCT397SSGCT">[4]FuncStudy!$Y$1573</definedName>
    <definedName name="UAcct398Cn">[4]FuncStudy!$Y$1580</definedName>
    <definedName name="UAcct398S">[4]FuncStudy!$Y$1577</definedName>
    <definedName name="UAcct398Se">[4]FuncStudy!$Y$1582</definedName>
    <definedName name="UAcct398Sg">[4]FuncStudy!$Y$1583</definedName>
    <definedName name="UAcct398Sgp">[4]FuncStudy!$Y$1578</definedName>
    <definedName name="UAcct398Sgu">[4]FuncStudy!$Y$1579</definedName>
    <definedName name="UAcct398So">[4]FuncStudy!$Y$1581</definedName>
    <definedName name="UACCT398SSGCT">[4]FuncStudy!$Y$1584</definedName>
    <definedName name="UAcct399">[4]FuncStudy!$Y$1591</definedName>
    <definedName name="UAcct399G">[4]FuncStudy!$Y$1632</definedName>
    <definedName name="UAcct399L">[4]FuncStudy!$Y$1595</definedName>
    <definedName name="UAcct399Lrcl">[4]FuncStudy!$Y$1597</definedName>
    <definedName name="UAcct403360">[4]FuncStudy!$Y$809</definedName>
    <definedName name="UAcct403361">[4]FuncStudy!$Y$810</definedName>
    <definedName name="UAcct403362">[4]FuncStudy!$Y$811</definedName>
    <definedName name="UAcct403364">[4]FuncStudy!$Y$812</definedName>
    <definedName name="UAcct403365">[4]FuncStudy!$Y$813</definedName>
    <definedName name="UAcct403366">[4]FuncStudy!$Y$814</definedName>
    <definedName name="UAcct403367">[4]FuncStudy!$Y$815</definedName>
    <definedName name="UAcct403368">[4]FuncStudy!$Y$816</definedName>
    <definedName name="UAcct403369">[4]FuncStudy!$Y$817</definedName>
    <definedName name="UAcct403370">[4]FuncStudy!$Y$818</definedName>
    <definedName name="UAcct403371">[4]FuncStudy!$Y$819</definedName>
    <definedName name="UAcct403372">[4]FuncStudy!$Y$820</definedName>
    <definedName name="UAcct403373">[4]FuncStudy!$Y$821</definedName>
    <definedName name="UAcct403Ep">[4]FuncStudy!$Y$847</definedName>
    <definedName name="UAcct403Gpcn">[4]FuncStudy!$Y$829</definedName>
    <definedName name="UAcct403Gps">[4]FuncStudy!$Y$825</definedName>
    <definedName name="UAcct403Gpseu">[4]FuncStudy!$Y$828</definedName>
    <definedName name="UAcct403Gpsg">[4]FuncStudy!$Y$830</definedName>
    <definedName name="UAcct403Gpsgp">[4]FuncStudy!$Y$826</definedName>
    <definedName name="UAcct403Gpsgu">[4]FuncStudy!$Y$827</definedName>
    <definedName name="UAcct403Gpso">[4]FuncStudy!$Y$831</definedName>
    <definedName name="uacct403gpssgch">[4]FuncStudy!$Y$833</definedName>
    <definedName name="UACCT403GPSSGCT">[4]FuncStudy!$Y$832</definedName>
    <definedName name="UAcct403Gv0">[4]FuncStudy!$Y$838</definedName>
    <definedName name="UAcct403Hp">[4]FuncStudy!$Y$793</definedName>
    <definedName name="UAcct403Mp">[4]FuncStudy!$Y$842</definedName>
    <definedName name="UAcct403Np">[4]FuncStudy!$Y$788</definedName>
    <definedName name="UAcct403Op">[4]FuncStudy!$Y$800</definedName>
    <definedName name="UAcct403Opsgu">[4]FuncStudy!$Y$797</definedName>
    <definedName name="uacct403opssgct">[4]FuncStudy!$Y$798</definedName>
    <definedName name="uacct403sgw">[4]FuncStudy!$Y$799</definedName>
    <definedName name="uacct403spdgp">[4]FuncStudy!$Y$780</definedName>
    <definedName name="uacct403spdgu">[4]FuncStudy!$Y$781</definedName>
    <definedName name="uacct403spsg">[4]FuncStudy!$Y$782</definedName>
    <definedName name="uacct403ssgch">[4]FuncStudy!$Y$783</definedName>
    <definedName name="UAcct403Tp">[4]FuncStudy!$Y$806</definedName>
    <definedName name="UAcct404330">[4]FuncStudy!$Y$881</definedName>
    <definedName name="UAcct404Clg">[4]FuncStudy!$Y$858</definedName>
    <definedName name="UAcct404Clgsop">[4]FuncStudy!$Y$856</definedName>
    <definedName name="UAcct404Clgsou">[4]FuncStudy!$Y$854</definedName>
    <definedName name="UAcct404Cls">[4]FuncStudy!$Y$862</definedName>
    <definedName name="UAcct404Ipcn">[4]FuncStudy!$Y$868</definedName>
    <definedName name="UACCT404IPDGU">[4]FuncStudy!$Y$870</definedName>
    <definedName name="UAcct404Ips">[4]FuncStudy!$Y$865</definedName>
    <definedName name="UAcct404Ipse">[4]FuncStudy!$Y$866</definedName>
    <definedName name="UACCT404IPSGP">[4]FuncStudy!$Y$869</definedName>
    <definedName name="UAcct404Ipso">[4]FuncStudy!$Y$867</definedName>
    <definedName name="UACCT404IPSSGCH">[4]FuncStudy!$Y$871</definedName>
    <definedName name="UAcct404O">[4]FuncStudy!$Y$876</definedName>
    <definedName name="UAcct405">[4]FuncStudy!$Y$889</definedName>
    <definedName name="UAcct406">[4]FuncStudy!$Y$895</definedName>
    <definedName name="UAcct407">[4]FuncStudy!$Y$904</definedName>
    <definedName name="UAcct408">[4]FuncStudy!$Y$917</definedName>
    <definedName name="UAcct408S">[4]FuncStudy!$Y$909</definedName>
    <definedName name="UAcct40910FITOther">[4]FuncStudy!$Y$1136</definedName>
    <definedName name="UAcct40910FitPMI">[4]FuncStudy!$Y$1134</definedName>
    <definedName name="UAcct40910FITPTC">[4]FuncStudy!$Y$1135</definedName>
    <definedName name="UAcct40910FITSitus">[4]FuncStudy!$Y$1137</definedName>
    <definedName name="UAcct40911Dgu">[4]FuncStudy!$Y$1104</definedName>
    <definedName name="UAcct41010">[4]FuncStudy!$Y$978</definedName>
    <definedName name="UAcct41020">[4]FuncStudy!$Y$993</definedName>
    <definedName name="UAcct41111">[4]FuncStudy!$Y$1027</definedName>
    <definedName name="UAcct41120">[4]FuncStudy!$Y$1012</definedName>
    <definedName name="UAcct41140">[4]FuncStudy!$Y$922</definedName>
    <definedName name="UAcct41141">[4]FuncStudy!$Y$927</definedName>
    <definedName name="UAcct41160">[4]FuncStudy!$Y$178</definedName>
    <definedName name="UAcct41170">[4]FuncStudy!$Y$183</definedName>
    <definedName name="UAcct4118">[4]FuncStudy!$Y$187</definedName>
    <definedName name="UAcct41181">[4]FuncStudy!$Y$190</definedName>
    <definedName name="UAcct4194">[4]FuncStudy!$Y$194</definedName>
    <definedName name="UAcct419Doth">[4]FuncStudy!$Y$958</definedName>
    <definedName name="UAcct421">[4]FuncStudy!$Y$203</definedName>
    <definedName name="UAcct4311">[4]FuncStudy!$Y$210</definedName>
    <definedName name="UAcct442Se">[4]FuncStudy!$Y$100</definedName>
    <definedName name="UAcct442Sg">[4]FuncStudy!$Y$101</definedName>
    <definedName name="UAcct447">[4]FuncStudy!$Y$125</definedName>
    <definedName name="UAcct447Dgu" localSheetId="0">'[5]Func Study'!#REF!</definedName>
    <definedName name="UAcct447Dgu">'[5]Func Study'!#REF!</definedName>
    <definedName name="UAcct447S">[4]FuncStudy!$Y$121</definedName>
    <definedName name="UAcct447Se">[4]FuncStudy!$Y$124</definedName>
    <definedName name="UAcct448S">[4]FuncStudy!$Y$114</definedName>
    <definedName name="UAcct448So">[4]FuncStudy!$Y$115</definedName>
    <definedName name="UAcct449">[4]FuncStudy!$Y$130</definedName>
    <definedName name="UAcct450">[4]FuncStudy!$Y$141</definedName>
    <definedName name="UAcct450S">[4]FuncStudy!$Y$139</definedName>
    <definedName name="UAcct450So">[4]FuncStudy!$Y$140</definedName>
    <definedName name="UAcct451S">[4]FuncStudy!$Y$144</definedName>
    <definedName name="UAcct451Sg">[4]FuncStudy!$Y$145</definedName>
    <definedName name="UAcct451So">[4]FuncStudy!$Y$146</definedName>
    <definedName name="UAcct453">[4]FuncStudy!$Y$151</definedName>
    <definedName name="UAcct454">[4]FuncStudy!$Y$157</definedName>
    <definedName name="UAcct454S">[4]FuncStudy!$Y$154</definedName>
    <definedName name="UAcct454Sg">[4]FuncStudy!$Y$155</definedName>
    <definedName name="UAcct454So">[4]FuncStudy!$Y$156</definedName>
    <definedName name="UAcct456">[4]FuncStudy!$Y$165</definedName>
    <definedName name="UAcct456Cn">[4]FuncStudy!$Y$161</definedName>
    <definedName name="UAcct456S">[4]FuncStudy!$Y$160</definedName>
    <definedName name="UAcct456Se">[4]FuncStudy!$Y$162</definedName>
    <definedName name="UAcct500">[4]FuncStudy!$Y$226</definedName>
    <definedName name="UACCT500SSGCH">[4]FuncStudy!$Y$225</definedName>
    <definedName name="UAcct501">[4]FuncStudy!$Y$234</definedName>
    <definedName name="UAcct501Se">[4]FuncStudy!$Y$229</definedName>
    <definedName name="UACCT501SENNPC">[4]FuncStudy!$Y$230</definedName>
    <definedName name="uacct501ssech">[4]FuncStudy!$Y$233</definedName>
    <definedName name="UACCT501SSECHNNPC">[4]FuncStudy!$Y$232</definedName>
    <definedName name="uacct501ssect">[4]FuncStudy!$Y$231</definedName>
    <definedName name="UAcct502">[4]FuncStudy!$Y$239</definedName>
    <definedName name="uacct502snpps">[4]FuncStudy!$Y$237</definedName>
    <definedName name="uacct502ssgch">[4]FuncStudy!$Y$238</definedName>
    <definedName name="UAcct503">[4]FuncStudy!$Y$244</definedName>
    <definedName name="UAcct503Se">[4]FuncStudy!$Y$242</definedName>
    <definedName name="UACCT503SENNPC">[4]FuncStudy!$Y$243</definedName>
    <definedName name="UAcct505">[4]FuncStudy!$Y$249</definedName>
    <definedName name="uacct505snpps">[4]FuncStudy!$Y$247</definedName>
    <definedName name="uacct505ssgch">[4]FuncStudy!$Y$248</definedName>
    <definedName name="UAcct506">[4]FuncStudy!$Y$255</definedName>
    <definedName name="UAcct506Se">[4]FuncStudy!$Y$253</definedName>
    <definedName name="uacct506snpps">[4]FuncStudy!$Y$252</definedName>
    <definedName name="uacct506ssgch">[4]FuncStudy!$Y$254</definedName>
    <definedName name="UAcct507">[4]FuncStudy!$Y$260</definedName>
    <definedName name="uacct507ssgch">[4]FuncStudy!$Y$259</definedName>
    <definedName name="UAcct510">[4]FuncStudy!$Y$265</definedName>
    <definedName name="uacct510ssgch">[4]FuncStudy!$Y$264</definedName>
    <definedName name="UAcct511">[4]FuncStudy!$Y$270</definedName>
    <definedName name="uacct511ssgch">[4]FuncStudy!$Y$269</definedName>
    <definedName name="UAcct512">[4]FuncStudy!$Y$275</definedName>
    <definedName name="uacct512ssgch">[4]FuncStudy!$Y$274</definedName>
    <definedName name="UAcct513">[4]FuncStudy!$Y$280</definedName>
    <definedName name="uacct513ssgch">[4]FuncStudy!$Y$279</definedName>
    <definedName name="UAcct514">[4]FuncStudy!$Y$285</definedName>
    <definedName name="uacct514ssgch">[4]FuncStudy!$Y$284</definedName>
    <definedName name="UAcct517">[4]FuncStudy!$Y$291</definedName>
    <definedName name="UAcct518">[4]FuncStudy!$Y$295</definedName>
    <definedName name="UAcct519">[4]FuncStudy!$Y$300</definedName>
    <definedName name="UAcct520">[4]FuncStudy!$Y$304</definedName>
    <definedName name="UAcct523">[4]FuncStudy!$Y$308</definedName>
    <definedName name="UAcct524">[4]FuncStudy!$Y$312</definedName>
    <definedName name="UAcct528">[4]FuncStudy!$Y$316</definedName>
    <definedName name="UAcct529">[4]FuncStudy!$Y$320</definedName>
    <definedName name="UAcct530">[4]FuncStudy!$Y$324</definedName>
    <definedName name="UAcct531">[4]FuncStudy!$Y$328</definedName>
    <definedName name="UAcct532">[4]FuncStudy!$Y$332</definedName>
    <definedName name="UAcct535">[4]FuncStudy!$Y$339</definedName>
    <definedName name="UAcct536">[4]FuncStudy!$Y$343</definedName>
    <definedName name="UAcct537">[4]FuncStudy!$Y$347</definedName>
    <definedName name="UAcct538">[4]FuncStudy!$Y$351</definedName>
    <definedName name="UAcct539">[4]FuncStudy!$Y$355</definedName>
    <definedName name="UAcct540">[4]FuncStudy!$Y$359</definedName>
    <definedName name="UAcct541">[4]FuncStudy!$Y$363</definedName>
    <definedName name="UAcct542">[4]FuncStudy!$Y$367</definedName>
    <definedName name="UAcct543">[4]FuncStudy!$Y$371</definedName>
    <definedName name="UAcct544">[4]FuncStudy!$Y$375</definedName>
    <definedName name="UAcct545">[4]FuncStudy!$Y$379</definedName>
    <definedName name="UAcct546">[4]FuncStudy!$Y$386</definedName>
    <definedName name="UAcct547Se">[4]FuncStudy!$Y$389</definedName>
    <definedName name="UACCT547SSECT">[4]FuncStudy!$Y$390</definedName>
    <definedName name="UAcct548">[4]FuncStudy!$Y$396</definedName>
    <definedName name="uacct548ssgct">[4]FuncStudy!$Y$395</definedName>
    <definedName name="UAcct549">[4]FuncStudy!$Y$401</definedName>
    <definedName name="UAcct549sg">[4]FuncStudy!$Y$399</definedName>
    <definedName name="uacct550">[4]FuncStudy!$Y$407</definedName>
    <definedName name="UACCT550sg">[4]FuncStudy!$Y$405</definedName>
    <definedName name="UAcct551">[4]FuncStudy!$Y$411</definedName>
    <definedName name="UAcct552">[4]FuncStudy!$Y$416</definedName>
    <definedName name="UAcct553">[4]FuncStudy!$Y$423</definedName>
    <definedName name="UACCT553SSGCT">[4]FuncStudy!$Y$421</definedName>
    <definedName name="UAcct554">[4]FuncStudy!$Y$429</definedName>
    <definedName name="UAcct554SSCT">[4]FuncStudy!$Y$427</definedName>
    <definedName name="uacct555dgp">[4]FuncStudy!$Y$438</definedName>
    <definedName name="UAcct555Dgu">[4]FuncStudy!$Y$435</definedName>
    <definedName name="UAcct555S">[4]FuncStudy!$Y$434</definedName>
    <definedName name="UAcct555Se">[4]FuncStudy!$Y$436</definedName>
    <definedName name="uacct555ssgp">[4]FuncStudy!$Y$437</definedName>
    <definedName name="UAcct556">[4]FuncStudy!$Y$443</definedName>
    <definedName name="UAcct557">[4]FuncStudy!$Y$452</definedName>
    <definedName name="UACCT557SSGCT">[4]FuncStudy!$Y$450</definedName>
    <definedName name="UAcct560">[4]FuncStudy!$Y$477</definedName>
    <definedName name="UAcct561">[4]FuncStudy!$Y$481</definedName>
    <definedName name="UAcct562">[4]FuncStudy!$Y$485</definedName>
    <definedName name="UAcct563">[4]FuncStudy!$Y$489</definedName>
    <definedName name="UAcct564">[4]FuncStudy!$Y$493</definedName>
    <definedName name="UAcct565">[4]FuncStudy!$Y$498</definedName>
    <definedName name="UAcct565Se">[4]FuncStudy!$Y$497</definedName>
    <definedName name="UAcct566">[4]FuncStudy!$Y$502</definedName>
    <definedName name="UAcct567">[4]FuncStudy!$Y$506</definedName>
    <definedName name="UAcct568">[4]FuncStudy!$Y$510</definedName>
    <definedName name="UAcct569">[4]FuncStudy!$Y$514</definedName>
    <definedName name="UAcct570">[4]FuncStudy!$Y$518</definedName>
    <definedName name="UAcct571">[4]FuncStudy!$Y$522</definedName>
    <definedName name="UAcct572">[4]FuncStudy!$Y$526</definedName>
    <definedName name="UAcct573">[4]FuncStudy!$Y$530</definedName>
    <definedName name="UAcct580">[4]FuncStudy!$Y$537</definedName>
    <definedName name="UAcct581">[4]FuncStudy!$Y$542</definedName>
    <definedName name="UAcct582">[4]FuncStudy!$Y$547</definedName>
    <definedName name="UAcct583">[4]FuncStudy!$Y$552</definedName>
    <definedName name="UAcct584">[4]FuncStudy!$Y$557</definedName>
    <definedName name="UAcct585">[4]FuncStudy!$Y$562</definedName>
    <definedName name="UAcct586">[4]FuncStudy!$Y$567</definedName>
    <definedName name="UAcct587">[4]FuncStudy!$Y$572</definedName>
    <definedName name="UAcct588">[4]FuncStudy!$Y$577</definedName>
    <definedName name="UAcct589">[4]FuncStudy!$Y$582</definedName>
    <definedName name="UAcct590">[4]FuncStudy!$Y$587</definedName>
    <definedName name="UAcct591">[4]FuncStudy!$Y$592</definedName>
    <definedName name="UAcct592">[4]FuncStudy!$Y$597</definedName>
    <definedName name="UAcct593">[4]FuncStudy!$Y$602</definedName>
    <definedName name="UAcct594">[4]FuncStudy!$Y$607</definedName>
    <definedName name="UAcct595">[4]FuncStudy!$Y$612</definedName>
    <definedName name="UAcct596">[4]FuncStudy!$Y$617</definedName>
    <definedName name="UAcct597">[4]FuncStudy!$Y$622</definedName>
    <definedName name="UAcct598">[4]FuncStudy!$Y$627</definedName>
    <definedName name="UAcct901">[4]FuncStudy!$Y$634</definedName>
    <definedName name="UAcct902">[4]FuncStudy!$Y$639</definedName>
    <definedName name="UAcct903">[4]FuncStudy!$Y$644</definedName>
    <definedName name="UAcct904">[4]FuncStudy!$Y$650</definedName>
    <definedName name="UAcct905">[4]FuncStudy!$Y$655</definedName>
    <definedName name="UAcct907">[4]FuncStudy!$Y$662</definedName>
    <definedName name="UAcct908">[4]FuncStudy!$Y$667</definedName>
    <definedName name="UAcct909">[4]FuncStudy!$Y$672</definedName>
    <definedName name="UAcct910">[4]FuncStudy!$Y$677</definedName>
    <definedName name="UAcct911">[4]FuncStudy!$Y$684</definedName>
    <definedName name="UAcct912">[4]FuncStudy!$Y$689</definedName>
    <definedName name="UAcct913">[4]FuncStudy!$Y$694</definedName>
    <definedName name="UAcct916">[4]FuncStudy!$Y$699</definedName>
    <definedName name="UAcct920">[4]FuncStudy!$Y$708</definedName>
    <definedName name="UAcct920Cn">[4]FuncStudy!$Y$706</definedName>
    <definedName name="UAcct921">[4]FuncStudy!$Y$714</definedName>
    <definedName name="UAcct921Cn">[4]FuncStudy!$Y$712</definedName>
    <definedName name="UAcct923">[4]FuncStudy!$Y$720</definedName>
    <definedName name="UAcct923Cn">[4]FuncStudy!$Y$718</definedName>
    <definedName name="UAcct924S">[4]FuncStudy!$Y$723</definedName>
    <definedName name="UACCT924SG">[4]FuncStudy!$Y$724</definedName>
    <definedName name="UAcct924SO">[4]FuncStudy!$Y$725</definedName>
    <definedName name="UAcct925">[4]FuncStudy!$Y$730</definedName>
    <definedName name="UAcct926">[4]FuncStudy!$Y$736</definedName>
    <definedName name="UAcct927">[4]FuncStudy!$Y$741</definedName>
    <definedName name="UAcct928">[4]FuncStudy!$Y$748</definedName>
    <definedName name="UAcct928RE">[4]FuncStudy!$Y$750</definedName>
    <definedName name="UAcct929">[4]FuncStudy!$Y$755</definedName>
    <definedName name="UACCT930cn">[4]FuncStudy!$Y$759</definedName>
    <definedName name="UAcct930S">[4]FuncStudy!$Y$758</definedName>
    <definedName name="UAcct930So">[4]FuncStudy!$Y$760</definedName>
    <definedName name="UAcct931">[4]FuncStudy!$Y$766</definedName>
    <definedName name="UAcct935">[4]FuncStudy!$Y$772</definedName>
    <definedName name="UAcctAGA">[4]FuncStudy!$Y$133</definedName>
    <definedName name="UAcctd00">[4]FuncStudy!$Y$1472</definedName>
    <definedName name="UAcctdfad">[4]FuncStudy!$Y$215</definedName>
    <definedName name="UAcctdfap">[4]FuncStudy!$Y$213</definedName>
    <definedName name="UAcctdfat">[4]FuncStudy!$Y$214</definedName>
    <definedName name="UAcctds0">[4]FuncStudy!$Y$1476</definedName>
    <definedName name="UAcctfit">[4]FuncStudy!$Y$1143</definedName>
    <definedName name="UAcctg00">[4]FuncStudy!$Y$1624</definedName>
    <definedName name="UAccth00">[4]FuncStudy!$Y$1258</definedName>
    <definedName name="UAccti00">[4]FuncStudy!$Y$1666</definedName>
    <definedName name="UAcctn00">[4]FuncStudy!$Y$1214</definedName>
    <definedName name="UAccto00">[4]FuncStudy!$Y$1309</definedName>
    <definedName name="UAcctowc">[4]FuncStudy!$Y$1811</definedName>
    <definedName name="uacctowcssech">[4]FuncStudy!$Y$1810</definedName>
    <definedName name="UAccts00">[4]FuncStudy!$Y$1182</definedName>
    <definedName name="UAcctSchM">[4]FuncStudy!$Y$1121</definedName>
    <definedName name="UAcctt00">[4]FuncStudy!$Y$1377</definedName>
    <definedName name="UACT553SGW">[4]FuncStudy!$Y$422</definedName>
    <definedName name="UNBILREV" localSheetId="0">#REF!</definedName>
    <definedName name="UNBILREV">#REF!</definedName>
    <definedName name="UncollectibleAccounts">[9]Variables!$D$25</definedName>
    <definedName name="USBR" localSheetId="0">#REF!</definedName>
    <definedName name="USBR">#REF!</definedName>
    <definedName name="USCHMAFS">[4]FuncStudy!$Y$1032</definedName>
    <definedName name="USCHMAFSE">[4]FuncStudy!$Y$1035</definedName>
    <definedName name="USCHMAFSG">[4]FuncStudy!$Y$1037</definedName>
    <definedName name="USCHMAFSNP">[4]FuncStudy!$Y$1033</definedName>
    <definedName name="USCHMAFSO">[4]FuncStudy!$Y$1034</definedName>
    <definedName name="USCHMAFTROJP">[4]FuncStudy!$Y$1036</definedName>
    <definedName name="USCHMAPBADDEBT">[4]FuncStudy!$Y$1046</definedName>
    <definedName name="USCHMAPS">[4]FuncStudy!$Y$1041</definedName>
    <definedName name="USCHMAPSE">[4]FuncStudy!$Y$1042</definedName>
    <definedName name="USCHMAPSG">[4]FuncStudy!$Y$1045</definedName>
    <definedName name="USCHMAPSNP">[4]FuncStudy!$Y$1043</definedName>
    <definedName name="USCHMAPSO">[4]FuncStudy!$Y$1044</definedName>
    <definedName name="USCHMATBADDEBT">[4]FuncStudy!$Y$1061</definedName>
    <definedName name="USCHMATCIAC">[4]FuncStudy!$Y$1052</definedName>
    <definedName name="USCHMATGPS">[4]FuncStudy!$Y$1058</definedName>
    <definedName name="USCHMATS">[4]FuncStudy!$Y$1050</definedName>
    <definedName name="USCHMATSCHMDEXP">[4]FuncStudy!$Y$1063</definedName>
    <definedName name="USCHMATSE">[4]FuncStudy!$Y$1056</definedName>
    <definedName name="USCHMATSG">[4]FuncStudy!$Y$1055</definedName>
    <definedName name="USCHMATSG2">[4]FuncStudy!$Y$1057</definedName>
    <definedName name="USCHMATSGCT">[4]FuncStudy!$Y$1051</definedName>
    <definedName name="USCHMATSNP">[4]FuncStudy!$Y$1053</definedName>
    <definedName name="USCHMATSNPD">[4]FuncStudy!$Y$1060</definedName>
    <definedName name="USCHMATSO">[4]FuncStudy!$Y$1059</definedName>
    <definedName name="USCHMATTAXDEPR">[4]FuncStudy!$Y$1062</definedName>
    <definedName name="USCHMATTROJD">[4]FuncStudy!$Y$1054</definedName>
    <definedName name="USCHMDFDGP">[4]FuncStudy!$Y$1070</definedName>
    <definedName name="USCHMDFDGU">[4]FuncStudy!$Y$1071</definedName>
    <definedName name="USCHMDFS">[4]FuncStudy!$Y$1069</definedName>
    <definedName name="USCHMDPIBT">[4]FuncStudy!$Y$1077</definedName>
    <definedName name="USCHMDPS">[4]FuncStudy!$Y$1074</definedName>
    <definedName name="USCHMDPSE">[4]FuncStudy!$Y$1075</definedName>
    <definedName name="USCHMDPSG">[4]FuncStudy!$Y$1078</definedName>
    <definedName name="USCHMDPSNP">[4]FuncStudy!$Y$1076</definedName>
    <definedName name="USCHMDPSO">[4]FuncStudy!$Y$1079</definedName>
    <definedName name="USCHMDTBADDEBT">[4]FuncStudy!$Y$1084</definedName>
    <definedName name="USCHMDTCN">[4]FuncStudy!$Y$1086</definedName>
    <definedName name="USCHMDTDGP">[4]FuncStudy!$Y$1088</definedName>
    <definedName name="USCHMDTGPS">[4]FuncStudy!$Y$1091</definedName>
    <definedName name="USCHMDTS">[4]FuncStudy!$Y$1083</definedName>
    <definedName name="USCHMDTSE">[4]FuncStudy!$Y$1089</definedName>
    <definedName name="USCHMDTSG">[4]FuncStudy!$Y$1090</definedName>
    <definedName name="USCHMDTSNP">[4]FuncStudy!$Y$1085</definedName>
    <definedName name="USCHMDTSNPD">[4]FuncStudy!$Y$1094</definedName>
    <definedName name="USCHMDTSO">[4]FuncStudy!$Y$1092</definedName>
    <definedName name="USCHMDTTAXDEPR">[4]FuncStudy!$Y$1093</definedName>
    <definedName name="USCHMDTTROJD">[4]FuncStudy!$Y$1087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[9]Variables!$D$29</definedName>
    <definedName name="ValidAccount">[6]Variables!$AK$43:$AK$369</definedName>
    <definedName name="VAR" localSheetId="0">[14]Backup!#REF!</definedName>
    <definedName name="VAR">[14]Backup!#REF!</definedName>
    <definedName name="VARIABLE" localSheetId="0">[13]Summary!#REF!</definedName>
    <definedName name="VARIABLE">[13]Summary!#REF!</definedName>
    <definedName name="VOUCHER" localSheetId="0">#REF!</definedName>
    <definedName name="VOUCHER">#REF!</definedName>
    <definedName name="WaRevenueTax">[9]Variables!$D$27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'[22]Load Data'!$D$9:$H$12,'[22]Load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'[23]Weather Present'!$K$7</definedName>
    <definedName name="y" hidden="1">'[3]DSM Output'!$B$21:$B$23</definedName>
    <definedName name="Year" localSheetId="0">#REF!</definedName>
    <definedName name="Year">#REF!</definedName>
    <definedName name="YEFactors">[6]Factors!$S$3:$AG$99</definedName>
    <definedName name="z" hidden="1">'[3]DSM Output'!$G$21:$G$23</definedName>
    <definedName name="ZA" localSheetId="0">'[24] annual balance '!#REF!</definedName>
    <definedName name="ZA">'[24] annual balance '!#REF!</definedName>
  </definedNames>
  <calcPr calcId="152511"/>
</workbook>
</file>

<file path=xl/calcChain.xml><?xml version="1.0" encoding="utf-8"?>
<calcChain xmlns="http://schemas.openxmlformats.org/spreadsheetml/2006/main">
  <c r="T54" i="2" l="1"/>
  <c r="T26" i="9" l="1"/>
  <c r="P509" i="4" l="1"/>
  <c r="P468" i="4"/>
  <c r="P469" i="4" s="1"/>
  <c r="P461" i="4"/>
  <c r="P438" i="4"/>
  <c r="P387" i="4"/>
  <c r="P372" i="4"/>
  <c r="P364" i="4"/>
  <c r="P366" i="4" s="1"/>
  <c r="P358" i="4"/>
  <c r="P360" i="4" s="1"/>
  <c r="P351" i="4"/>
  <c r="P268" i="4"/>
  <c r="P190" i="4"/>
  <c r="P181" i="4"/>
  <c r="P170" i="4"/>
  <c r="P158" i="4"/>
  <c r="P153" i="4"/>
  <c r="P108" i="4"/>
  <c r="P79" i="4"/>
  <c r="P16" i="4"/>
  <c r="L190" i="4"/>
  <c r="T509" i="4"/>
  <c r="T473" i="4"/>
  <c r="T401" i="4"/>
  <c r="T371" i="4"/>
  <c r="T180" i="4"/>
  <c r="T169" i="4"/>
  <c r="T157" i="4"/>
  <c r="T105" i="4"/>
  <c r="T77" i="4"/>
  <c r="X473" i="4" l="1"/>
  <c r="L468" i="4" l="1"/>
  <c r="L461" i="4"/>
  <c r="L387" i="4"/>
  <c r="L372" i="4"/>
  <c r="L364" i="4"/>
  <c r="T364" i="4" s="1"/>
  <c r="T366" i="4" s="1"/>
  <c r="L358" i="4"/>
  <c r="T358" i="4" s="1"/>
  <c r="T360" i="4" s="1"/>
  <c r="L351" i="4"/>
  <c r="L268" i="4"/>
  <c r="L181" i="4"/>
  <c r="L170" i="4"/>
  <c r="L158" i="4"/>
  <c r="L153" i="4"/>
  <c r="L108" i="4"/>
  <c r="L79" i="4"/>
  <c r="L16" i="4"/>
  <c r="T387" i="4" l="1"/>
  <c r="T16" i="4"/>
  <c r="K40" i="2"/>
  <c r="K40" i="6"/>
  <c r="T153" i="4"/>
  <c r="T461" i="4"/>
  <c r="X461" i="4"/>
  <c r="T268" i="4"/>
  <c r="K41" i="6"/>
  <c r="K41" i="2"/>
  <c r="K42" i="6"/>
  <c r="K42" i="2"/>
  <c r="T351" i="4"/>
  <c r="T468" i="4"/>
  <c r="T469" i="4" s="1"/>
  <c r="X468" i="4"/>
  <c r="L509" i="4"/>
  <c r="N490" i="4"/>
  <c r="P490" i="4" s="1"/>
  <c r="J490" i="4"/>
  <c r="L490" i="4" s="1"/>
  <c r="N489" i="4"/>
  <c r="P489" i="4" s="1"/>
  <c r="J489" i="4"/>
  <c r="L489" i="4" s="1"/>
  <c r="N488" i="4"/>
  <c r="P488" i="4" s="1"/>
  <c r="J488" i="4"/>
  <c r="L488" i="4" s="1"/>
  <c r="N486" i="4"/>
  <c r="P486" i="4" s="1"/>
  <c r="J486" i="4"/>
  <c r="L486" i="4" s="1"/>
  <c r="N485" i="4"/>
  <c r="P485" i="4" s="1"/>
  <c r="J485" i="4"/>
  <c r="L485" i="4" s="1"/>
  <c r="L469" i="4"/>
  <c r="N463" i="4"/>
  <c r="P463" i="4" s="1"/>
  <c r="P464" i="4" s="1"/>
  <c r="J463" i="4"/>
  <c r="L463" i="4" s="1"/>
  <c r="N462" i="4"/>
  <c r="P462" i="4" s="1"/>
  <c r="J462" i="4"/>
  <c r="L462" i="4" s="1"/>
  <c r="N454" i="4"/>
  <c r="P454" i="4" s="1"/>
  <c r="J454" i="4"/>
  <c r="L454" i="4" s="1"/>
  <c r="N453" i="4"/>
  <c r="P453" i="4" s="1"/>
  <c r="J453" i="4"/>
  <c r="L453" i="4" s="1"/>
  <c r="N452" i="4"/>
  <c r="P452" i="4" s="1"/>
  <c r="J452" i="4"/>
  <c r="L452" i="4" s="1"/>
  <c r="N451" i="4"/>
  <c r="P451" i="4" s="1"/>
  <c r="J451" i="4"/>
  <c r="L451" i="4" s="1"/>
  <c r="N450" i="4"/>
  <c r="P450" i="4" s="1"/>
  <c r="J450" i="4"/>
  <c r="L450" i="4" s="1"/>
  <c r="N447" i="4"/>
  <c r="P447" i="4" s="1"/>
  <c r="J447" i="4"/>
  <c r="L447" i="4" s="1"/>
  <c r="N446" i="4"/>
  <c r="P446" i="4" s="1"/>
  <c r="J446" i="4"/>
  <c r="L446" i="4" s="1"/>
  <c r="N445" i="4"/>
  <c r="P445" i="4" s="1"/>
  <c r="J445" i="4"/>
  <c r="L445" i="4" s="1"/>
  <c r="N443" i="4"/>
  <c r="P443" i="4" s="1"/>
  <c r="J443" i="4"/>
  <c r="L443" i="4" s="1"/>
  <c r="N442" i="4"/>
  <c r="P442" i="4" s="1"/>
  <c r="J442" i="4"/>
  <c r="L442" i="4" s="1"/>
  <c r="L438" i="4"/>
  <c r="N393" i="4"/>
  <c r="P393" i="4" s="1"/>
  <c r="J393" i="4"/>
  <c r="L393" i="4" s="1"/>
  <c r="N392" i="4"/>
  <c r="P392" i="4" s="1"/>
  <c r="J392" i="4"/>
  <c r="L392" i="4" s="1"/>
  <c r="N391" i="4"/>
  <c r="P391" i="4" s="1"/>
  <c r="J391" i="4"/>
  <c r="L391" i="4" s="1"/>
  <c r="N390" i="4"/>
  <c r="P390" i="4" s="1"/>
  <c r="J390" i="4"/>
  <c r="L390" i="4" s="1"/>
  <c r="N388" i="4"/>
  <c r="P388" i="4" s="1"/>
  <c r="J388" i="4"/>
  <c r="L388" i="4" s="1"/>
  <c r="N380" i="4"/>
  <c r="P380" i="4" s="1"/>
  <c r="J380" i="4"/>
  <c r="L380" i="4" s="1"/>
  <c r="N379" i="4"/>
  <c r="P379" i="4" s="1"/>
  <c r="J379" i="4"/>
  <c r="L379" i="4" s="1"/>
  <c r="N373" i="4"/>
  <c r="P373" i="4" s="1"/>
  <c r="P375" i="4" s="1"/>
  <c r="J373" i="4"/>
  <c r="L373" i="4" s="1"/>
  <c r="L366" i="4"/>
  <c r="L360" i="4"/>
  <c r="N213" i="4"/>
  <c r="P213" i="4" s="1"/>
  <c r="P214" i="4" s="1"/>
  <c r="J213" i="4"/>
  <c r="L213" i="4" s="1"/>
  <c r="N209" i="4"/>
  <c r="P209" i="4" s="1"/>
  <c r="J209" i="4"/>
  <c r="L209" i="4" s="1"/>
  <c r="N208" i="4"/>
  <c r="P208" i="4" s="1"/>
  <c r="J208" i="4"/>
  <c r="L208" i="4" s="1"/>
  <c r="N206" i="4"/>
  <c r="P206" i="4" s="1"/>
  <c r="J206" i="4"/>
  <c r="L206" i="4" s="1"/>
  <c r="N197" i="4"/>
  <c r="P197" i="4" s="1"/>
  <c r="P198" i="4" s="1"/>
  <c r="J197" i="4"/>
  <c r="L197" i="4" s="1"/>
  <c r="N193" i="4"/>
  <c r="P193" i="4" s="1"/>
  <c r="J193" i="4"/>
  <c r="L193" i="4" s="1"/>
  <c r="N192" i="4"/>
  <c r="P192" i="4" s="1"/>
  <c r="J192" i="4"/>
  <c r="L192" i="4" s="1"/>
  <c r="T190" i="4"/>
  <c r="N182" i="4"/>
  <c r="P182" i="4" s="1"/>
  <c r="P184" i="4" s="1"/>
  <c r="J182" i="4"/>
  <c r="L182" i="4" s="1"/>
  <c r="N174" i="4"/>
  <c r="P174" i="4" s="1"/>
  <c r="J174" i="4"/>
  <c r="L174" i="4" s="1"/>
  <c r="N173" i="4"/>
  <c r="P173" i="4" s="1"/>
  <c r="J173" i="4"/>
  <c r="L173" i="4" s="1"/>
  <c r="N172" i="4"/>
  <c r="P172" i="4" s="1"/>
  <c r="J172" i="4"/>
  <c r="L172" i="4" s="1"/>
  <c r="N171" i="4"/>
  <c r="P171" i="4" s="1"/>
  <c r="J171" i="4"/>
  <c r="L171" i="4" s="1"/>
  <c r="N163" i="4"/>
  <c r="P163" i="4" s="1"/>
  <c r="J163" i="4"/>
  <c r="L163" i="4" s="1"/>
  <c r="N162" i="4"/>
  <c r="P162" i="4" s="1"/>
  <c r="J162" i="4"/>
  <c r="L162" i="4" s="1"/>
  <c r="N161" i="4"/>
  <c r="P161" i="4" s="1"/>
  <c r="J161" i="4"/>
  <c r="L161" i="4" s="1"/>
  <c r="N159" i="4"/>
  <c r="P159" i="4" s="1"/>
  <c r="J159" i="4"/>
  <c r="L159" i="4" s="1"/>
  <c r="N111" i="4"/>
  <c r="P111" i="4" s="1"/>
  <c r="J111" i="4"/>
  <c r="L111" i="4" s="1"/>
  <c r="N110" i="4"/>
  <c r="P110" i="4" s="1"/>
  <c r="J110" i="4"/>
  <c r="L110" i="4" s="1"/>
  <c r="N109" i="4"/>
  <c r="P109" i="4" s="1"/>
  <c r="P113" i="4" s="1"/>
  <c r="J109" i="4"/>
  <c r="L109" i="4" s="1"/>
  <c r="N98" i="4"/>
  <c r="P98" i="4" s="1"/>
  <c r="J98" i="4"/>
  <c r="L98" i="4" s="1"/>
  <c r="N97" i="4"/>
  <c r="P97" i="4" s="1"/>
  <c r="J97" i="4"/>
  <c r="L97" i="4" s="1"/>
  <c r="N95" i="4"/>
  <c r="P95" i="4" s="1"/>
  <c r="J95" i="4"/>
  <c r="L95" i="4" s="1"/>
  <c r="N94" i="4"/>
  <c r="P94" i="4" s="1"/>
  <c r="J94" i="4"/>
  <c r="L94" i="4" s="1"/>
  <c r="N83" i="4"/>
  <c r="P83" i="4" s="1"/>
  <c r="J83" i="4"/>
  <c r="L83" i="4" s="1"/>
  <c r="N82" i="4"/>
  <c r="P82" i="4" s="1"/>
  <c r="J82" i="4"/>
  <c r="L82" i="4" s="1"/>
  <c r="N80" i="4"/>
  <c r="P80" i="4" s="1"/>
  <c r="J80" i="4"/>
  <c r="L80" i="4" s="1"/>
  <c r="N67" i="4"/>
  <c r="P67" i="4" s="1"/>
  <c r="J67" i="4"/>
  <c r="L67" i="4" s="1"/>
  <c r="N65" i="4"/>
  <c r="P65" i="4" s="1"/>
  <c r="J65" i="4"/>
  <c r="L65" i="4" s="1"/>
  <c r="N64" i="4"/>
  <c r="P64" i="4" s="1"/>
  <c r="J64" i="4"/>
  <c r="L64" i="4" s="1"/>
  <c r="N63" i="4"/>
  <c r="P63" i="4" s="1"/>
  <c r="J63" i="4"/>
  <c r="L63" i="4" s="1"/>
  <c r="N62" i="4"/>
  <c r="P62" i="4" s="1"/>
  <c r="J62" i="4"/>
  <c r="L62" i="4" s="1"/>
  <c r="N60" i="4"/>
  <c r="P60" i="4" s="1"/>
  <c r="J60" i="4"/>
  <c r="L60" i="4" s="1"/>
  <c r="N59" i="4"/>
  <c r="P59" i="4" s="1"/>
  <c r="J59" i="4"/>
  <c r="L59" i="4" s="1"/>
  <c r="N58" i="4"/>
  <c r="P58" i="4" s="1"/>
  <c r="J58" i="4"/>
  <c r="L58" i="4" s="1"/>
  <c r="N57" i="4"/>
  <c r="P57" i="4" s="1"/>
  <c r="J57" i="4"/>
  <c r="L57" i="4" s="1"/>
  <c r="N56" i="4"/>
  <c r="P56" i="4" s="1"/>
  <c r="J56" i="4"/>
  <c r="L56" i="4" s="1"/>
  <c r="N45" i="4"/>
  <c r="P45" i="4" s="1"/>
  <c r="J45" i="4"/>
  <c r="L45" i="4" s="1"/>
  <c r="N43" i="4"/>
  <c r="P43" i="4" s="1"/>
  <c r="J43" i="4"/>
  <c r="L43" i="4" s="1"/>
  <c r="N42" i="4"/>
  <c r="P42" i="4" s="1"/>
  <c r="J42" i="4"/>
  <c r="L42" i="4" s="1"/>
  <c r="N41" i="4"/>
  <c r="P41" i="4" s="1"/>
  <c r="J41" i="4"/>
  <c r="L41" i="4" s="1"/>
  <c r="N40" i="4"/>
  <c r="P40" i="4" s="1"/>
  <c r="J40" i="4"/>
  <c r="L40" i="4" s="1"/>
  <c r="N38" i="4"/>
  <c r="P38" i="4" s="1"/>
  <c r="J38" i="4"/>
  <c r="L38" i="4" s="1"/>
  <c r="N37" i="4"/>
  <c r="P37" i="4" s="1"/>
  <c r="J37" i="4"/>
  <c r="L37" i="4" s="1"/>
  <c r="N36" i="4"/>
  <c r="P36" i="4" s="1"/>
  <c r="J36" i="4"/>
  <c r="L36" i="4" s="1"/>
  <c r="N25" i="4"/>
  <c r="P25" i="4" s="1"/>
  <c r="J25" i="4"/>
  <c r="L25" i="4" s="1"/>
  <c r="N23" i="4"/>
  <c r="P23" i="4" s="1"/>
  <c r="J23" i="4"/>
  <c r="L23" i="4" s="1"/>
  <c r="N22" i="4"/>
  <c r="P22" i="4" s="1"/>
  <c r="J22" i="4"/>
  <c r="L22" i="4" s="1"/>
  <c r="N21" i="4"/>
  <c r="P21" i="4" s="1"/>
  <c r="J21" i="4"/>
  <c r="L21" i="4" s="1"/>
  <c r="N20" i="4"/>
  <c r="P20" i="4" s="1"/>
  <c r="J20" i="4"/>
  <c r="L20" i="4" s="1"/>
  <c r="N18" i="4"/>
  <c r="P18" i="4" s="1"/>
  <c r="J18" i="4"/>
  <c r="L18" i="4" s="1"/>
  <c r="N17" i="4"/>
  <c r="P17" i="4" s="1"/>
  <c r="P29" i="4" s="1"/>
  <c r="J17" i="4"/>
  <c r="L17" i="4" s="1"/>
  <c r="L86" i="4" l="1"/>
  <c r="P382" i="4"/>
  <c r="P383" i="4" s="1"/>
  <c r="P491" i="4"/>
  <c r="P194" i="4"/>
  <c r="P200" i="4" s="1"/>
  <c r="P396" i="4"/>
  <c r="P49" i="4"/>
  <c r="P71" i="4"/>
  <c r="P86" i="4"/>
  <c r="K20" i="6" s="1"/>
  <c r="P101" i="4"/>
  <c r="P165" i="4"/>
  <c r="P176" i="4"/>
  <c r="P455" i="4"/>
  <c r="P457" i="4" s="1"/>
  <c r="P210" i="4"/>
  <c r="P216" i="4" s="1"/>
  <c r="L210" i="4"/>
  <c r="L176" i="4"/>
  <c r="L464" i="4"/>
  <c r="K34" i="6" s="1"/>
  <c r="L194" i="4"/>
  <c r="L455" i="4"/>
  <c r="L457" i="4" s="1"/>
  <c r="K20" i="2"/>
  <c r="L49" i="4"/>
  <c r="L491" i="4"/>
  <c r="L29" i="4"/>
  <c r="L71" i="4"/>
  <c r="L101" i="4"/>
  <c r="L113" i="4"/>
  <c r="L165" i="4"/>
  <c r="L198" i="4"/>
  <c r="K44" i="2"/>
  <c r="K44" i="6"/>
  <c r="K43" i="6"/>
  <c r="K43" i="2"/>
  <c r="K35" i="6"/>
  <c r="K35" i="2"/>
  <c r="L184" i="4"/>
  <c r="L214" i="4"/>
  <c r="L375" i="4"/>
  <c r="L382" i="4"/>
  <c r="L396" i="4"/>
  <c r="H511" i="4"/>
  <c r="P511" i="4" l="1"/>
  <c r="K34" i="2"/>
  <c r="L216" i="4"/>
  <c r="K29" i="6" s="1"/>
  <c r="K25" i="6"/>
  <c r="K25" i="2"/>
  <c r="L200" i="4"/>
  <c r="K45" i="6"/>
  <c r="K48" i="6" s="1"/>
  <c r="K33" i="2"/>
  <c r="K33" i="6"/>
  <c r="K32" i="6"/>
  <c r="K32" i="2"/>
  <c r="K22" i="2"/>
  <c r="K22" i="6"/>
  <c r="K36" i="6"/>
  <c r="K36" i="2"/>
  <c r="L383" i="4"/>
  <c r="K26" i="6"/>
  <c r="K26" i="2"/>
  <c r="K24" i="6"/>
  <c r="K24" i="2"/>
  <c r="K21" i="6"/>
  <c r="K21" i="2"/>
  <c r="K16" i="6"/>
  <c r="K16" i="2"/>
  <c r="K15" i="2"/>
  <c r="K15" i="6"/>
  <c r="A18" i="9"/>
  <c r="T31" i="9"/>
  <c r="U31" i="9"/>
  <c r="A19" i="9"/>
  <c r="A17" i="9"/>
  <c r="K27" i="6" l="1"/>
  <c r="K15" i="9"/>
  <c r="C10" i="9"/>
  <c r="K29" i="2"/>
  <c r="L511" i="4"/>
  <c r="K28" i="2"/>
  <c r="K28" i="6"/>
  <c r="K30" i="6" s="1"/>
  <c r="K18" i="6"/>
  <c r="K31" i="6"/>
  <c r="K31" i="2"/>
  <c r="K23" i="6"/>
  <c r="C21" i="9"/>
  <c r="K18" i="9"/>
  <c r="K30" i="9"/>
  <c r="K20" i="9"/>
  <c r="C30" i="9"/>
  <c r="C28" i="9"/>
  <c r="C24" i="9"/>
  <c r="C12" i="9"/>
  <c r="C11" i="9"/>
  <c r="C20" i="9"/>
  <c r="C18" i="9"/>
  <c r="C15" i="9"/>
  <c r="C13" i="9"/>
  <c r="C23" i="9"/>
  <c r="K13" i="9"/>
  <c r="K14" i="9"/>
  <c r="K25" i="9"/>
  <c r="K27" i="9"/>
  <c r="K31" i="9"/>
  <c r="K10" i="9"/>
  <c r="K11" i="9"/>
  <c r="K12" i="9"/>
  <c r="C29" i="9"/>
  <c r="C26" i="9"/>
  <c r="C22" i="9"/>
  <c r="C19" i="9"/>
  <c r="C16" i="9"/>
  <c r="C14" i="9"/>
  <c r="K24" i="9"/>
  <c r="C25" i="9"/>
  <c r="C27" i="9"/>
  <c r="K28" i="9"/>
  <c r="C31" i="9"/>
  <c r="K29" i="9"/>
  <c r="K26" i="9"/>
  <c r="K22" i="9"/>
  <c r="K17" i="9"/>
  <c r="K16" i="9"/>
  <c r="K21" i="9"/>
  <c r="K23" i="9"/>
  <c r="K38" i="6" l="1"/>
  <c r="K49" i="6" s="1"/>
  <c r="K50" i="6" s="1"/>
  <c r="U37" i="9"/>
  <c r="U39" i="9"/>
  <c r="U38" i="9"/>
  <c r="U40" i="9"/>
  <c r="O47" i="6" l="1"/>
  <c r="Q46" i="6"/>
  <c r="Q37" i="6"/>
  <c r="I30" i="6"/>
  <c r="G30" i="6"/>
  <c r="I27" i="6"/>
  <c r="G27" i="6"/>
  <c r="O17" i="6"/>
  <c r="A16" i="6"/>
  <c r="A17" i="6" s="1"/>
  <c r="E12" i="6"/>
  <c r="U46" i="6" l="1"/>
  <c r="W46" i="6"/>
  <c r="Y46" i="6" s="1"/>
  <c r="U37" i="6"/>
  <c r="W37" i="6"/>
  <c r="Y37" i="6" s="1"/>
  <c r="Q47" i="6"/>
  <c r="Q17" i="6"/>
  <c r="I18" i="6"/>
  <c r="G12" i="6"/>
  <c r="I12" i="6" s="1"/>
  <c r="O37" i="6"/>
  <c r="O46" i="6"/>
  <c r="I38" i="6"/>
  <c r="G45" i="6"/>
  <c r="G48" i="6" s="1"/>
  <c r="G18" i="6"/>
  <c r="I23" i="6"/>
  <c r="I45" i="6"/>
  <c r="I48" i="6" s="1"/>
  <c r="G23" i="6"/>
  <c r="G38" i="6"/>
  <c r="A18" i="6"/>
  <c r="W47" i="6" l="1"/>
  <c r="Y47" i="6" s="1"/>
  <c r="U47" i="6"/>
  <c r="AA47" i="6" s="1"/>
  <c r="AC47" i="6" s="1"/>
  <c r="AA46" i="6"/>
  <c r="AC46" i="6" s="1"/>
  <c r="W17" i="6"/>
  <c r="U17" i="6"/>
  <c r="AA17" i="6" s="1"/>
  <c r="AC17" i="6" s="1"/>
  <c r="AA37" i="6"/>
  <c r="AC37" i="6" s="1"/>
  <c r="A20" i="6"/>
  <c r="A21" i="6" s="1"/>
  <c r="A22" i="6" s="1"/>
  <c r="A23" i="6" s="1"/>
  <c r="A24" i="6" s="1"/>
  <c r="A25" i="6" s="1"/>
  <c r="I49" i="6"/>
  <c r="I50" i="6" s="1"/>
  <c r="G49" i="6"/>
  <c r="G50" i="6" s="1"/>
  <c r="K12" i="6"/>
  <c r="R372" i="4"/>
  <c r="T372" i="4" s="1"/>
  <c r="R181" i="4"/>
  <c r="T181" i="4" s="1"/>
  <c r="R170" i="4"/>
  <c r="T170" i="4" s="1"/>
  <c r="R158" i="4"/>
  <c r="T158" i="4" s="1"/>
  <c r="R106" i="4"/>
  <c r="T106" i="4" s="1"/>
  <c r="R108" i="4"/>
  <c r="T108" i="4" s="1"/>
  <c r="R79" i="4"/>
  <c r="T79" i="4" s="1"/>
  <c r="X509" i="4"/>
  <c r="V490" i="4"/>
  <c r="X490" i="4" s="1"/>
  <c r="V489" i="4"/>
  <c r="X489" i="4" s="1"/>
  <c r="V488" i="4"/>
  <c r="X488" i="4" s="1"/>
  <c r="V486" i="4"/>
  <c r="X486" i="4" s="1"/>
  <c r="V485" i="4"/>
  <c r="X485" i="4" s="1"/>
  <c r="V483" i="4"/>
  <c r="X483" i="4" s="1"/>
  <c r="V482" i="4"/>
  <c r="X482" i="4" s="1"/>
  <c r="V480" i="4"/>
  <c r="X480" i="4" s="1"/>
  <c r="V479" i="4"/>
  <c r="X479" i="4" s="1"/>
  <c r="V477" i="4"/>
  <c r="X477" i="4" s="1"/>
  <c r="V476" i="4"/>
  <c r="X476" i="4" s="1"/>
  <c r="V463" i="4"/>
  <c r="X463" i="4" s="1"/>
  <c r="V462" i="4"/>
  <c r="X462" i="4" s="1"/>
  <c r="R476" i="4"/>
  <c r="T476" i="4" s="1"/>
  <c r="R477" i="4"/>
  <c r="T477" i="4" s="1"/>
  <c r="R479" i="4"/>
  <c r="T479" i="4" s="1"/>
  <c r="R480" i="4"/>
  <c r="T480" i="4" s="1"/>
  <c r="R482" i="4"/>
  <c r="T482" i="4" s="1"/>
  <c r="R483" i="4"/>
  <c r="T483" i="4" s="1"/>
  <c r="R485" i="4"/>
  <c r="T485" i="4" s="1"/>
  <c r="R486" i="4"/>
  <c r="T486" i="4" s="1"/>
  <c r="R488" i="4"/>
  <c r="T488" i="4" s="1"/>
  <c r="R489" i="4"/>
  <c r="T489" i="4" s="1"/>
  <c r="R490" i="4"/>
  <c r="T490" i="4" s="1"/>
  <c r="R449" i="4"/>
  <c r="T449" i="4" s="1"/>
  <c r="R404" i="4"/>
  <c r="T404" i="4" s="1"/>
  <c r="R405" i="4"/>
  <c r="T405" i="4" s="1"/>
  <c r="R407" i="4"/>
  <c r="T407" i="4" s="1"/>
  <c r="R408" i="4"/>
  <c r="T408" i="4" s="1"/>
  <c r="R410" i="4"/>
  <c r="T410" i="4" s="1"/>
  <c r="R411" i="4"/>
  <c r="T411" i="4" s="1"/>
  <c r="R414" i="4"/>
  <c r="T414" i="4" s="1"/>
  <c r="R417" i="4"/>
  <c r="T417" i="4" s="1"/>
  <c r="R418" i="4"/>
  <c r="T418" i="4" s="1"/>
  <c r="R420" i="4"/>
  <c r="T420" i="4" s="1"/>
  <c r="R421" i="4"/>
  <c r="T421" i="4" s="1"/>
  <c r="R423" i="4"/>
  <c r="T423" i="4" s="1"/>
  <c r="R424" i="4"/>
  <c r="T424" i="4" s="1"/>
  <c r="R427" i="4"/>
  <c r="T427" i="4" s="1"/>
  <c r="R430" i="4"/>
  <c r="T430" i="4" s="1"/>
  <c r="R431" i="4"/>
  <c r="T431" i="4" s="1"/>
  <c r="R433" i="4"/>
  <c r="T433" i="4" s="1"/>
  <c r="R434" i="4"/>
  <c r="T434" i="4" s="1"/>
  <c r="R436" i="4"/>
  <c r="T436" i="4" s="1"/>
  <c r="R437" i="4"/>
  <c r="T437" i="4" s="1"/>
  <c r="R402" i="4"/>
  <c r="T402" i="4" s="1"/>
  <c r="T438" i="4" l="1"/>
  <c r="T491" i="4"/>
  <c r="Y17" i="6"/>
  <c r="M12" i="6"/>
  <c r="A26" i="6"/>
  <c r="R389" i="4"/>
  <c r="T389" i="4" s="1"/>
  <c r="R378" i="4"/>
  <c r="T378" i="4" s="1"/>
  <c r="R207" i="4"/>
  <c r="T207" i="4" s="1"/>
  <c r="R191" i="4"/>
  <c r="T191" i="4" s="1"/>
  <c r="R182" i="4"/>
  <c r="T182" i="4" s="1"/>
  <c r="T184" i="4" s="1"/>
  <c r="R107" i="4"/>
  <c r="T107" i="4" s="1"/>
  <c r="R92" i="4"/>
  <c r="T92" i="4" s="1"/>
  <c r="R93" i="4"/>
  <c r="T93" i="4" s="1"/>
  <c r="R78" i="4"/>
  <c r="T78" i="4" s="1"/>
  <c r="O12" i="6" l="1"/>
  <c r="A27" i="6"/>
  <c r="R463" i="4"/>
  <c r="T463" i="4" s="1"/>
  <c r="R462" i="4"/>
  <c r="T462" i="4" s="1"/>
  <c r="R454" i="4"/>
  <c r="T454" i="4" s="1"/>
  <c r="R453" i="4"/>
  <c r="T453" i="4" s="1"/>
  <c r="R452" i="4"/>
  <c r="T452" i="4" s="1"/>
  <c r="R451" i="4"/>
  <c r="T451" i="4" s="1"/>
  <c r="R450" i="4"/>
  <c r="T450" i="4" s="1"/>
  <c r="R393" i="4"/>
  <c r="T393" i="4" s="1"/>
  <c r="R392" i="4"/>
  <c r="T392" i="4" s="1"/>
  <c r="R391" i="4"/>
  <c r="T391" i="4" s="1"/>
  <c r="R390" i="4"/>
  <c r="T390" i="4" s="1"/>
  <c r="R388" i="4"/>
  <c r="T388" i="4" s="1"/>
  <c r="R380" i="4"/>
  <c r="T380" i="4" s="1"/>
  <c r="R379" i="4"/>
  <c r="T379" i="4" s="1"/>
  <c r="R373" i="4"/>
  <c r="T373" i="4" s="1"/>
  <c r="T375" i="4" s="1"/>
  <c r="R213" i="4"/>
  <c r="T213" i="4" s="1"/>
  <c r="T214" i="4" s="1"/>
  <c r="R209" i="4"/>
  <c r="T209" i="4" s="1"/>
  <c r="R208" i="4"/>
  <c r="T208" i="4" s="1"/>
  <c r="R206" i="4"/>
  <c r="T206" i="4" s="1"/>
  <c r="R197" i="4"/>
  <c r="T197" i="4" s="1"/>
  <c r="T198" i="4" s="1"/>
  <c r="R193" i="4"/>
  <c r="T193" i="4" s="1"/>
  <c r="R192" i="4"/>
  <c r="T192" i="4" s="1"/>
  <c r="T194" i="4" s="1"/>
  <c r="R174" i="4"/>
  <c r="T174" i="4" s="1"/>
  <c r="R173" i="4"/>
  <c r="T173" i="4" s="1"/>
  <c r="R172" i="4"/>
  <c r="T172" i="4" s="1"/>
  <c r="R171" i="4"/>
  <c r="T171" i="4" s="1"/>
  <c r="R111" i="4"/>
  <c r="T111" i="4" s="1"/>
  <c r="R110" i="4"/>
  <c r="T110" i="4" s="1"/>
  <c r="R109" i="4"/>
  <c r="T109" i="4" s="1"/>
  <c r="R98" i="4"/>
  <c r="T98" i="4" s="1"/>
  <c r="R97" i="4"/>
  <c r="T97" i="4" s="1"/>
  <c r="R95" i="4"/>
  <c r="T95" i="4" s="1"/>
  <c r="R94" i="4"/>
  <c r="T94" i="4" s="1"/>
  <c r="R83" i="4"/>
  <c r="T83" i="4" s="1"/>
  <c r="R82" i="4"/>
  <c r="T82" i="4" s="1"/>
  <c r="R80" i="4"/>
  <c r="T80" i="4" s="1"/>
  <c r="R67" i="4"/>
  <c r="T67" i="4" s="1"/>
  <c r="R65" i="4"/>
  <c r="T65" i="4" s="1"/>
  <c r="R64" i="4"/>
  <c r="T64" i="4" s="1"/>
  <c r="R63" i="4"/>
  <c r="T63" i="4" s="1"/>
  <c r="R62" i="4"/>
  <c r="T62" i="4" s="1"/>
  <c r="R60" i="4"/>
  <c r="T60" i="4" s="1"/>
  <c r="R59" i="4"/>
  <c r="T59" i="4" s="1"/>
  <c r="R58" i="4"/>
  <c r="T58" i="4" s="1"/>
  <c r="R57" i="4"/>
  <c r="T57" i="4" s="1"/>
  <c r="R56" i="4"/>
  <c r="T56" i="4" s="1"/>
  <c r="R45" i="4"/>
  <c r="T45" i="4" s="1"/>
  <c r="R43" i="4"/>
  <c r="T43" i="4" s="1"/>
  <c r="R42" i="4"/>
  <c r="T42" i="4" s="1"/>
  <c r="R41" i="4"/>
  <c r="T41" i="4" s="1"/>
  <c r="R40" i="4"/>
  <c r="T40" i="4" s="1"/>
  <c r="R38" i="4"/>
  <c r="T38" i="4" s="1"/>
  <c r="R37" i="4"/>
  <c r="T37" i="4" s="1"/>
  <c r="R36" i="4"/>
  <c r="T36" i="4" s="1"/>
  <c r="R25" i="4"/>
  <c r="T25" i="4" s="1"/>
  <c r="R23" i="4"/>
  <c r="T23" i="4" s="1"/>
  <c r="R22" i="4"/>
  <c r="T22" i="4" s="1"/>
  <c r="R21" i="4"/>
  <c r="T21" i="4" s="1"/>
  <c r="R20" i="4"/>
  <c r="T20" i="4" s="1"/>
  <c r="R18" i="4"/>
  <c r="T18" i="4" s="1"/>
  <c r="R17" i="4"/>
  <c r="T17" i="4" s="1"/>
  <c r="T86" i="4" l="1"/>
  <c r="T29" i="4"/>
  <c r="T101" i="4"/>
  <c r="T113" i="4"/>
  <c r="T382" i="4"/>
  <c r="T383" i="4" s="1"/>
  <c r="T396" i="4"/>
  <c r="T200" i="4"/>
  <c r="T71" i="4"/>
  <c r="T210" i="4"/>
  <c r="T216" i="4" s="1"/>
  <c r="T49" i="4"/>
  <c r="T176" i="4"/>
  <c r="T464" i="4"/>
  <c r="Q12" i="6"/>
  <c r="S12" i="6" s="1"/>
  <c r="U12" i="6" s="1"/>
  <c r="W12" i="6" s="1"/>
  <c r="A28" i="6"/>
  <c r="A29" i="6" s="1"/>
  <c r="A30" i="6" s="1"/>
  <c r="X469" i="4"/>
  <c r="Q35" i="2" l="1"/>
  <c r="N35" i="2"/>
  <c r="O35" i="6"/>
  <c r="Q35" i="6"/>
  <c r="Y12" i="6"/>
  <c r="AA12" i="6" s="1"/>
  <c r="A31" i="6"/>
  <c r="O34" i="6" l="1"/>
  <c r="N34" i="2"/>
  <c r="W35" i="6"/>
  <c r="Y35" i="6" s="1"/>
  <c r="U35" i="6"/>
  <c r="AA35" i="6" s="1"/>
  <c r="AC35" i="6" s="1"/>
  <c r="AC12" i="6"/>
  <c r="A32" i="6"/>
  <c r="X464" i="4"/>
  <c r="Q34" i="6" l="1"/>
  <c r="W34" i="6" s="1"/>
  <c r="Y34" i="6" s="1"/>
  <c r="Q34" i="2"/>
  <c r="A33" i="6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U34" i="6" l="1"/>
  <c r="AA34" i="6" s="1"/>
  <c r="AC34" i="6" s="1"/>
  <c r="N36" i="2" l="1"/>
  <c r="Q33" i="6"/>
  <c r="W33" i="6" s="1"/>
  <c r="Y33" i="6" s="1"/>
  <c r="Q44" i="6"/>
  <c r="W44" i="6" s="1"/>
  <c r="Y44" i="6" s="1"/>
  <c r="Q25" i="6"/>
  <c r="Q24" i="6"/>
  <c r="W24" i="6" s="1"/>
  <c r="Y24" i="6" s="1"/>
  <c r="Q36" i="6"/>
  <c r="O36" i="6"/>
  <c r="Q43" i="6"/>
  <c r="W43" i="6" s="1"/>
  <c r="Y43" i="6" s="1"/>
  <c r="M44" i="6"/>
  <c r="O44" i="6" s="1"/>
  <c r="M44" i="2"/>
  <c r="X491" i="4"/>
  <c r="Q26" i="6" l="1"/>
  <c r="W26" i="6" s="1"/>
  <c r="Y26" i="6" s="1"/>
  <c r="Q36" i="2"/>
  <c r="P40" i="2"/>
  <c r="Q42" i="6"/>
  <c r="W42" i="6" s="1"/>
  <c r="Y42" i="6" s="1"/>
  <c r="Q40" i="6"/>
  <c r="Q31" i="6"/>
  <c r="W31" i="6" s="1"/>
  <c r="Y31" i="6" s="1"/>
  <c r="K30" i="2"/>
  <c r="Q28" i="6"/>
  <c r="Q29" i="6"/>
  <c r="W29" i="6" s="1"/>
  <c r="Y29" i="6" s="1"/>
  <c r="M43" i="6"/>
  <c r="O43" i="6" s="1"/>
  <c r="M43" i="2"/>
  <c r="N43" i="2" s="1"/>
  <c r="M28" i="6"/>
  <c r="M28" i="2"/>
  <c r="N28" i="2" s="1"/>
  <c r="M25" i="6"/>
  <c r="M25" i="2"/>
  <c r="N25" i="2" s="1"/>
  <c r="N44" i="2"/>
  <c r="W36" i="6"/>
  <c r="Y36" i="6" s="1"/>
  <c r="U36" i="6"/>
  <c r="AA36" i="6" s="1"/>
  <c r="AC36" i="6" s="1"/>
  <c r="Q41" i="6"/>
  <c r="W41" i="6" s="1"/>
  <c r="Y41" i="6" s="1"/>
  <c r="M32" i="6"/>
  <c r="O32" i="6" s="1"/>
  <c r="M32" i="2"/>
  <c r="N32" i="2" s="1"/>
  <c r="M29" i="6"/>
  <c r="O29" i="6" s="1"/>
  <c r="M29" i="2"/>
  <c r="N29" i="2" s="1"/>
  <c r="M26" i="6"/>
  <c r="O26" i="6" s="1"/>
  <c r="M26" i="2"/>
  <c r="N26" i="2" s="1"/>
  <c r="Q32" i="6"/>
  <c r="W32" i="6" s="1"/>
  <c r="Y32" i="6" s="1"/>
  <c r="W25" i="6"/>
  <c r="Q27" i="6" l="1"/>
  <c r="K45" i="2"/>
  <c r="Q21" i="6"/>
  <c r="W21" i="6" s="1"/>
  <c r="Y21" i="6" s="1"/>
  <c r="Q16" i="6"/>
  <c r="W16" i="6" s="1"/>
  <c r="Y16" i="6" s="1"/>
  <c r="Q15" i="6"/>
  <c r="Q22" i="6"/>
  <c r="W22" i="6" s="1"/>
  <c r="Y22" i="6" s="1"/>
  <c r="M42" i="6"/>
  <c r="O42" i="6" s="1"/>
  <c r="M42" i="2"/>
  <c r="N42" i="2" s="1"/>
  <c r="W28" i="6"/>
  <c r="Q30" i="6"/>
  <c r="M41" i="6"/>
  <c r="O41" i="6" s="1"/>
  <c r="M41" i="2"/>
  <c r="N41" i="2" s="1"/>
  <c r="Y25" i="6"/>
  <c r="W27" i="6"/>
  <c r="Y27" i="6" s="1"/>
  <c r="M30" i="6"/>
  <c r="O28" i="6"/>
  <c r="O30" i="6" s="1"/>
  <c r="M27" i="6"/>
  <c r="O25" i="6"/>
  <c r="O27" i="6" s="1"/>
  <c r="M40" i="6"/>
  <c r="M40" i="2"/>
  <c r="M31" i="6"/>
  <c r="O31" i="6" s="1"/>
  <c r="M31" i="2"/>
  <c r="N31" i="2" s="1"/>
  <c r="W40" i="6"/>
  <c r="Q45" i="6"/>
  <c r="Q48" i="6" s="1"/>
  <c r="W45" i="6" l="1"/>
  <c r="Y40" i="6"/>
  <c r="M45" i="2"/>
  <c r="M48" i="2" s="1"/>
  <c r="N40" i="2"/>
  <c r="M21" i="6"/>
  <c r="O21" i="6" s="1"/>
  <c r="M21" i="2"/>
  <c r="N21" i="2" s="1"/>
  <c r="M45" i="6"/>
  <c r="M48" i="6" s="1"/>
  <c r="O40" i="6"/>
  <c r="O45" i="6" s="1"/>
  <c r="O48" i="6" s="1"/>
  <c r="W30" i="6"/>
  <c r="Y30" i="6" s="1"/>
  <c r="Y28" i="6"/>
  <c r="M15" i="6"/>
  <c r="M15" i="2"/>
  <c r="M16" i="6"/>
  <c r="O16" i="6" s="1"/>
  <c r="M16" i="2"/>
  <c r="N16" i="2" s="1"/>
  <c r="M22" i="6"/>
  <c r="O22" i="6" s="1"/>
  <c r="M22" i="2"/>
  <c r="N22" i="2" s="1"/>
  <c r="W15" i="6"/>
  <c r="Q18" i="6"/>
  <c r="Y15" i="6" l="1"/>
  <c r="W18" i="6"/>
  <c r="Y18" i="6" s="1"/>
  <c r="N15" i="2"/>
  <c r="M18" i="2"/>
  <c r="M18" i="6"/>
  <c r="O15" i="6"/>
  <c r="O18" i="6" s="1"/>
  <c r="W48" i="6"/>
  <c r="Y45" i="6"/>
  <c r="Y48" i="6" l="1"/>
  <c r="A16" i="2" l="1"/>
  <c r="E12" i="2"/>
  <c r="Q47" i="2" l="1"/>
  <c r="N47" i="2"/>
  <c r="G12" i="2"/>
  <c r="I12" i="2" s="1"/>
  <c r="A17" i="2"/>
  <c r="Q37" i="2" l="1"/>
  <c r="N37" i="2"/>
  <c r="G45" i="2"/>
  <c r="G48" i="2" s="1"/>
  <c r="G27" i="2"/>
  <c r="A18" i="2"/>
  <c r="A20" i="2" s="1"/>
  <c r="K12" i="2"/>
  <c r="I18" i="2"/>
  <c r="G23" i="2"/>
  <c r="G30" i="2"/>
  <c r="I45" i="2"/>
  <c r="G18" i="2"/>
  <c r="M12" i="2" l="1"/>
  <c r="P12" i="2" s="1"/>
  <c r="I30" i="2"/>
  <c r="I48" i="2"/>
  <c r="A21" i="2"/>
  <c r="G38" i="2"/>
  <c r="I27" i="2" l="1"/>
  <c r="G49" i="2"/>
  <c r="G50" i="2" s="1"/>
  <c r="A22" i="2"/>
  <c r="K27" i="2" l="1"/>
  <c r="A23" i="2"/>
  <c r="A24" i="2" s="1"/>
  <c r="I23" i="2" l="1"/>
  <c r="I38" i="2"/>
  <c r="A25" i="2"/>
  <c r="K18" i="2"/>
  <c r="N46" i="2" l="1"/>
  <c r="Q46" i="2"/>
  <c r="N18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I49" i="2"/>
  <c r="I50" i="2" s="1"/>
  <c r="N45" i="2" l="1"/>
  <c r="K48" i="2"/>
  <c r="A36" i="2"/>
  <c r="A37" i="2" s="1"/>
  <c r="A38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N48" i="2" l="1"/>
  <c r="M27" i="2" l="1"/>
  <c r="N27" i="2" s="1"/>
  <c r="M30" i="2"/>
  <c r="N30" i="2" s="1"/>
  <c r="M20" i="6" l="1"/>
  <c r="O20" i="6" s="1"/>
  <c r="M20" i="2"/>
  <c r="K38" i="2"/>
  <c r="K49" i="2" s="1"/>
  <c r="K50" i="2" s="1"/>
  <c r="K23" i="2"/>
  <c r="Q20" i="6"/>
  <c r="R443" i="4"/>
  <c r="T443" i="4" s="1"/>
  <c r="R442" i="4"/>
  <c r="T442" i="4" s="1"/>
  <c r="R163" i="4"/>
  <c r="T163" i="4" s="1"/>
  <c r="R446" i="4"/>
  <c r="T446" i="4" s="1"/>
  <c r="R162" i="4"/>
  <c r="T162" i="4" s="1"/>
  <c r="R160" i="4"/>
  <c r="T160" i="4" s="1"/>
  <c r="R159" i="4"/>
  <c r="T159" i="4" s="1"/>
  <c r="T165" i="4" s="1"/>
  <c r="R445" i="4"/>
  <c r="T445" i="4" s="1"/>
  <c r="R161" i="4"/>
  <c r="T161" i="4" s="1"/>
  <c r="R447" i="4"/>
  <c r="T447" i="4" s="1"/>
  <c r="R444" i="4"/>
  <c r="T444" i="4" s="1"/>
  <c r="R441" i="4"/>
  <c r="T441" i="4" s="1"/>
  <c r="T455" i="4" l="1"/>
  <c r="T457" i="4" s="1"/>
  <c r="T511" i="4" s="1"/>
  <c r="P26" i="2"/>
  <c r="V180" i="4" s="1"/>
  <c r="P32" i="2"/>
  <c r="V387" i="4" s="1"/>
  <c r="P43" i="2"/>
  <c r="V364" i="4" s="1"/>
  <c r="P24" i="2"/>
  <c r="V157" i="4" s="1"/>
  <c r="P33" i="2"/>
  <c r="Q33" i="2" s="1"/>
  <c r="P44" i="2"/>
  <c r="P31" i="2"/>
  <c r="V371" i="4" s="1"/>
  <c r="P42" i="2"/>
  <c r="Q42" i="2" s="1"/>
  <c r="P25" i="2"/>
  <c r="V169" i="4" s="1"/>
  <c r="P28" i="2"/>
  <c r="P29" i="2"/>
  <c r="Q29" i="2" s="1"/>
  <c r="P41" i="2"/>
  <c r="P16" i="2"/>
  <c r="Q16" i="2" s="1"/>
  <c r="P15" i="2"/>
  <c r="P22" i="2"/>
  <c r="Q22" i="2" s="1"/>
  <c r="P21" i="2"/>
  <c r="V105" i="4" s="1"/>
  <c r="P20" i="2"/>
  <c r="Q23" i="6"/>
  <c r="W20" i="6"/>
  <c r="Q38" i="6"/>
  <c r="Q49" i="6" s="1"/>
  <c r="Q50" i="6" s="1"/>
  <c r="N20" i="2"/>
  <c r="M23" i="2"/>
  <c r="N23" i="2" s="1"/>
  <c r="O23" i="6"/>
  <c r="M23" i="6"/>
  <c r="V358" i="4" l="1"/>
  <c r="X358" i="4" s="1"/>
  <c r="X360" i="4" s="1"/>
  <c r="S44" i="6" s="1"/>
  <c r="U44" i="6" s="1"/>
  <c r="AA44" i="6" s="1"/>
  <c r="AC44" i="6" s="1"/>
  <c r="Q20" i="2"/>
  <c r="V77" i="4"/>
  <c r="X77" i="4" s="1"/>
  <c r="Q41" i="2"/>
  <c r="V153" i="4"/>
  <c r="P38" i="2"/>
  <c r="Q38" i="2" s="1"/>
  <c r="Q15" i="2"/>
  <c r="P18" i="2"/>
  <c r="V16" i="4" s="1"/>
  <c r="X153" i="4"/>
  <c r="Q40" i="2"/>
  <c r="P45" i="2"/>
  <c r="Q31" i="2"/>
  <c r="X371" i="4"/>
  <c r="Q43" i="2"/>
  <c r="Q28" i="2"/>
  <c r="P30" i="2"/>
  <c r="Q44" i="2"/>
  <c r="Q32" i="2"/>
  <c r="X387" i="4"/>
  <c r="Q24" i="2"/>
  <c r="X157" i="4"/>
  <c r="P23" i="2"/>
  <c r="Q23" i="2" s="1"/>
  <c r="Q21" i="2"/>
  <c r="X105" i="4"/>
  <c r="X169" i="4"/>
  <c r="P27" i="2"/>
  <c r="Q27" i="2" s="1"/>
  <c r="Q25" i="2"/>
  <c r="Q26" i="2"/>
  <c r="X180" i="4"/>
  <c r="W23" i="6"/>
  <c r="Y23" i="6" s="1"/>
  <c r="Y20" i="6"/>
  <c r="W38" i="6"/>
  <c r="M33" i="6"/>
  <c r="O33" i="6" s="1"/>
  <c r="M33" i="2"/>
  <c r="N33" i="2" s="1"/>
  <c r="M24" i="6"/>
  <c r="M24" i="2"/>
  <c r="V190" i="4" l="1"/>
  <c r="X190" i="4" s="1"/>
  <c r="X364" i="4"/>
  <c r="X366" i="4" s="1"/>
  <c r="S43" i="6" s="1"/>
  <c r="U43" i="6" s="1"/>
  <c r="AA43" i="6" s="1"/>
  <c r="AC43" i="6" s="1"/>
  <c r="V83" i="4"/>
  <c r="X83" i="4" s="1"/>
  <c r="V98" i="4"/>
  <c r="X98" i="4" s="1"/>
  <c r="V79" i="4"/>
  <c r="X79" i="4" s="1"/>
  <c r="V80" i="4"/>
  <c r="X80" i="4" s="1"/>
  <c r="V95" i="4"/>
  <c r="X95" i="4" s="1"/>
  <c r="V78" i="4"/>
  <c r="X78" i="4" s="1"/>
  <c r="V97" i="4"/>
  <c r="X97" i="4" s="1"/>
  <c r="V92" i="4"/>
  <c r="X92" i="4" s="1"/>
  <c r="V94" i="4"/>
  <c r="X94" i="4" s="1"/>
  <c r="V93" i="4"/>
  <c r="X93" i="4" s="1"/>
  <c r="V82" i="4"/>
  <c r="X82" i="4" s="1"/>
  <c r="S40" i="6"/>
  <c r="V351" i="4"/>
  <c r="V268" i="4"/>
  <c r="V182" i="4"/>
  <c r="X182" i="4" s="1"/>
  <c r="V181" i="4"/>
  <c r="X181" i="4" s="1"/>
  <c r="V173" i="4"/>
  <c r="X173" i="4" s="1"/>
  <c r="V450" i="4"/>
  <c r="X450" i="4" s="1"/>
  <c r="V453" i="4"/>
  <c r="X453" i="4" s="1"/>
  <c r="V170" i="4"/>
  <c r="X170" i="4" s="1"/>
  <c r="V171" i="4"/>
  <c r="X171" i="4" s="1"/>
  <c r="V452" i="4"/>
  <c r="X452" i="4" s="1"/>
  <c r="V454" i="4"/>
  <c r="X454" i="4" s="1"/>
  <c r="V174" i="4"/>
  <c r="X174" i="4" s="1"/>
  <c r="V172" i="4"/>
  <c r="X172" i="4" s="1"/>
  <c r="V449" i="4"/>
  <c r="X449" i="4" s="1"/>
  <c r="V451" i="4"/>
  <c r="X451" i="4" s="1"/>
  <c r="V160" i="4"/>
  <c r="X160" i="4" s="1"/>
  <c r="V441" i="4"/>
  <c r="X441" i="4" s="1"/>
  <c r="V447" i="4"/>
  <c r="X447" i="4" s="1"/>
  <c r="V162" i="4"/>
  <c r="X162" i="4" s="1"/>
  <c r="V442" i="4"/>
  <c r="X442" i="4" s="1"/>
  <c r="V161" i="4"/>
  <c r="X161" i="4" s="1"/>
  <c r="V444" i="4"/>
  <c r="X444" i="4" s="1"/>
  <c r="V163" i="4"/>
  <c r="X163" i="4" s="1"/>
  <c r="V159" i="4"/>
  <c r="X159" i="4" s="1"/>
  <c r="V446" i="4"/>
  <c r="X446" i="4" s="1"/>
  <c r="V443" i="4"/>
  <c r="X443" i="4" s="1"/>
  <c r="V158" i="4"/>
  <c r="X158" i="4" s="1"/>
  <c r="V445" i="4"/>
  <c r="X445" i="4" s="1"/>
  <c r="P48" i="2"/>
  <c r="Q45" i="2"/>
  <c r="V392" i="4"/>
  <c r="X392" i="4" s="1"/>
  <c r="V389" i="4"/>
  <c r="X389" i="4" s="1"/>
  <c r="V391" i="4"/>
  <c r="X391" i="4" s="1"/>
  <c r="V388" i="4"/>
  <c r="X388" i="4" s="1"/>
  <c r="V390" i="4"/>
  <c r="X390" i="4" s="1"/>
  <c r="V393" i="4"/>
  <c r="X393" i="4" s="1"/>
  <c r="Q30" i="2"/>
  <c r="V378" i="4"/>
  <c r="X378" i="4" s="1"/>
  <c r="V373" i="4"/>
  <c r="X373" i="4" s="1"/>
  <c r="V379" i="4"/>
  <c r="X379" i="4" s="1"/>
  <c r="V380" i="4"/>
  <c r="X380" i="4" s="1"/>
  <c r="V372" i="4"/>
  <c r="X372" i="4" s="1"/>
  <c r="X16" i="4"/>
  <c r="Q18" i="2"/>
  <c r="V109" i="4"/>
  <c r="X109" i="4" s="1"/>
  <c r="V107" i="4"/>
  <c r="X107" i="4" s="1"/>
  <c r="V106" i="4"/>
  <c r="X106" i="4" s="1"/>
  <c r="V108" i="4"/>
  <c r="X108" i="4" s="1"/>
  <c r="V111" i="4"/>
  <c r="X111" i="4" s="1"/>
  <c r="V110" i="4"/>
  <c r="X110" i="4" s="1"/>
  <c r="O24" i="6"/>
  <c r="M38" i="6"/>
  <c r="M49" i="6" s="1"/>
  <c r="M50" i="6" s="1"/>
  <c r="Y38" i="6"/>
  <c r="W49" i="6"/>
  <c r="N24" i="2"/>
  <c r="M38" i="2"/>
  <c r="X268" i="4" l="1"/>
  <c r="S41" i="6" s="1"/>
  <c r="X351" i="4"/>
  <c r="S42" i="6" s="1"/>
  <c r="U42" i="6" s="1"/>
  <c r="AA42" i="6" s="1"/>
  <c r="AC42" i="6" s="1"/>
  <c r="X86" i="4"/>
  <c r="S20" i="6" s="1"/>
  <c r="X101" i="4"/>
  <c r="S22" i="6" s="1"/>
  <c r="U22" i="6" s="1"/>
  <c r="AA22" i="6" s="1"/>
  <c r="AC22" i="6" s="1"/>
  <c r="X176" i="4"/>
  <c r="S25" i="6" s="1"/>
  <c r="V209" i="4"/>
  <c r="X209" i="4" s="1"/>
  <c r="V193" i="4"/>
  <c r="X193" i="4" s="1"/>
  <c r="V197" i="4"/>
  <c r="V208" i="4"/>
  <c r="X208" i="4" s="1"/>
  <c r="V206" i="4"/>
  <c r="X206" i="4" s="1"/>
  <c r="V213" i="4"/>
  <c r="V207" i="4"/>
  <c r="X207" i="4" s="1"/>
  <c r="V192" i="4"/>
  <c r="X192" i="4" s="1"/>
  <c r="V191" i="4"/>
  <c r="X191" i="4" s="1"/>
  <c r="X375" i="4"/>
  <c r="X396" i="4"/>
  <c r="S32" i="6" s="1"/>
  <c r="U32" i="6" s="1"/>
  <c r="AA32" i="6" s="1"/>
  <c r="AC32" i="6" s="1"/>
  <c r="Q48" i="2"/>
  <c r="P49" i="2"/>
  <c r="U40" i="6"/>
  <c r="V40" i="4"/>
  <c r="X40" i="4" s="1"/>
  <c r="V41" i="4"/>
  <c r="X41" i="4" s="1"/>
  <c r="V43" i="4"/>
  <c r="X43" i="4" s="1"/>
  <c r="V22" i="4"/>
  <c r="X22" i="4" s="1"/>
  <c r="V62" i="4"/>
  <c r="X62" i="4" s="1"/>
  <c r="V63" i="4"/>
  <c r="X63" i="4" s="1"/>
  <c r="V36" i="4"/>
  <c r="X36" i="4" s="1"/>
  <c r="V64" i="4"/>
  <c r="X64" i="4" s="1"/>
  <c r="V65" i="4"/>
  <c r="X65" i="4" s="1"/>
  <c r="V42" i="4"/>
  <c r="X42" i="4" s="1"/>
  <c r="V17" i="4"/>
  <c r="X17" i="4" s="1"/>
  <c r="V45" i="4"/>
  <c r="X45" i="4" s="1"/>
  <c r="V58" i="4"/>
  <c r="X58" i="4" s="1"/>
  <c r="V60" i="4"/>
  <c r="X60" i="4" s="1"/>
  <c r="V67" i="4"/>
  <c r="X67" i="4" s="1"/>
  <c r="V59" i="4"/>
  <c r="X59" i="4" s="1"/>
  <c r="V56" i="4"/>
  <c r="X56" i="4" s="1"/>
  <c r="V23" i="4"/>
  <c r="X23" i="4" s="1"/>
  <c r="V18" i="4"/>
  <c r="X18" i="4" s="1"/>
  <c r="V37" i="4"/>
  <c r="X37" i="4" s="1"/>
  <c r="V20" i="4"/>
  <c r="X20" i="4" s="1"/>
  <c r="V57" i="4"/>
  <c r="X57" i="4" s="1"/>
  <c r="U18" i="9"/>
  <c r="V25" i="4"/>
  <c r="X25" i="4" s="1"/>
  <c r="V38" i="4"/>
  <c r="X38" i="4" s="1"/>
  <c r="V21" i="4"/>
  <c r="X21" i="4" s="1"/>
  <c r="X113" i="4"/>
  <c r="S21" i="6" s="1"/>
  <c r="U21" i="6" s="1"/>
  <c r="AA21" i="6" s="1"/>
  <c r="AC21" i="6" s="1"/>
  <c r="X382" i="4"/>
  <c r="X165" i="4"/>
  <c r="S24" i="6" s="1"/>
  <c r="U24" i="6" s="1"/>
  <c r="AA24" i="6" s="1"/>
  <c r="AC24" i="6" s="1"/>
  <c r="X455" i="4"/>
  <c r="X184" i="4"/>
  <c r="S26" i="6" s="1"/>
  <c r="U26" i="6" s="1"/>
  <c r="AA26" i="6" s="1"/>
  <c r="AC26" i="6" s="1"/>
  <c r="W50" i="6"/>
  <c r="Y50" i="6" s="1"/>
  <c r="Y49" i="6"/>
  <c r="M49" i="2"/>
  <c r="N38" i="2"/>
  <c r="O38" i="6"/>
  <c r="O49" i="6" s="1"/>
  <c r="O50" i="6" s="1"/>
  <c r="V401" i="4" l="1"/>
  <c r="X401" i="4" s="1"/>
  <c r="U41" i="6"/>
  <c r="AA41" i="6" s="1"/>
  <c r="AC41" i="6" s="1"/>
  <c r="S45" i="6"/>
  <c r="S48" i="6" s="1"/>
  <c r="X197" i="4"/>
  <c r="X198" i="4" s="1"/>
  <c r="X213" i="4"/>
  <c r="X214" i="4" s="1"/>
  <c r="X210" i="4"/>
  <c r="X49" i="4"/>
  <c r="X383" i="4"/>
  <c r="S31" i="6" s="1"/>
  <c r="U31" i="6" s="1"/>
  <c r="AA31" i="6" s="1"/>
  <c r="AC31" i="6" s="1"/>
  <c r="X194" i="4"/>
  <c r="V427" i="4"/>
  <c r="X427" i="4" s="1"/>
  <c r="V414" i="4"/>
  <c r="X414" i="4" s="1"/>
  <c r="V423" i="4"/>
  <c r="X423" i="4" s="1"/>
  <c r="V421" i="4"/>
  <c r="X421" i="4" s="1"/>
  <c r="X71" i="4"/>
  <c r="S16" i="6" s="1"/>
  <c r="U16" i="6" s="1"/>
  <c r="AA16" i="6" s="1"/>
  <c r="AC16" i="6" s="1"/>
  <c r="X29" i="4"/>
  <c r="AA40" i="6"/>
  <c r="P50" i="2"/>
  <c r="Q49" i="2"/>
  <c r="E12" i="9"/>
  <c r="E18" i="9"/>
  <c r="E19" i="9"/>
  <c r="E16" i="9"/>
  <c r="E22" i="9"/>
  <c r="E27" i="9"/>
  <c r="E15" i="9"/>
  <c r="E30" i="9"/>
  <c r="E28" i="9"/>
  <c r="E23" i="9"/>
  <c r="E31" i="9"/>
  <c r="E20" i="9"/>
  <c r="E10" i="9"/>
  <c r="E11" i="9"/>
  <c r="E13" i="9"/>
  <c r="E14" i="9"/>
  <c r="E26" i="9"/>
  <c r="E24" i="9"/>
  <c r="E29" i="9"/>
  <c r="E21" i="9"/>
  <c r="U26" i="9"/>
  <c r="E25" i="9"/>
  <c r="U25" i="6"/>
  <c r="S27" i="6"/>
  <c r="N49" i="2"/>
  <c r="M50" i="2"/>
  <c r="S23" i="6"/>
  <c r="U20" i="6"/>
  <c r="Q50" i="2" l="1"/>
  <c r="T55" i="2"/>
  <c r="V434" i="4"/>
  <c r="X434" i="4" s="1"/>
  <c r="V404" i="4"/>
  <c r="X404" i="4" s="1"/>
  <c r="V437" i="4"/>
  <c r="X437" i="4" s="1"/>
  <c r="V408" i="4"/>
  <c r="X408" i="4" s="1"/>
  <c r="V430" i="4"/>
  <c r="X430" i="4" s="1"/>
  <c r="V433" i="4"/>
  <c r="X433" i="4" s="1"/>
  <c r="V418" i="4"/>
  <c r="X418" i="4" s="1"/>
  <c r="V431" i="4"/>
  <c r="X431" i="4" s="1"/>
  <c r="V411" i="4"/>
  <c r="X411" i="4" s="1"/>
  <c r="V417" i="4"/>
  <c r="X417" i="4" s="1"/>
  <c r="V405" i="4"/>
  <c r="X405" i="4" s="1"/>
  <c r="V420" i="4"/>
  <c r="X420" i="4" s="1"/>
  <c r="U45" i="6"/>
  <c r="U48" i="6" s="1"/>
  <c r="V410" i="4"/>
  <c r="X410" i="4" s="1"/>
  <c r="V424" i="4"/>
  <c r="X424" i="4" s="1"/>
  <c r="V436" i="4"/>
  <c r="X436" i="4" s="1"/>
  <c r="V402" i="4"/>
  <c r="X402" i="4" s="1"/>
  <c r="V407" i="4"/>
  <c r="X407" i="4" s="1"/>
  <c r="X200" i="4"/>
  <c r="S28" i="6" s="1"/>
  <c r="U28" i="6" s="1"/>
  <c r="AA28" i="6" s="1"/>
  <c r="X216" i="4"/>
  <c r="S29" i="6" s="1"/>
  <c r="U29" i="6" s="1"/>
  <c r="AA29" i="6" s="1"/>
  <c r="AC29" i="6" s="1"/>
  <c r="S15" i="6"/>
  <c r="U15" i="6" s="1"/>
  <c r="I21" i="9"/>
  <c r="G21" i="9"/>
  <c r="I20" i="9"/>
  <c r="G20" i="9"/>
  <c r="G30" i="9"/>
  <c r="I30" i="9"/>
  <c r="G16" i="9"/>
  <c r="I16" i="9"/>
  <c r="AC40" i="6"/>
  <c r="AA45" i="6"/>
  <c r="AA25" i="6"/>
  <c r="U27" i="6"/>
  <c r="G29" i="9"/>
  <c r="I29" i="9"/>
  <c r="I13" i="9"/>
  <c r="G13" i="9"/>
  <c r="G31" i="9"/>
  <c r="I31" i="9"/>
  <c r="G15" i="9"/>
  <c r="I15" i="9"/>
  <c r="V37" i="9"/>
  <c r="I19" i="9"/>
  <c r="G19" i="9"/>
  <c r="S18" i="6"/>
  <c r="G25" i="9"/>
  <c r="I25" i="9"/>
  <c r="I24" i="9"/>
  <c r="G24" i="9"/>
  <c r="G11" i="9"/>
  <c r="I11" i="9"/>
  <c r="I23" i="9"/>
  <c r="G23" i="9"/>
  <c r="I27" i="9"/>
  <c r="G27" i="9"/>
  <c r="G18" i="9"/>
  <c r="I18" i="9"/>
  <c r="G14" i="9"/>
  <c r="I14" i="9"/>
  <c r="M17" i="9"/>
  <c r="M25" i="9"/>
  <c r="M31" i="9"/>
  <c r="M24" i="9"/>
  <c r="M26" i="9"/>
  <c r="M16" i="9"/>
  <c r="M22" i="9"/>
  <c r="M27" i="9"/>
  <c r="M18" i="9"/>
  <c r="M15" i="9"/>
  <c r="M20" i="9"/>
  <c r="M21" i="9"/>
  <c r="M10" i="9"/>
  <c r="M11" i="9"/>
  <c r="M30" i="9"/>
  <c r="M14" i="9"/>
  <c r="M28" i="9"/>
  <c r="M23" i="9"/>
  <c r="M13" i="9"/>
  <c r="M12" i="9"/>
  <c r="M29" i="9"/>
  <c r="I26" i="9"/>
  <c r="G26" i="9"/>
  <c r="G10" i="9"/>
  <c r="I10" i="9"/>
  <c r="G28" i="9"/>
  <c r="I28" i="9"/>
  <c r="G22" i="9"/>
  <c r="I22" i="9"/>
  <c r="I12" i="9"/>
  <c r="G12" i="9"/>
  <c r="N50" i="2"/>
  <c r="U23" i="6"/>
  <c r="AA20" i="6"/>
  <c r="X438" i="4" l="1"/>
  <c r="X457" i="4" s="1"/>
  <c r="S33" i="6" s="1"/>
  <c r="U30" i="6"/>
  <c r="S30" i="6"/>
  <c r="AC28" i="6"/>
  <c r="AA30" i="6"/>
  <c r="AC30" i="6" s="1"/>
  <c r="Q28" i="9"/>
  <c r="O28" i="9"/>
  <c r="O18" i="9"/>
  <c r="Q18" i="9"/>
  <c r="Q26" i="9"/>
  <c r="O26" i="9"/>
  <c r="Q14" i="9"/>
  <c r="O14" i="9"/>
  <c r="Q27" i="9"/>
  <c r="O27" i="9"/>
  <c r="V39" i="9"/>
  <c r="AC25" i="6"/>
  <c r="AA27" i="6"/>
  <c r="AC27" i="6" s="1"/>
  <c r="Q13" i="9"/>
  <c r="O13" i="9"/>
  <c r="Q30" i="9"/>
  <c r="O30" i="9"/>
  <c r="Q20" i="9"/>
  <c r="O20" i="9"/>
  <c r="Q22" i="9"/>
  <c r="O22" i="9"/>
  <c r="O31" i="9"/>
  <c r="Q31" i="9"/>
  <c r="U33" i="6"/>
  <c r="S38" i="6"/>
  <c r="S49" i="6" s="1"/>
  <c r="S50" i="6" s="1"/>
  <c r="AC45" i="6"/>
  <c r="AA48" i="6"/>
  <c r="AC48" i="6" s="1"/>
  <c r="Q29" i="9"/>
  <c r="O29" i="9"/>
  <c r="Q10" i="9"/>
  <c r="O10" i="9"/>
  <c r="Q17" i="9"/>
  <c r="O17" i="9"/>
  <c r="V38" i="9"/>
  <c r="O12" i="9"/>
  <c r="Q12" i="9"/>
  <c r="O21" i="9"/>
  <c r="Q21" i="9"/>
  <c r="Q24" i="9"/>
  <c r="O24" i="9"/>
  <c r="O23" i="9"/>
  <c r="Q23" i="9"/>
  <c r="O11" i="9"/>
  <c r="Q11" i="9"/>
  <c r="Q15" i="9"/>
  <c r="O15" i="9"/>
  <c r="V40" i="9"/>
  <c r="Q16" i="9"/>
  <c r="O16" i="9"/>
  <c r="O25" i="9"/>
  <c r="Q25" i="9"/>
  <c r="X511" i="4"/>
  <c r="U18" i="6"/>
  <c r="AA15" i="6"/>
  <c r="X37" i="9"/>
  <c r="W37" i="9"/>
  <c r="AC20" i="6"/>
  <c r="AA23" i="6"/>
  <c r="AC23" i="6" s="1"/>
  <c r="X38" i="9" l="1"/>
  <c r="W38" i="9"/>
  <c r="AA33" i="6"/>
  <c r="U38" i="6"/>
  <c r="U49" i="6" s="1"/>
  <c r="U50" i="6" s="1"/>
  <c r="AC15" i="6"/>
  <c r="AA18" i="6"/>
  <c r="AC18" i="6" s="1"/>
  <c r="U33" i="9" s="1"/>
  <c r="W40" i="9"/>
  <c r="X40" i="9"/>
  <c r="X39" i="9"/>
  <c r="W39" i="9"/>
  <c r="AC33" i="6" l="1"/>
  <c r="AA38" i="6"/>
  <c r="AA49" i="6" l="1"/>
  <c r="AC38" i="6"/>
  <c r="AA50" i="6" l="1"/>
  <c r="AC50" i="6" s="1"/>
  <c r="AC49" i="6"/>
</calcChain>
</file>

<file path=xl/sharedStrings.xml><?xml version="1.0" encoding="utf-8"?>
<sst xmlns="http://schemas.openxmlformats.org/spreadsheetml/2006/main" count="777" uniqueCount="361">
  <si>
    <t>Rocky Mountain Power - State of Utah</t>
  </si>
  <si>
    <t>Blocking Based on Adjusted Actuals and Forecasted Loads</t>
  </si>
  <si>
    <t>Base Period 12 Months Ending June 2013</t>
  </si>
  <si>
    <t>Forecast Test Period 12 Months Ending June 2015</t>
  </si>
  <si>
    <t>Forecasted</t>
  </si>
  <si>
    <t xml:space="preserve">Present </t>
  </si>
  <si>
    <t>Revenue</t>
  </si>
  <si>
    <t>Units</t>
  </si>
  <si>
    <t>Price</t>
  </si>
  <si>
    <t>Dollars</t>
  </si>
  <si>
    <t>Schedule No. 1- Residential Service</t>
  </si>
  <si>
    <t xml:space="preserve">  Total Customer</t>
  </si>
  <si>
    <t xml:space="preserve">  Customer Charge - 1 Phase</t>
  </si>
  <si>
    <t xml:space="preserve">  Customer Charge - 3 Phase</t>
  </si>
  <si>
    <t xml:space="preserve">  Net Metering Facilities Charge</t>
  </si>
  <si>
    <t xml:space="preserve">  First 400 kWh (May-Sept)</t>
  </si>
  <si>
    <t>¢</t>
  </si>
  <si>
    <t xml:space="preserve">  Next 600 kWh (May-Sept)</t>
  </si>
  <si>
    <t xml:space="preserve">  All add'l kWh (May-Sept)</t>
  </si>
  <si>
    <t xml:space="preserve">  All kWh (Oct-Apr)</t>
  </si>
  <si>
    <t xml:space="preserve">      First 400 kWh (Oct-Apr)</t>
  </si>
  <si>
    <t xml:space="preserve">      All add'l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</si>
  <si>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</si>
  <si>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</si>
  <si>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</si>
  <si>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</si>
  <si>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    kWh in Minimum - Summer</t>
  </si>
  <si>
    <t xml:space="preserve">      kWh in Minimum - Winter</t>
  </si>
  <si>
    <t xml:space="preserve">  Unbilled</t>
  </si>
  <si>
    <t xml:space="preserve">  Total</t>
  </si>
  <si>
    <t>Schedule No. 3- Residential Service - Low Income Lifeline Program</t>
  </si>
  <si>
    <t>Schedule No. 2 - Residential Service - Optional Time-of-Day</t>
  </si>
  <si>
    <t xml:space="preserve">  On-Peak kWh (May - Sept)</t>
  </si>
  <si>
    <t xml:space="preserve">  Off-Peak kWh (May - Sept)</t>
  </si>
  <si>
    <t>Schedule No. 6 - Composite</t>
  </si>
  <si>
    <t xml:space="preserve">  Customer Charge</t>
  </si>
  <si>
    <t xml:space="preserve">  All kW (May - Sept)</t>
  </si>
  <si>
    <t xml:space="preserve">  All kW (Oct - Apr)</t>
  </si>
  <si>
    <t xml:space="preserve">  Voltage Discount</t>
  </si>
  <si>
    <t xml:space="preserve">  Facilities kW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</si>
  <si>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</si>
  <si>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</si>
  <si>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</si>
  <si>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</si>
  <si>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 xml:space="preserve">      kWh (May-Sept)</t>
  </si>
  <si>
    <t xml:space="preserve">      kWh (Oct-Apr)</t>
  </si>
  <si>
    <t>Schedule No. 6B - Demand Time-of-Day Option - Composite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</si>
  <si>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</si>
  <si>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</si>
  <si>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</si>
  <si>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</si>
  <si>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</si>
  <si>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</si>
  <si>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</si>
  <si>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Schedule No. 7 - Security Area Lighting - Composite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</si>
  <si>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</si>
  <si>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</si>
  <si>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</si>
  <si>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</si>
  <si>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</si>
  <si>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</si>
  <si>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</si>
  <si>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</si>
  <si>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</si>
  <si>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</si>
  <si>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</si>
  <si>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</si>
  <si>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</si>
  <si>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</si>
  <si>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</si>
  <si>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</si>
  <si>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</si>
  <si>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</si>
  <si>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</si>
  <si>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</si>
  <si>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</si>
  <si>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</si>
  <si>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</si>
  <si>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</si>
  <si>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</si>
  <si>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</si>
  <si>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</si>
  <si>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</si>
  <si>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</si>
  <si>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</si>
  <si>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</si>
  <si>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</si>
  <si>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</si>
  <si>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</si>
  <si>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</si>
  <si>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</si>
  <si>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</si>
  <si>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</si>
  <si>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</si>
  <si>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>Schedule No. 9A - Energy TOD - Composite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</si>
  <si>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</si>
  <si>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</si>
  <si>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</si>
  <si>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</si>
  <si>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</si>
  <si>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</si>
  <si>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</si>
  <si>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</si>
  <si>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</si>
  <si>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</si>
  <si>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</si>
  <si>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Customer Charge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</si>
  <si>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</si>
  <si>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</si>
  <si>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</si>
  <si>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</si>
  <si>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</si>
  <si>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</si>
  <si>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</si>
  <si>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</si>
  <si>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 (HPS)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</si>
  <si>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</si>
  <si>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</si>
  <si>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</si>
  <si>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</si>
  <si>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</si>
  <si>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</si>
  <si>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</si>
  <si>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</si>
  <si>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</si>
  <si>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</si>
  <si>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</si>
  <si>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</si>
  <si>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</si>
  <si>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</si>
  <si>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</si>
  <si>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 (MH)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</si>
  <si>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</si>
  <si>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</si>
  <si>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</si>
  <si>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</si>
  <si>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</si>
  <si>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</si>
  <si>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</si>
  <si>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</si>
  <si>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</si>
  <si>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</si>
  <si>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</si>
  <si>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 (MV)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</si>
  <si>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</si>
  <si>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</si>
  <si>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</si>
  <si>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 (INC)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</si>
  <si>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</si>
  <si>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</si>
  <si>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</si>
  <si>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</si>
  <si>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 (FLOUR)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</si>
  <si>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</si>
  <si>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</si>
  <si>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</si>
  <si>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</si>
  <si>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</si>
  <si>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</si>
  <si>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</si>
  <si>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</si>
  <si>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</si>
  <si>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</si>
  <si>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</si>
  <si>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</si>
  <si>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</si>
  <si>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</si>
  <si>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</si>
  <si>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</si>
  <si>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</si>
  <si>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</si>
  <si>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</si>
  <si>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</si>
  <si>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Customer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</si>
  <si>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</si>
  <si>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</si>
  <si>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</si>
  <si>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</si>
  <si>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</si>
  <si>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</si>
  <si>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</si>
  <si>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</si>
  <si>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</si>
  <si>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</si>
  <si>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</si>
  <si>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</si>
  <si>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</si>
  <si>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</si>
  <si>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</si>
  <si>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</si>
  <si>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</si>
  <si>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</si>
  <si>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</si>
  <si>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Sodium Vapor Lamps</t>
  </si>
  <si>
    <t xml:space="preserve">   107,000 Lumen </t>
  </si>
  <si>
    <t>kWh Street Lighting</t>
  </si>
  <si>
    <t>Schedule 15.1 - Metered Outdoor Nighttime Lighting - Composite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</si>
  <si>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</si>
  <si>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</si>
  <si>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</si>
  <si>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</si>
  <si>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</si>
  <si>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</si>
  <si>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 - Composite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</si>
  <si>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</si>
  <si>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</si>
  <si>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</si>
  <si>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</si>
  <si>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</si>
  <si>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</si>
  <si>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</si>
  <si>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Composite</t>
  </si>
  <si>
    <t xml:space="preserve">  kW over 15 (May - Sept)</t>
  </si>
  <si>
    <t xml:space="preserve">  kW over 15 (Oct - Apr)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</si>
  <si>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</si>
  <si>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</si>
  <si>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</si>
  <si>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</si>
  <si>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>Schedule No.31 -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</si>
  <si>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</si>
  <si>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</si>
  <si>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</si>
  <si>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</si>
  <si>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</si>
  <si>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     May - Sept</t>
  </si>
  <si>
    <t xml:space="preserve">              Oct - Apr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</si>
  <si>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</si>
  <si>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</si>
  <si>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</si>
  <si>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</si>
  <si>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</si>
  <si>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</si>
  <si>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</si>
  <si>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</si>
  <si>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>Contract 1</t>
  </si>
  <si>
    <t xml:space="preserve">  kW High Load Hours</t>
  </si>
  <si>
    <t xml:space="preserve">  kWh High Load Hours</t>
  </si>
  <si>
    <t xml:space="preserve">  kWh Low Load Hours</t>
  </si>
  <si>
    <t>Contract 2</t>
  </si>
  <si>
    <t xml:space="preserve">  Interruptible kWh</t>
  </si>
  <si>
    <t>Contract 3</t>
  </si>
  <si>
    <t xml:space="preserve">  Facilities Charge per kW - Back-Up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</si>
  <si>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</si>
  <si>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</si>
  <si>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</si>
  <si>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</si>
  <si>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</si>
  <si>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</si>
  <si>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</si>
  <si>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</si>
  <si>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</si>
  <si>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</si>
  <si>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Lighting Contract - Post Top Lighting - Composite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</si>
  <si>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</si>
  <si>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</si>
  <si>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</si>
  <si>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</si>
  <si>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</si>
  <si>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</si>
  <si>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</si>
  <si>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</si>
  <si>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</si>
  <si>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</si>
  <si>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</si>
  <si>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</si>
  <si>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</si>
  <si>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</si>
  <si>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No. of</t>
  </si>
  <si>
    <t>Line</t>
  </si>
  <si>
    <t>Sch</t>
  </si>
  <si>
    <t>MWh</t>
  </si>
  <si>
    <t>No.</t>
  </si>
  <si>
    <t>Description</t>
  </si>
  <si>
    <t>Forecast</t>
  </si>
  <si>
    <t>($000)</t>
  </si>
  <si>
    <t>Change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</si>
  <si>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</si>
  <si>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</si>
  <si>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</si>
  <si>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</si>
  <si>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</si>
  <si>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</si>
  <si>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</si>
  <si>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</si>
  <si>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</si>
  <si>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</si>
  <si>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</si>
  <si>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</si>
  <si>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</si>
  <si>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</si>
  <si>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</si>
  <si>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</si>
  <si>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</si>
  <si>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</si>
  <si>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</si>
  <si>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</si>
  <si>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</si>
  <si>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</si>
  <si>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</si>
  <si>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</si>
  <si>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</si>
  <si>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</si>
  <si>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</si>
  <si>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</si>
  <si>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</si>
  <si>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</si>
  <si>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Traffic Signal Systems</t>
  </si>
  <si>
    <t>Metered Outdoor Lighting</t>
  </si>
  <si>
    <t>Subtotal Public Street Lighting</t>
  </si>
  <si>
    <t>Security Area Lighting-Contracts (PTL)</t>
  </si>
  <si>
    <t>Total Public Street Lighting</t>
  </si>
  <si>
    <t>Total Sales to Ultimate Customers</t>
  </si>
  <si>
    <t>DSM</t>
  </si>
  <si>
    <t>Base</t>
  </si>
  <si>
    <t>Net</t>
  </si>
  <si>
    <t>Total Sales to Ultimate Customers 
(excluding Contracts, AGA)</t>
  </si>
  <si>
    <t>Sch 94-EBA</t>
  </si>
  <si>
    <t>Sch 98-REC</t>
  </si>
  <si>
    <t>Present</t>
  </si>
  <si>
    <t>%</t>
  </si>
  <si>
    <t>(%)</t>
  </si>
  <si>
    <t>Present ($000)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</si>
  <si>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</si>
  <si>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</si>
  <si>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</si>
  <si>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</si>
  <si>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</si>
  <si>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</si>
  <si>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</si>
  <si>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Proposed</t>
  </si>
  <si>
    <t>$</t>
  </si>
  <si>
    <t>Sch 1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</si>
  <si>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</si>
  <si>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</si>
  <si>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</si>
  <si>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</si>
  <si>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</si>
  <si>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</si>
  <si>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</si>
  <si>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</si>
  <si>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</si>
  <si>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</si>
  <si>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Sch 98 REC</t>
  </si>
  <si>
    <t>Net (EBA+REC)</t>
  </si>
  <si>
    <t>Table A Price Change</t>
  </si>
  <si>
    <t>w: Winter average usage; a:  Annual average usage; s: Summer average usage.</t>
  </si>
  <si>
    <t>Monthly Average</t>
  </si>
  <si>
    <t>Annual</t>
  </si>
  <si>
    <t>Estimated Effect of Proposed Schedule 193 Changes</t>
  </si>
  <si>
    <t>Sch 193-DSM</t>
  </si>
  <si>
    <t>Schedule 193-DSM</t>
  </si>
  <si>
    <t>Rate Spread</t>
  </si>
  <si>
    <t>Rate Spread-1</t>
  </si>
  <si>
    <t>Rate Design</t>
  </si>
  <si>
    <t>Proposed ($000)</t>
  </si>
  <si>
    <t>Target Average Rate</t>
  </si>
  <si>
    <t>Step 2 - 9/1/2015</t>
  </si>
  <si>
    <r>
      <t>1</t>
    </r>
    <r>
      <rPr>
        <sz val="10"/>
        <rFont val="Times New Roman"/>
        <family val="1"/>
      </rPr>
      <t xml:space="preserve">  Including HELP, DSM, EBA, and REC.</t>
    </r>
  </si>
  <si>
    <t>End of 2016 balance</t>
  </si>
  <si>
    <t>2017 Expenditure</t>
  </si>
  <si>
    <t>Rev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</si>
</sst>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#,##0.000_);\(#,##0.000\)"/>
    <numFmt numFmtId="167" formatCode="0.0%"/>
    <numFmt numFmtId="168" formatCode="0.0000_);[Red]\(0.0000\)"/>
    <numFmt numFmtId="169" formatCode="0.0000_)"/>
    <numFmt numFmtId="170" formatCode="#,##0.0000"/>
    <numFmt numFmtId="171" formatCode="#,##0.00000_);\(#,##0.00000\)"/>
    <numFmt numFmtId="172" formatCode="_(* #,##0_);_(* \(#,##0\);_(* &quot;-&quot;??_);_(@_)"/>
    <numFmt numFmtId="173" formatCode="#,##0.0000_);\(#,##0.0000\)"/>
    <numFmt numFmtId="174" formatCode="_(* #,##0.0000_);_(* \(#,##0.0000\);_(* &quot;-&quot;??_);_(@_)"/>
    <numFmt numFmtId="175" formatCode="0.0000"/>
    <numFmt numFmtId="176" formatCode="0.0"/>
    <numFmt numFmtId="177" formatCode="#,##0.0_);\(#,##0.0\)"/>
    <numFmt numFmtId="178" formatCode="&quot;$&quot;#,##0.000_);\(&quot;$&quot;#,##0.000\)"/>
    <numFmt numFmtId="179" formatCode="&quot;$&quot;#,##0.0000_);\(&quot;$&quot;#,##0.0000\)"/>
    <numFmt numFmtId="180" formatCode="_(&quot;$&quot;* #,##0_);_(&quot;$&quot;* \(#,##0\);_(&quot;$&quot;* &quot;-&quot;??_);_(@_)"/>
    <numFmt numFmtId="181" formatCode="&quot;$&quot;###0;[Red]\(&quot;$&quot;###0\)"/>
    <numFmt numFmtId="182" formatCode="&quot;$&quot;#,##0.00"/>
    <numFmt numFmtId="183" formatCode="mmm\ dd\,\ yyyy"/>
    <numFmt numFmtId="184" formatCode="&quot;$&quot;#,##0.0_);[Red]\(&quot;$&quot;#,##0.0\)"/>
  </numFmts>
  <fonts count="58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12"/>
      <name val="Times New Roman"/>
      <family val="1"/>
    </font>
    <font>
      <sz val="12"/>
      <name val="Arial"/>
      <family val="2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0"/>
      <name val="MS Sans Serif"/>
      <family val="2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0"/>
      <name val="Swiss"/>
      <family val="2"/>
    </font>
    <font>
      <sz val="10"/>
      <name val="SWISS"/>
    </font>
    <font>
      <sz val="11"/>
      <color indexed="8"/>
      <name val="Century Schoolbook"/>
      <family val="2"/>
    </font>
    <font>
      <b/>
      <sz val="12"/>
      <name val="Arial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0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1" fillId="0" borderId="0" applyFont="0" applyFill="0" applyBorder="0" applyProtection="0">
      <alignment horizontal="right"/>
    </xf>
    <xf numFmtId="0" fontId="22" fillId="0" borderId="0" applyFont="0" applyFill="0" applyBorder="0" applyAlignment="0" applyProtection="0">
      <alignment horizontal="left"/>
    </xf>
    <xf numFmtId="176" fontId="23" fillId="0" borderId="0" applyNumberFormat="0" applyFill="0" applyBorder="0" applyAlignment="0" applyProtection="0"/>
    <xf numFmtId="172" fontId="11" fillId="0" borderId="0" applyFont="0" applyAlignment="0" applyProtection="0"/>
    <xf numFmtId="0" fontId="24" fillId="0" borderId="8" applyNumberFormat="0" applyBorder="0" applyAlignment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" fillId="0" borderId="0"/>
    <xf numFmtId="164" fontId="27" fillId="0" borderId="0"/>
    <xf numFmtId="0" fontId="20" fillId="0" borderId="0"/>
    <xf numFmtId="0" fontId="1" fillId="0" borderId="0"/>
    <xf numFmtId="0" fontId="1" fillId="0" borderId="0"/>
    <xf numFmtId="0" fontId="2" fillId="0" borderId="0"/>
    <xf numFmtId="41" fontId="28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10" fillId="0" borderId="0"/>
    <xf numFmtId="0" fontId="10" fillId="0" borderId="0"/>
    <xf numFmtId="182" fontId="26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2" fontId="31" fillId="15" borderId="9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33" fillId="16" borderId="10" applyNumberFormat="0" applyProtection="0">
      <alignment vertical="center"/>
    </xf>
    <xf numFmtId="4" fontId="34" fillId="17" borderId="10" applyNumberFormat="0" applyProtection="0">
      <alignment vertical="center"/>
    </xf>
    <xf numFmtId="4" fontId="33" fillId="17" borderId="10" applyNumberFormat="0" applyProtection="0">
      <alignment vertical="center"/>
    </xf>
    <xf numFmtId="0" fontId="33" fillId="17" borderId="10" applyNumberFormat="0" applyProtection="0">
      <alignment horizontal="left" vertical="top" indent="1"/>
    </xf>
    <xf numFmtId="4" fontId="33" fillId="18" borderId="0" applyNumberFormat="0" applyProtection="0">
      <alignment horizontal="left" vertical="center" indent="1"/>
    </xf>
    <xf numFmtId="4" fontId="35" fillId="19" borderId="10" applyNumberFormat="0" applyProtection="0">
      <alignment horizontal="right" vertical="center"/>
    </xf>
    <xf numFmtId="4" fontId="35" fillId="20" borderId="10" applyNumberFormat="0" applyProtection="0">
      <alignment horizontal="right" vertical="center"/>
    </xf>
    <xf numFmtId="4" fontId="35" fillId="21" borderId="10" applyNumberFormat="0" applyProtection="0">
      <alignment horizontal="right" vertical="center"/>
    </xf>
    <xf numFmtId="4" fontId="35" fillId="22" borderId="10" applyNumberFormat="0" applyProtection="0">
      <alignment horizontal="right" vertical="center"/>
    </xf>
    <xf numFmtId="4" fontId="35" fillId="23" borderId="10" applyNumberFormat="0" applyProtection="0">
      <alignment horizontal="right" vertical="center"/>
    </xf>
    <xf numFmtId="4" fontId="35" fillId="24" borderId="10" applyNumberFormat="0" applyProtection="0">
      <alignment horizontal="right" vertical="center"/>
    </xf>
    <xf numFmtId="4" fontId="35" fillId="25" borderId="10" applyNumberFormat="0" applyProtection="0">
      <alignment horizontal="right" vertical="center"/>
    </xf>
    <xf numFmtId="4" fontId="35" fillId="26" borderId="10" applyNumberFormat="0" applyProtection="0">
      <alignment horizontal="right" vertical="center"/>
    </xf>
    <xf numFmtId="4" fontId="35" fillId="27" borderId="10" applyNumberFormat="0" applyProtection="0">
      <alignment horizontal="right" vertical="center"/>
    </xf>
    <xf numFmtId="4" fontId="33" fillId="28" borderId="11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6" fillId="30" borderId="0" applyNumberFormat="0" applyProtection="0">
      <alignment horizontal="left" vertical="center" indent="1"/>
    </xf>
    <xf numFmtId="4" fontId="35" fillId="31" borderId="10" applyNumberFormat="0" applyProtection="0">
      <alignment horizontal="right" vertical="center"/>
    </xf>
    <xf numFmtId="4" fontId="37" fillId="0" borderId="0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0" fontId="10" fillId="30" borderId="10" applyNumberFormat="0" applyProtection="0">
      <alignment horizontal="left" vertical="center" indent="1"/>
    </xf>
    <xf numFmtId="0" fontId="10" fillId="30" borderId="10" applyNumberFormat="0" applyProtection="0">
      <alignment horizontal="left" vertical="top" indent="1"/>
    </xf>
    <xf numFmtId="0" fontId="10" fillId="18" borderId="10" applyNumberFormat="0" applyProtection="0">
      <alignment horizontal="left" vertical="center" indent="1"/>
    </xf>
    <xf numFmtId="0" fontId="10" fillId="18" borderId="10" applyNumberFormat="0" applyProtection="0">
      <alignment horizontal="left" vertical="top" indent="1"/>
    </xf>
    <xf numFmtId="0" fontId="10" fillId="32" borderId="10" applyNumberFormat="0" applyProtection="0">
      <alignment horizontal="left" vertical="center" indent="1"/>
    </xf>
    <xf numFmtId="0" fontId="10" fillId="32" borderId="10" applyNumberFormat="0" applyProtection="0">
      <alignment horizontal="left" vertical="top" indent="1"/>
    </xf>
    <xf numFmtId="0" fontId="10" fillId="33" borderId="10" applyNumberFormat="0" applyProtection="0">
      <alignment horizontal="left" vertical="center" indent="1"/>
    </xf>
    <xf numFmtId="0" fontId="10" fillId="33" borderId="10" applyNumberFormat="0" applyProtection="0">
      <alignment horizontal="left" vertical="top" indent="1"/>
    </xf>
    <xf numFmtId="4" fontId="35" fillId="34" borderId="10" applyNumberFormat="0" applyProtection="0">
      <alignment vertical="center"/>
    </xf>
    <xf numFmtId="4" fontId="39" fillId="34" borderId="10" applyNumberFormat="0" applyProtection="0">
      <alignment vertical="center"/>
    </xf>
    <xf numFmtId="4" fontId="35" fillId="34" borderId="10" applyNumberFormat="0" applyProtection="0">
      <alignment horizontal="left" vertical="center" indent="1"/>
    </xf>
    <xf numFmtId="0" fontId="35" fillId="34" borderId="10" applyNumberFormat="0" applyProtection="0">
      <alignment horizontal="left" vertical="top" indent="1"/>
    </xf>
    <xf numFmtId="4" fontId="35" fillId="35" borderId="12" applyNumberFormat="0" applyProtection="0">
      <alignment horizontal="right" vertical="center"/>
    </xf>
    <xf numFmtId="4" fontId="39" fillId="29" borderId="10" applyNumberFormat="0" applyProtection="0">
      <alignment horizontal="right" vertical="center"/>
    </xf>
    <xf numFmtId="4" fontId="35" fillId="35" borderId="10" applyNumberFormat="0" applyProtection="0">
      <alignment horizontal="left" vertical="center" indent="1"/>
    </xf>
    <xf numFmtId="0" fontId="35" fillId="18" borderId="10" applyNumberFormat="0" applyProtection="0">
      <alignment horizontal="center" vertical="top"/>
    </xf>
    <xf numFmtId="4" fontId="40" fillId="0" borderId="0" applyNumberFormat="0" applyProtection="0">
      <alignment horizontal="left" vertical="center"/>
    </xf>
    <xf numFmtId="4" fontId="41" fillId="29" borderId="10" applyNumberFormat="0" applyProtection="0">
      <alignment horizontal="right" vertical="center"/>
    </xf>
    <xf numFmtId="183" fontId="10" fillId="0" borderId="0" applyFill="0" applyBorder="0" applyAlignment="0" applyProtection="0">
      <alignment wrapText="1"/>
    </xf>
    <xf numFmtId="0" fontId="42" fillId="0" borderId="0" applyNumberFormat="0" applyFill="0" applyBorder="0">
      <alignment horizontal="center" wrapText="1"/>
    </xf>
    <xf numFmtId="0" fontId="42" fillId="0" borderId="0" applyNumberFormat="0" applyFill="0" applyBorder="0">
      <alignment horizontal="center" wrapText="1"/>
    </xf>
    <xf numFmtId="164" fontId="43" fillId="0" borderId="0">
      <alignment horizontal="left"/>
    </xf>
    <xf numFmtId="37" fontId="24" fillId="17" borderId="0" applyNumberFormat="0" applyBorder="0" applyAlignment="0" applyProtection="0"/>
    <xf numFmtId="37" fontId="24" fillId="0" borderId="0"/>
    <xf numFmtId="3" fontId="44" fillId="36" borderId="13" applyProtection="0"/>
    <xf numFmtId="0" fontId="10" fillId="0" borderId="0"/>
  </cellStyleXfs>
  <cellXfs count="366">
    <xf numFmtId="0" fontId="0" fillId="0" borderId="0" xfId="0"/>
    <xf numFmtId="3" fontId="3" fillId="0" borderId="0" xfId="0" applyNumberFormat="1" applyFont="1" applyAlignment="1">
      <alignment horizontal="centerContinuous"/>
    </xf>
    <xf numFmtId="164" fontId="4" fillId="0" borderId="0" xfId="4" applyFont="1" applyFill="1" applyAlignment="1">
      <alignment horizontal="centerContinuous"/>
    </xf>
    <xf numFmtId="164" fontId="4" fillId="0" borderId="0" xfId="4" applyFont="1" applyFill="1" applyBorder="1" applyAlignment="1">
      <alignment horizontal="centerContinuous"/>
    </xf>
    <xf numFmtId="164" fontId="5" fillId="0" borderId="0" xfId="4" applyFont="1" applyFill="1" applyAlignment="1">
      <alignment horizontal="centerContinuous"/>
    </xf>
    <xf numFmtId="164" fontId="2" fillId="0" borderId="0" xfId="4"/>
    <xf numFmtId="164" fontId="6" fillId="0" borderId="0" xfId="4" applyFont="1" applyFill="1" applyBorder="1" applyAlignment="1">
      <alignment horizontal="center"/>
    </xf>
    <xf numFmtId="164" fontId="7" fillId="0" borderId="0" xfId="4" applyFont="1" applyFill="1"/>
    <xf numFmtId="164" fontId="2" fillId="0" borderId="0" xfId="4" applyFill="1"/>
    <xf numFmtId="164" fontId="2" fillId="0" borderId="0" xfId="4" applyFill="1" applyBorder="1"/>
    <xf numFmtId="164" fontId="6" fillId="0" borderId="0" xfId="4" applyFont="1" applyFill="1" applyAlignment="1">
      <alignment horizontal="center"/>
    </xf>
    <xf numFmtId="164" fontId="6" fillId="0" borderId="2" xfId="5" applyFont="1" applyFill="1" applyBorder="1" applyAlignment="1">
      <alignment horizontal="centerContinuous"/>
    </xf>
    <xf numFmtId="164" fontId="2" fillId="0" borderId="0" xfId="4" applyFont="1" applyFill="1"/>
    <xf numFmtId="5" fontId="2" fillId="0" borderId="0" xfId="4" applyNumberFormat="1" applyFill="1" applyProtection="1"/>
    <xf numFmtId="164" fontId="8" fillId="0" borderId="3" xfId="4" quotePrefix="1" applyFont="1" applyFill="1" applyBorder="1" applyAlignment="1">
      <alignment horizontal="center"/>
    </xf>
    <xf numFmtId="164" fontId="6" fillId="0" borderId="3" xfId="4" applyFont="1" applyFill="1" applyBorder="1" applyAlignment="1">
      <alignment horizontal="center"/>
    </xf>
    <xf numFmtId="164" fontId="8" fillId="0" borderId="0" xfId="4" applyFont="1" applyFill="1" applyAlignment="1">
      <alignment horizontal="left"/>
    </xf>
    <xf numFmtId="164" fontId="7" fillId="0" borderId="0" xfId="4" applyFont="1" applyFill="1" applyAlignment="1">
      <alignment horizontal="left"/>
    </xf>
    <xf numFmtId="7" fontId="7" fillId="0" borderId="0" xfId="4" applyNumberFormat="1" applyFont="1" applyFill="1" applyProtection="1">
      <protection locked="0"/>
    </xf>
    <xf numFmtId="7" fontId="11" fillId="0" borderId="0" xfId="4" applyNumberFormat="1" applyFont="1" applyFill="1" applyBorder="1" applyProtection="1">
      <protection locked="0"/>
    </xf>
    <xf numFmtId="164" fontId="2" fillId="0" borderId="0" xfId="4" applyFont="1"/>
    <xf numFmtId="37" fontId="12" fillId="0" borderId="0" xfId="4" applyNumberFormat="1" applyFont="1" applyFill="1" applyBorder="1" applyProtection="1"/>
    <xf numFmtId="164" fontId="2" fillId="0" borderId="0" xfId="4" applyBorder="1"/>
    <xf numFmtId="37" fontId="12" fillId="0" borderId="0" xfId="4" applyNumberFormat="1" applyFont="1" applyFill="1" applyProtection="1">
      <protection locked="0"/>
    </xf>
    <xf numFmtId="0" fontId="0" fillId="0" borderId="0" xfId="0" applyBorder="1"/>
    <xf numFmtId="169" fontId="7" fillId="0" borderId="0" xfId="4" applyNumberFormat="1" applyFont="1" applyFill="1" applyProtection="1">
      <protection locked="0"/>
    </xf>
    <xf numFmtId="164" fontId="13" fillId="0" borderId="0" xfId="4" applyFont="1" applyFill="1" applyAlignment="1">
      <alignment horizontal="left"/>
    </xf>
    <xf numFmtId="164" fontId="14" fillId="0" borderId="0" xfId="4" applyFont="1" applyFill="1"/>
    <xf numFmtId="164" fontId="14" fillId="0" borderId="0" xfId="4" applyFont="1" applyFill="1" applyBorder="1"/>
    <xf numFmtId="5" fontId="14" fillId="0" borderId="0" xfId="4" applyNumberFormat="1" applyFont="1" applyFill="1" applyProtection="1"/>
    <xf numFmtId="7" fontId="2" fillId="0" borderId="0" xfId="4" applyNumberFormat="1" applyFont="1" applyFill="1" applyBorder="1" applyProtection="1"/>
    <xf numFmtId="7" fontId="11" fillId="0" borderId="0" xfId="4" applyNumberFormat="1" applyFont="1" applyFill="1" applyBorder="1" applyProtection="1"/>
    <xf numFmtId="7" fontId="7" fillId="0" borderId="0" xfId="4" applyNumberFormat="1" applyFont="1" applyFill="1" applyProtection="1"/>
    <xf numFmtId="5" fontId="2" fillId="0" borderId="0" xfId="4" applyNumberFormat="1" applyFill="1" applyBorder="1" applyProtection="1"/>
    <xf numFmtId="164" fontId="7" fillId="0" borderId="0" xfId="4" applyFont="1" applyFill="1" applyBorder="1" applyAlignment="1">
      <alignment horizontal="left"/>
    </xf>
    <xf numFmtId="37" fontId="12" fillId="0" borderId="3" xfId="4" applyNumberFormat="1" applyFont="1" applyFill="1" applyBorder="1" applyProtection="1"/>
    <xf numFmtId="5" fontId="2" fillId="0" borderId="3" xfId="4" applyNumberFormat="1" applyFill="1" applyBorder="1" applyProtection="1"/>
    <xf numFmtId="5" fontId="11" fillId="0" borderId="3" xfId="4" applyNumberFormat="1" applyFont="1" applyFill="1" applyBorder="1" applyProtection="1"/>
    <xf numFmtId="164" fontId="7" fillId="0" borderId="4" xfId="4" applyFont="1" applyFill="1" applyBorder="1"/>
    <xf numFmtId="5" fontId="2" fillId="0" borderId="4" xfId="4" applyNumberFormat="1" applyFill="1" applyBorder="1" applyProtection="1"/>
    <xf numFmtId="164" fontId="2" fillId="0" borderId="4" xfId="4" applyFill="1" applyBorder="1"/>
    <xf numFmtId="7" fontId="2" fillId="0" borderId="0" xfId="4" applyNumberFormat="1" applyFont="1" applyFill="1" applyBorder="1" applyProtection="1">
      <protection locked="0"/>
    </xf>
    <xf numFmtId="164" fontId="2" fillId="0" borderId="0" xfId="4" applyFont="1" applyFill="1" applyBorder="1"/>
    <xf numFmtId="164" fontId="7" fillId="0" borderId="0" xfId="4" applyFont="1" applyFill="1" applyBorder="1"/>
    <xf numFmtId="169" fontId="7" fillId="0" borderId="0" xfId="4" applyNumberFormat="1" applyFont="1" applyFill="1" applyBorder="1" applyProtection="1">
      <protection locked="0"/>
    </xf>
    <xf numFmtId="173" fontId="7" fillId="0" borderId="0" xfId="4" applyNumberFormat="1" applyFont="1" applyFill="1" applyProtection="1">
      <protection locked="0"/>
    </xf>
    <xf numFmtId="5" fontId="2" fillId="0" borderId="0" xfId="4" applyNumberFormat="1" applyFont="1" applyFill="1" applyProtection="1"/>
    <xf numFmtId="164" fontId="7" fillId="0" borderId="5" xfId="4" applyFont="1" applyFill="1" applyBorder="1"/>
    <xf numFmtId="5" fontId="2" fillId="0" borderId="5" xfId="4" applyNumberFormat="1" applyFill="1" applyBorder="1" applyProtection="1"/>
    <xf numFmtId="7" fontId="13" fillId="0" borderId="0" xfId="4" applyNumberFormat="1" applyFont="1" applyFill="1" applyProtection="1">
      <protection locked="0"/>
    </xf>
    <xf numFmtId="7" fontId="16" fillId="0" borderId="0" xfId="4" applyNumberFormat="1" applyFont="1" applyFill="1" applyBorder="1" applyProtection="1">
      <protection locked="0"/>
    </xf>
    <xf numFmtId="164" fontId="14" fillId="0" borderId="0" xfId="4" applyFont="1"/>
    <xf numFmtId="169" fontId="7" fillId="0" borderId="0" xfId="4" applyNumberFormat="1" applyFont="1" applyFill="1" applyProtection="1"/>
    <xf numFmtId="7" fontId="2" fillId="0" borderId="0" xfId="4" applyNumberFormat="1" applyFill="1" applyBorder="1" applyProtection="1"/>
    <xf numFmtId="37" fontId="12" fillId="0" borderId="0" xfId="4" applyNumberFormat="1" applyFont="1" applyFill="1" applyProtection="1"/>
    <xf numFmtId="164" fontId="12" fillId="0" borderId="0" xfId="4" applyFont="1" applyFill="1" applyBorder="1"/>
    <xf numFmtId="7" fontId="7" fillId="0" borderId="0" xfId="4" applyNumberFormat="1" applyFont="1" applyFill="1" applyBorder="1" applyProtection="1">
      <protection locked="0"/>
    </xf>
    <xf numFmtId="37" fontId="15" fillId="0" borderId="0" xfId="4" applyNumberFormat="1" applyFont="1" applyFill="1" applyProtection="1"/>
    <xf numFmtId="169" fontId="2" fillId="0" borderId="0" xfId="4" applyNumberFormat="1" applyFill="1" applyBorder="1" applyProtection="1"/>
    <xf numFmtId="5" fontId="2" fillId="0" borderId="0" xfId="4" applyNumberFormat="1" applyFont="1" applyFill="1" applyBorder="1" applyProtection="1"/>
    <xf numFmtId="37" fontId="12" fillId="0" borderId="2" xfId="4" applyNumberFormat="1" applyFont="1" applyFill="1" applyBorder="1" applyProtection="1">
      <protection locked="0"/>
    </xf>
    <xf numFmtId="164" fontId="7" fillId="0" borderId="2" xfId="4" applyFont="1" applyFill="1" applyBorder="1"/>
    <xf numFmtId="5" fontId="2" fillId="0" borderId="2" xfId="4" applyNumberFormat="1" applyFont="1" applyFill="1" applyBorder="1" applyProtection="1"/>
    <xf numFmtId="37" fontId="12" fillId="0" borderId="4" xfId="4" applyNumberFormat="1" applyFont="1" applyFill="1" applyBorder="1" applyProtection="1">
      <protection locked="0"/>
    </xf>
    <xf numFmtId="164" fontId="11" fillId="0" borderId="0" xfId="4" applyFont="1" applyFill="1" applyBorder="1"/>
    <xf numFmtId="164" fontId="7" fillId="0" borderId="0" xfId="4" applyNumberFormat="1" applyFont="1" applyFill="1" applyProtection="1">
      <protection locked="0"/>
    </xf>
    <xf numFmtId="164" fontId="7" fillId="0" borderId="3" xfId="4" applyFont="1" applyFill="1" applyBorder="1"/>
    <xf numFmtId="7" fontId="7" fillId="0" borderId="0" xfId="4" applyNumberFormat="1" applyFont="1" applyFill="1" applyBorder="1" applyProtection="1"/>
    <xf numFmtId="5" fontId="2" fillId="0" borderId="2" xfId="4" applyNumberFormat="1" applyFill="1" applyBorder="1" applyProtection="1"/>
    <xf numFmtId="164" fontId="7" fillId="0" borderId="0" xfId="4" applyFont="1"/>
    <xf numFmtId="5" fontId="7" fillId="0" borderId="0" xfId="4" applyNumberFormat="1" applyFont="1" applyFill="1" applyBorder="1" applyProtection="1"/>
    <xf numFmtId="5" fontId="7" fillId="0" borderId="0" xfId="4" applyNumberFormat="1" applyFont="1" applyFill="1" applyProtection="1"/>
    <xf numFmtId="5" fontId="7" fillId="0" borderId="3" xfId="4" applyNumberFormat="1" applyFont="1" applyFill="1" applyBorder="1" applyProtection="1"/>
    <xf numFmtId="165" fontId="7" fillId="0" borderId="5" xfId="1" applyNumberFormat="1" applyFont="1" applyFill="1" applyBorder="1"/>
    <xf numFmtId="164" fontId="18" fillId="0" borderId="0" xfId="4" applyFont="1" applyFill="1" applyAlignment="1">
      <alignment horizontal="left"/>
    </xf>
    <xf numFmtId="174" fontId="7" fillId="0" borderId="0" xfId="1" applyNumberFormat="1" applyFont="1" applyFill="1" applyBorder="1" applyProtection="1">
      <protection locked="0"/>
    </xf>
    <xf numFmtId="0" fontId="7" fillId="0" borderId="0" xfId="0" applyFont="1" applyBorder="1"/>
    <xf numFmtId="49" fontId="8" fillId="0" borderId="0" xfId="4" applyNumberFormat="1" applyFont="1" applyFill="1"/>
    <xf numFmtId="5" fontId="7" fillId="0" borderId="5" xfId="4" applyNumberFormat="1" applyFont="1" applyFill="1" applyBorder="1" applyProtection="1"/>
    <xf numFmtId="10" fontId="7" fillId="0" borderId="0" xfId="3" applyNumberFormat="1" applyFont="1" applyFill="1" applyBorder="1"/>
    <xf numFmtId="164" fontId="19" fillId="0" borderId="0" xfId="4" applyFont="1" applyFill="1" applyAlignment="1">
      <alignment horizontal="left"/>
    </xf>
    <xf numFmtId="174" fontId="7" fillId="0" borderId="0" xfId="1" applyNumberFormat="1" applyFont="1" applyFill="1" applyProtection="1">
      <protection locked="0"/>
    </xf>
    <xf numFmtId="174" fontId="11" fillId="0" borderId="0" xfId="1" applyNumberFormat="1" applyFont="1" applyFill="1" applyBorder="1" applyProtection="1">
      <protection locked="0"/>
    </xf>
    <xf numFmtId="174" fontId="2" fillId="0" borderId="0" xfId="1" applyNumberFormat="1" applyFont="1" applyFill="1" applyBorder="1" applyProtection="1">
      <protection locked="0"/>
    </xf>
    <xf numFmtId="179" fontId="7" fillId="0" borderId="0" xfId="4" applyNumberFormat="1" applyFont="1" applyFill="1" applyProtection="1">
      <protection locked="0"/>
    </xf>
    <xf numFmtId="179" fontId="11" fillId="0" borderId="0" xfId="4" applyNumberFormat="1" applyFont="1" applyFill="1" applyBorder="1" applyProtection="1">
      <protection locked="0"/>
    </xf>
    <xf numFmtId="179" fontId="2" fillId="0" borderId="0" xfId="4" applyNumberFormat="1" applyFill="1" applyBorder="1" applyProtection="1"/>
    <xf numFmtId="178" fontId="7" fillId="0" borderId="0" xfId="4" applyNumberFormat="1" applyFont="1" applyFill="1" applyProtection="1">
      <protection locked="0"/>
    </xf>
    <xf numFmtId="37" fontId="12" fillId="0" borderId="3" xfId="4" applyNumberFormat="1" applyFont="1" applyFill="1" applyBorder="1" applyProtection="1">
      <protection locked="0"/>
    </xf>
    <xf numFmtId="164" fontId="12" fillId="0" borderId="0" xfId="4" applyFont="1" applyFill="1"/>
    <xf numFmtId="37" fontId="12" fillId="0" borderId="2" xfId="4" applyNumberFormat="1" applyFont="1" applyFill="1" applyBorder="1" applyProtection="1"/>
    <xf numFmtId="173" fontId="7" fillId="0" borderId="2" xfId="4" applyNumberFormat="1" applyFont="1" applyFill="1" applyBorder="1" applyProtection="1"/>
    <xf numFmtId="173" fontId="7" fillId="0" borderId="0" xfId="4" applyNumberFormat="1" applyFont="1" applyFill="1" applyBorder="1" applyProtection="1"/>
    <xf numFmtId="37" fontId="12" fillId="0" borderId="5" xfId="4" applyNumberFormat="1" applyFont="1" applyFill="1" applyBorder="1" applyProtection="1"/>
    <xf numFmtId="5" fontId="2" fillId="0" borderId="0" xfId="4" applyNumberFormat="1" applyFont="1" applyFill="1" applyProtection="1">
      <protection locked="0"/>
    </xf>
    <xf numFmtId="164" fontId="2" fillId="0" borderId="0" xfId="4" applyNumberFormat="1" applyFill="1" applyBorder="1" applyProtection="1"/>
    <xf numFmtId="169" fontId="7" fillId="0" borderId="5" xfId="4" applyNumberFormat="1" applyFont="1" applyFill="1" applyBorder="1" applyProtection="1"/>
    <xf numFmtId="5" fontId="2" fillId="0" borderId="5" xfId="4" applyNumberFormat="1" applyFont="1" applyFill="1" applyBorder="1" applyProtection="1"/>
    <xf numFmtId="169" fontId="2" fillId="0" borderId="0" xfId="4" applyNumberFormat="1" applyFont="1" applyFill="1" applyProtection="1"/>
    <xf numFmtId="164" fontId="8" fillId="0" borderId="0" xfId="4" applyFont="1" applyFill="1" applyBorder="1" applyAlignment="1">
      <alignment horizontal="left"/>
    </xf>
    <xf numFmtId="174" fontId="11" fillId="0" borderId="0" xfId="1" applyNumberFormat="1" applyFont="1" applyFill="1" applyBorder="1" applyProtection="1"/>
    <xf numFmtId="169" fontId="7" fillId="0" borderId="4" xfId="4" applyNumberFormat="1" applyFont="1" applyFill="1" applyBorder="1" applyProtection="1"/>
    <xf numFmtId="10" fontId="11" fillId="0" borderId="0" xfId="3" applyNumberFormat="1" applyFont="1" applyFill="1" applyBorder="1"/>
    <xf numFmtId="164" fontId="11" fillId="0" borderId="0" xfId="4" applyNumberFormat="1" applyFont="1" applyFill="1" applyBorder="1" applyProtection="1">
      <protection locked="0"/>
    </xf>
    <xf numFmtId="164" fontId="7" fillId="0" borderId="0" xfId="4" applyNumberFormat="1" applyFont="1" applyFill="1" applyBorder="1" applyProtection="1">
      <protection locked="0"/>
    </xf>
    <xf numFmtId="165" fontId="2" fillId="0" borderId="0" xfId="1" applyNumberFormat="1" applyFont="1" applyFill="1" applyBorder="1"/>
    <xf numFmtId="179" fontId="7" fillId="0" borderId="0" xfId="4" applyNumberFormat="1" applyFont="1" applyFill="1" applyBorder="1" applyProtection="1"/>
    <xf numFmtId="165" fontId="2" fillId="0" borderId="5" xfId="1" applyNumberFormat="1" applyFont="1" applyFill="1" applyBorder="1"/>
    <xf numFmtId="172" fontId="2" fillId="0" borderId="0" xfId="1" applyNumberFormat="1" applyFont="1" applyFill="1"/>
    <xf numFmtId="172" fontId="2" fillId="0" borderId="4" xfId="1" applyNumberFormat="1" applyFont="1" applyFill="1" applyBorder="1"/>
    <xf numFmtId="164" fontId="6" fillId="0" borderId="0" xfId="6" applyFont="1" applyAlignment="1">
      <alignment horizontal="centerContinuous"/>
    </xf>
    <xf numFmtId="164" fontId="6" fillId="0" borderId="0" xfId="6" applyFont="1" applyFill="1" applyAlignment="1">
      <alignment horizontal="centerContinuous"/>
    </xf>
    <xf numFmtId="164" fontId="2" fillId="0" borderId="0" xfId="6" applyFill="1" applyAlignment="1">
      <alignment horizontal="centerContinuous"/>
    </xf>
    <xf numFmtId="164" fontId="2" fillId="0" borderId="0" xfId="6"/>
    <xf numFmtId="0" fontId="0" fillId="0" borderId="0" xfId="0" applyAlignment="1">
      <alignment horizontal="centerContinuous"/>
    </xf>
    <xf numFmtId="0" fontId="0" fillId="0" borderId="0" xfId="0" applyAlignment="1"/>
    <xf numFmtId="164" fontId="2" fillId="0" borderId="0" xfId="6" applyAlignment="1">
      <alignment horizontal="centerContinuous"/>
    </xf>
    <xf numFmtId="164" fontId="6" fillId="0" borderId="2" xfId="6" applyFont="1" applyFill="1" applyBorder="1" applyAlignment="1">
      <alignment horizontal="center"/>
    </xf>
    <xf numFmtId="164" fontId="6" fillId="0" borderId="2" xfId="7" applyFont="1" applyFill="1" applyBorder="1" applyAlignment="1">
      <alignment horizontal="centerContinuous"/>
    </xf>
    <xf numFmtId="164" fontId="6" fillId="0" borderId="0" xfId="6" applyFont="1" applyFill="1" applyAlignment="1">
      <alignment horizontal="center"/>
    </xf>
    <xf numFmtId="164" fontId="6" fillId="0" borderId="0" xfId="6" applyFont="1" applyAlignment="1">
      <alignment horizontal="center"/>
    </xf>
    <xf numFmtId="164" fontId="6" fillId="0" borderId="0" xfId="6" applyFont="1" applyFill="1" applyBorder="1" applyAlignment="1">
      <alignment horizontal="center"/>
    </xf>
    <xf numFmtId="164" fontId="6" fillId="0" borderId="0" xfId="6" applyFont="1" applyFill="1" applyBorder="1" applyAlignment="1">
      <alignment horizontal="centerContinuous"/>
    </xf>
    <xf numFmtId="164" fontId="6" fillId="0" borderId="0" xfId="6" applyFont="1"/>
    <xf numFmtId="164" fontId="6" fillId="0" borderId="2" xfId="6" applyFont="1" applyBorder="1" applyAlignment="1">
      <alignment horizontal="center"/>
    </xf>
    <xf numFmtId="164" fontId="6" fillId="0" borderId="2" xfId="6" quotePrefix="1" applyFont="1" applyFill="1" applyBorder="1" applyAlignment="1">
      <alignment horizontal="center"/>
    </xf>
    <xf numFmtId="37" fontId="6" fillId="0" borderId="0" xfId="6" quotePrefix="1" applyNumberFormat="1" applyFont="1" applyAlignment="1">
      <alignment horizontal="center"/>
    </xf>
    <xf numFmtId="37" fontId="6" fillId="0" borderId="0" xfId="6" quotePrefix="1" applyNumberFormat="1" applyFont="1" applyFill="1" applyAlignment="1">
      <alignment horizontal="center"/>
    </xf>
    <xf numFmtId="164" fontId="6" fillId="0" borderId="0" xfId="6" applyFont="1" applyFill="1"/>
    <xf numFmtId="164" fontId="2" fillId="0" borderId="0" xfId="6" applyFill="1"/>
    <xf numFmtId="164" fontId="2" fillId="0" borderId="0" xfId="6" applyFont="1" applyAlignment="1">
      <alignment horizontal="right"/>
    </xf>
    <xf numFmtId="5" fontId="2" fillId="0" borderId="0" xfId="2" applyNumberFormat="1" applyFont="1" applyFill="1"/>
    <xf numFmtId="5" fontId="2" fillId="0" borderId="0" xfId="6" applyNumberFormat="1" applyFill="1"/>
    <xf numFmtId="164" fontId="2" fillId="0" borderId="0" xfId="7" applyFill="1"/>
    <xf numFmtId="164" fontId="2" fillId="0" borderId="0" xfId="6" applyAlignment="1">
      <alignment horizontal="right"/>
    </xf>
    <xf numFmtId="164" fontId="2" fillId="0" borderId="0" xfId="6" applyFont="1"/>
    <xf numFmtId="164" fontId="2" fillId="0" borderId="0" xfId="6" applyBorder="1" applyAlignment="1">
      <alignment horizontal="right"/>
    </xf>
    <xf numFmtId="164" fontId="2" fillId="0" borderId="2" xfId="6" applyFill="1" applyBorder="1" applyAlignment="1">
      <alignment horizontal="right"/>
    </xf>
    <xf numFmtId="164" fontId="2" fillId="0" borderId="0" xfId="6" quotePrefix="1" applyAlignment="1">
      <alignment horizontal="right"/>
    </xf>
    <xf numFmtId="172" fontId="2" fillId="0" borderId="2" xfId="1" applyNumberFormat="1" applyFont="1" applyFill="1" applyBorder="1"/>
    <xf numFmtId="164" fontId="14" fillId="0" borderId="0" xfId="6" applyFont="1"/>
    <xf numFmtId="3" fontId="2" fillId="0" borderId="0" xfId="6" applyNumberFormat="1" applyFill="1"/>
    <xf numFmtId="5" fontId="2" fillId="0" borderId="0" xfId="6" applyNumberFormat="1" applyFill="1" applyBorder="1"/>
    <xf numFmtId="180" fontId="2" fillId="0" borderId="0" xfId="2" applyNumberFormat="1" applyFont="1" applyFill="1"/>
    <xf numFmtId="180" fontId="2" fillId="0" borderId="0" xfId="6" applyNumberFormat="1" applyFill="1"/>
    <xf numFmtId="172" fontId="2" fillId="0" borderId="2" xfId="1" applyNumberFormat="1" applyFont="1" applyFill="1" applyBorder="1" applyAlignment="1">
      <alignment horizontal="right"/>
    </xf>
    <xf numFmtId="164" fontId="2" fillId="0" borderId="0" xfId="6" applyBorder="1"/>
    <xf numFmtId="164" fontId="6" fillId="0" borderId="0" xfId="6" applyFont="1" applyAlignment="1">
      <alignment horizontal="left" wrapText="1"/>
    </xf>
    <xf numFmtId="164" fontId="2" fillId="0" borderId="0" xfId="7"/>
    <xf numFmtId="164" fontId="6" fillId="0" borderId="0" xfId="7" applyFont="1"/>
    <xf numFmtId="164" fontId="2" fillId="0" borderId="0" xfId="7" applyBorder="1"/>
    <xf numFmtId="10" fontId="12" fillId="0" borderId="0" xfId="4" applyNumberFormat="1" applyFont="1" applyFill="1" applyBorder="1"/>
    <xf numFmtId="164" fontId="6" fillId="0" borderId="2" xfId="6" applyFont="1" applyFill="1" applyBorder="1" applyAlignment="1">
      <alignment horizontal="centerContinuous"/>
    </xf>
    <xf numFmtId="165" fontId="2" fillId="0" borderId="0" xfId="2" applyNumberFormat="1" applyFont="1" applyFill="1"/>
    <xf numFmtId="165" fontId="2" fillId="0" borderId="0" xfId="6" applyNumberFormat="1" applyFill="1"/>
    <xf numFmtId="165" fontId="2" fillId="0" borderId="2" xfId="2" applyNumberFormat="1" applyFont="1" applyFill="1" applyBorder="1"/>
    <xf numFmtId="165" fontId="2" fillId="0" borderId="0" xfId="6" applyNumberFormat="1" applyFill="1" applyBorder="1"/>
    <xf numFmtId="165" fontId="2" fillId="0" borderId="0" xfId="2" applyNumberFormat="1" applyFont="1" applyFill="1" applyBorder="1"/>
    <xf numFmtId="165" fontId="2" fillId="0" borderId="4" xfId="2" applyNumberFormat="1" applyFont="1" applyFill="1" applyBorder="1"/>
    <xf numFmtId="165" fontId="2" fillId="0" borderId="0" xfId="7" applyNumberFormat="1" applyFill="1"/>
    <xf numFmtId="164" fontId="8" fillId="0" borderId="2" xfId="4" applyFont="1" applyFill="1" applyBorder="1" applyAlignment="1">
      <alignment horizontal="centerContinuous"/>
    </xf>
    <xf numFmtId="164" fontId="6" fillId="0" borderId="2" xfId="4" applyFont="1" applyFill="1" applyBorder="1" applyAlignment="1">
      <alignment horizontal="centerContinuous"/>
    </xf>
    <xf numFmtId="10" fontId="9" fillId="0" borderId="0" xfId="4" applyNumberFormat="1" applyFont="1" applyFill="1" applyBorder="1"/>
    <xf numFmtId="10" fontId="7" fillId="0" borderId="0" xfId="4" applyNumberFormat="1" applyFont="1" applyFill="1" applyProtection="1">
      <protection locked="0"/>
    </xf>
    <xf numFmtId="10" fontId="7" fillId="0" borderId="2" xfId="4" applyNumberFormat="1" applyFont="1" applyFill="1" applyBorder="1" applyProtection="1">
      <protection locked="0"/>
    </xf>
    <xf numFmtId="5" fontId="7" fillId="0" borderId="2" xfId="4" applyNumberFormat="1" applyFont="1" applyFill="1" applyBorder="1" applyProtection="1"/>
    <xf numFmtId="7" fontId="12" fillId="0" borderId="0" xfId="4" applyNumberFormat="1" applyFont="1" applyFill="1" applyProtection="1">
      <protection locked="0"/>
    </xf>
    <xf numFmtId="10" fontId="7" fillId="0" borderId="0" xfId="4" applyNumberFormat="1" applyFont="1" applyFill="1" applyProtection="1"/>
    <xf numFmtId="164" fontId="2" fillId="0" borderId="2" xfId="4" applyFill="1" applyBorder="1" applyAlignment="1">
      <alignment horizontal="centerContinuous"/>
    </xf>
    <xf numFmtId="164" fontId="6" fillId="0" borderId="14" xfId="6" quotePrefix="1" applyFont="1" applyFill="1" applyBorder="1" applyAlignment="1">
      <alignment horizontal="center"/>
    </xf>
    <xf numFmtId="164" fontId="6" fillId="0" borderId="14" xfId="6" applyFont="1" applyBorder="1" applyAlignment="1">
      <alignment horizontal="center"/>
    </xf>
    <xf numFmtId="165" fontId="2" fillId="0" borderId="14" xfId="1" applyNumberFormat="1" applyFont="1" applyFill="1" applyBorder="1"/>
    <xf numFmtId="165" fontId="2" fillId="0" borderId="15" xfId="2" applyNumberFormat="1" applyFont="1" applyFill="1" applyBorder="1"/>
    <xf numFmtId="165" fontId="2" fillId="0" borderId="16" xfId="2" applyNumberFormat="1" applyFont="1" applyFill="1" applyBorder="1"/>
    <xf numFmtId="10" fontId="2" fillId="0" borderId="0" xfId="6" applyNumberFormat="1" applyFill="1"/>
    <xf numFmtId="10" fontId="2" fillId="0" borderId="2" xfId="6" applyNumberFormat="1" applyFill="1" applyBorder="1"/>
    <xf numFmtId="10" fontId="2" fillId="0" borderId="14" xfId="6" applyNumberFormat="1" applyFill="1" applyBorder="1"/>
    <xf numFmtId="10" fontId="2" fillId="0" borderId="15" xfId="6" applyNumberFormat="1" applyFill="1" applyBorder="1"/>
    <xf numFmtId="10" fontId="2" fillId="0" borderId="16" xfId="6" applyNumberFormat="1" applyFill="1" applyBorder="1"/>
    <xf numFmtId="164" fontId="0" fillId="0" borderId="0" xfId="6" applyFont="1" applyFill="1" applyAlignment="1">
      <alignment horizontal="right"/>
    </xf>
    <xf numFmtId="164" fontId="2" fillId="0" borderId="22" xfId="6" applyFill="1" applyBorder="1"/>
    <xf numFmtId="164" fontId="2" fillId="0" borderId="2" xfId="6" applyFill="1" applyBorder="1"/>
    <xf numFmtId="10" fontId="9" fillId="0" borderId="2" xfId="6" applyNumberFormat="1" applyFont="1" applyBorder="1"/>
    <xf numFmtId="164" fontId="6" fillId="0" borderId="14" xfId="6" applyFont="1" applyFill="1" applyBorder="1" applyAlignment="1">
      <alignment horizontal="centerContinuous"/>
    </xf>
    <xf numFmtId="164" fontId="6" fillId="0" borderId="0" xfId="6" applyFont="1" applyFill="1" applyBorder="1" applyAlignment="1">
      <alignment horizontal="left"/>
    </xf>
    <xf numFmtId="164" fontId="6" fillId="0" borderId="2" xfId="6" applyFont="1" applyBorder="1"/>
    <xf numFmtId="167" fontId="6" fillId="0" borderId="2" xfId="6" applyNumberFormat="1" applyFont="1" applyFill="1" applyBorder="1" applyAlignment="1">
      <alignment horizontal="centerContinuous"/>
    </xf>
    <xf numFmtId="167" fontId="6" fillId="0" borderId="2" xfId="6" applyNumberFormat="1" applyFont="1" applyFill="1" applyBorder="1" applyAlignment="1">
      <alignment horizontal="center"/>
    </xf>
    <xf numFmtId="164" fontId="6" fillId="0" borderId="0" xfId="6" applyNumberFormat="1" applyFont="1" applyFill="1"/>
    <xf numFmtId="167" fontId="6" fillId="0" borderId="0" xfId="6" applyNumberFormat="1" applyFont="1" applyFill="1" applyAlignment="1">
      <alignment horizontal="center"/>
    </xf>
    <xf numFmtId="164" fontId="2" fillId="0" borderId="0" xfId="6" applyNumberFormat="1" applyFill="1"/>
    <xf numFmtId="167" fontId="2" fillId="0" borderId="0" xfId="6" applyNumberFormat="1" applyFill="1"/>
    <xf numFmtId="167" fontId="2" fillId="0" borderId="0" xfId="2" applyNumberFormat="1" applyFont="1" applyFill="1"/>
    <xf numFmtId="167" fontId="2" fillId="0" borderId="2" xfId="2" applyNumberFormat="1" applyFont="1" applyFill="1" applyBorder="1"/>
    <xf numFmtId="167" fontId="2" fillId="0" borderId="0" xfId="2" applyNumberFormat="1" applyFont="1" applyFill="1" applyBorder="1"/>
    <xf numFmtId="164" fontId="6" fillId="0" borderId="14" xfId="6" applyFont="1" applyFill="1" applyBorder="1" applyAlignment="1">
      <alignment horizontal="center"/>
    </xf>
    <xf numFmtId="167" fontId="2" fillId="0" borderId="14" xfId="1" applyNumberFormat="1" applyFont="1" applyFill="1" applyBorder="1"/>
    <xf numFmtId="167" fontId="2" fillId="0" borderId="15" xfId="2" applyNumberFormat="1" applyFont="1" applyFill="1" applyBorder="1"/>
    <xf numFmtId="167" fontId="2" fillId="0" borderId="16" xfId="2" applyNumberFormat="1" applyFont="1" applyFill="1" applyBorder="1"/>
    <xf numFmtId="164" fontId="45" fillId="0" borderId="0" xfId="4" applyFont="1" applyFill="1" applyAlignment="1">
      <alignment horizontal="centerContinuous"/>
    </xf>
    <xf numFmtId="164" fontId="12" fillId="0" borderId="4" xfId="4" applyFont="1" applyFill="1" applyBorder="1"/>
    <xf numFmtId="164" fontId="45" fillId="0" borderId="0" xfId="4" applyFont="1" applyFill="1" applyBorder="1" applyAlignment="1">
      <alignment horizontal="centerContinuous"/>
    </xf>
    <xf numFmtId="37" fontId="46" fillId="0" borderId="0" xfId="4" applyNumberFormat="1" applyFont="1" applyFill="1" applyProtection="1"/>
    <xf numFmtId="164" fontId="46" fillId="0" borderId="0" xfId="4" applyFont="1" applyFill="1" applyBorder="1" applyAlignment="1">
      <alignment horizontal="center"/>
    </xf>
    <xf numFmtId="164" fontId="46" fillId="0" borderId="0" xfId="4" applyFont="1" applyFill="1" applyAlignment="1">
      <alignment horizontal="center"/>
    </xf>
    <xf numFmtId="37" fontId="46" fillId="0" borderId="0" xfId="4" applyNumberFormat="1" applyFont="1" applyFill="1" applyAlignment="1" applyProtection="1">
      <alignment horizontal="center"/>
    </xf>
    <xf numFmtId="164" fontId="46" fillId="0" borderId="2" xfId="5" applyFont="1" applyFill="1" applyBorder="1" applyAlignment="1">
      <alignment horizontal="centerContinuous"/>
    </xf>
    <xf numFmtId="37" fontId="46" fillId="0" borderId="0" xfId="4" applyNumberFormat="1" applyFont="1" applyFill="1" applyBorder="1" applyAlignment="1" applyProtection="1">
      <alignment horizontal="center"/>
    </xf>
    <xf numFmtId="37" fontId="46" fillId="0" borderId="2" xfId="4" quotePrefix="1" applyNumberFormat="1" applyFont="1" applyFill="1" applyBorder="1" applyAlignment="1" applyProtection="1">
      <alignment horizontal="center"/>
    </xf>
    <xf numFmtId="164" fontId="46" fillId="0" borderId="3" xfId="4" quotePrefix="1" applyFont="1" applyFill="1" applyBorder="1" applyAlignment="1">
      <alignment horizontal="center"/>
    </xf>
    <xf numFmtId="164" fontId="46" fillId="0" borderId="3" xfId="4" applyFont="1" applyFill="1" applyBorder="1" applyAlignment="1">
      <alignment horizontal="center"/>
    </xf>
    <xf numFmtId="166" fontId="12" fillId="0" borderId="0" xfId="4" applyNumberFormat="1" applyFont="1" applyFill="1" applyProtection="1"/>
    <xf numFmtId="7" fontId="12" fillId="0" borderId="0" xfId="4" applyNumberFormat="1" applyFont="1" applyFill="1" applyBorder="1" applyProtection="1">
      <protection locked="0"/>
    </xf>
    <xf numFmtId="5" fontId="12" fillId="0" borderId="0" xfId="4" applyNumberFormat="1" applyFont="1" applyFill="1" applyProtection="1"/>
    <xf numFmtId="168" fontId="12" fillId="0" borderId="0" xfId="4" applyNumberFormat="1" applyFont="1" applyFill="1" applyProtection="1">
      <protection locked="0"/>
    </xf>
    <xf numFmtId="0" fontId="12" fillId="0" borderId="0" xfId="0" applyFont="1" applyBorder="1"/>
    <xf numFmtId="169" fontId="12" fillId="0" borderId="0" xfId="4" applyNumberFormat="1" applyFont="1" applyFill="1" applyProtection="1">
      <protection locked="0"/>
    </xf>
    <xf numFmtId="164" fontId="15" fillId="0" borderId="0" xfId="4" applyFont="1" applyFill="1" applyBorder="1"/>
    <xf numFmtId="7" fontId="12" fillId="0" borderId="0" xfId="4" applyNumberFormat="1" applyFont="1" applyFill="1" applyBorder="1" applyProtection="1"/>
    <xf numFmtId="5" fontId="12" fillId="0" borderId="0" xfId="4" applyNumberFormat="1" applyFont="1" applyFill="1" applyBorder="1" applyProtection="1"/>
    <xf numFmtId="5" fontId="12" fillId="0" borderId="3" xfId="4" applyNumberFormat="1" applyFont="1" applyFill="1" applyBorder="1" applyProtection="1"/>
    <xf numFmtId="37" fontId="12" fillId="0" borderId="4" xfId="4" applyNumberFormat="1" applyFont="1" applyFill="1" applyBorder="1" applyProtection="1"/>
    <xf numFmtId="5" fontId="12" fillId="0" borderId="4" xfId="4" applyNumberFormat="1" applyFont="1" applyFill="1" applyBorder="1" applyProtection="1"/>
    <xf numFmtId="171" fontId="12" fillId="0" borderId="0" xfId="4" applyNumberFormat="1" applyFont="1" applyFill="1" applyProtection="1"/>
    <xf numFmtId="169" fontId="12" fillId="0" borderId="0" xfId="4" applyNumberFormat="1" applyFont="1" applyFill="1" applyBorder="1" applyProtection="1">
      <protection locked="0"/>
    </xf>
    <xf numFmtId="173" fontId="12" fillId="0" borderId="0" xfId="4" applyNumberFormat="1" applyFont="1" applyFill="1" applyProtection="1">
      <protection locked="0"/>
    </xf>
    <xf numFmtId="164" fontId="12" fillId="0" borderId="5" xfId="4" applyFont="1" applyFill="1" applyBorder="1"/>
    <xf numFmtId="5" fontId="12" fillId="0" borderId="5" xfId="4" applyNumberFormat="1" applyFont="1" applyFill="1" applyBorder="1" applyProtection="1"/>
    <xf numFmtId="7" fontId="15" fillId="0" borderId="0" xfId="4" applyNumberFormat="1" applyFont="1" applyFill="1" applyProtection="1">
      <protection locked="0"/>
    </xf>
    <xf numFmtId="7" fontId="15" fillId="0" borderId="0" xfId="4" applyNumberFormat="1" applyFont="1" applyFill="1" applyBorder="1" applyProtection="1">
      <protection locked="0"/>
    </xf>
    <xf numFmtId="5" fontId="15" fillId="0" borderId="0" xfId="4" applyNumberFormat="1" applyFont="1" applyFill="1" applyProtection="1"/>
    <xf numFmtId="169" fontId="12" fillId="0" borderId="0" xfId="4" applyNumberFormat="1" applyFont="1" applyFill="1" applyProtection="1"/>
    <xf numFmtId="169" fontId="12" fillId="0" borderId="0" xfId="4" applyNumberFormat="1" applyFont="1" applyFill="1" applyBorder="1" applyProtection="1"/>
    <xf numFmtId="164" fontId="12" fillId="0" borderId="2" xfId="4" applyFont="1" applyFill="1" applyBorder="1"/>
    <xf numFmtId="5" fontId="12" fillId="0" borderId="2" xfId="4" applyNumberFormat="1" applyFont="1" applyFill="1" applyBorder="1" applyProtection="1"/>
    <xf numFmtId="170" fontId="12" fillId="0" borderId="0" xfId="4" applyNumberFormat="1" applyFont="1" applyFill="1" applyProtection="1">
      <protection locked="0"/>
    </xf>
    <xf numFmtId="164" fontId="12" fillId="0" borderId="0" xfId="4" applyNumberFormat="1" applyFont="1" applyFill="1" applyProtection="1">
      <protection locked="0"/>
    </xf>
    <xf numFmtId="175" fontId="12" fillId="0" borderId="0" xfId="4" applyNumberFormat="1" applyFont="1" applyFill="1" applyProtection="1">
      <protection locked="0"/>
    </xf>
    <xf numFmtId="7" fontId="12" fillId="0" borderId="0" xfId="4" applyNumberFormat="1" applyFont="1" applyFill="1" applyProtection="1"/>
    <xf numFmtId="37" fontId="12" fillId="0" borderId="6" xfId="4" applyNumberFormat="1" applyFont="1" applyFill="1" applyBorder="1" applyProtection="1"/>
    <xf numFmtId="164" fontId="12" fillId="0" borderId="3" xfId="4" applyFont="1" applyFill="1" applyBorder="1"/>
    <xf numFmtId="37" fontId="12" fillId="0" borderId="5" xfId="4" applyNumberFormat="1" applyFont="1" applyFill="1" applyBorder="1" applyProtection="1">
      <protection locked="0"/>
    </xf>
    <xf numFmtId="165" fontId="12" fillId="0" borderId="5" xfId="1" applyNumberFormat="1" applyFont="1" applyFill="1" applyBorder="1"/>
    <xf numFmtId="165" fontId="12" fillId="0" borderId="0" xfId="1" applyNumberFormat="1" applyFont="1" applyFill="1" applyBorder="1"/>
    <xf numFmtId="174" fontId="12" fillId="0" borderId="0" xfId="1" applyNumberFormat="1" applyFont="1" applyFill="1" applyBorder="1" applyProtection="1">
      <protection locked="0"/>
    </xf>
    <xf numFmtId="37" fontId="12" fillId="0" borderId="0" xfId="4" applyNumberFormat="1" applyFont="1" applyFill="1" applyBorder="1" applyProtection="1">
      <protection locked="0"/>
    </xf>
    <xf numFmtId="177" fontId="12" fillId="0" borderId="0" xfId="4" applyNumberFormat="1" applyFont="1" applyFill="1" applyProtection="1"/>
    <xf numFmtId="174" fontId="12" fillId="0" borderId="0" xfId="1" applyNumberFormat="1" applyFont="1" applyFill="1" applyProtection="1">
      <protection locked="0"/>
    </xf>
    <xf numFmtId="39" fontId="12" fillId="0" borderId="0" xfId="4" applyNumberFormat="1" applyFont="1" applyFill="1" applyProtection="1"/>
    <xf numFmtId="179" fontId="12" fillId="0" borderId="0" xfId="4" applyNumberFormat="1" applyFont="1" applyFill="1" applyProtection="1">
      <protection locked="0"/>
    </xf>
    <xf numFmtId="179" fontId="12" fillId="0" borderId="0" xfId="4" applyNumberFormat="1" applyFont="1" applyFill="1" applyBorder="1" applyProtection="1">
      <protection locked="0"/>
    </xf>
    <xf numFmtId="179" fontId="12" fillId="0" borderId="0" xfId="4" applyNumberFormat="1" applyFont="1" applyFill="1" applyBorder="1" applyProtection="1"/>
    <xf numFmtId="178" fontId="12" fillId="0" borderId="0" xfId="4" applyNumberFormat="1" applyFont="1" applyFill="1" applyProtection="1">
      <protection locked="0"/>
    </xf>
    <xf numFmtId="173" fontId="12" fillId="0" borderId="0" xfId="4" applyNumberFormat="1" applyFont="1" applyFill="1" applyProtection="1"/>
    <xf numFmtId="173" fontId="12" fillId="0" borderId="2" xfId="4" applyNumberFormat="1" applyFont="1" applyFill="1" applyBorder="1" applyProtection="1"/>
    <xf numFmtId="173" fontId="12" fillId="0" borderId="0" xfId="4" applyNumberFormat="1" applyFont="1" applyFill="1" applyBorder="1" applyProtection="1"/>
    <xf numFmtId="5" fontId="12" fillId="0" borderId="0" xfId="4" applyNumberFormat="1" applyFont="1" applyFill="1" applyProtection="1">
      <protection locked="0"/>
    </xf>
    <xf numFmtId="164" fontId="12" fillId="0" borderId="0" xfId="4" applyNumberFormat="1" applyFont="1" applyFill="1" applyProtection="1"/>
    <xf numFmtId="164" fontId="12" fillId="0" borderId="0" xfId="4" applyNumberFormat="1" applyFont="1" applyFill="1" applyBorder="1" applyProtection="1"/>
    <xf numFmtId="169" fontId="12" fillId="0" borderId="5" xfId="4" applyNumberFormat="1" applyFont="1" applyFill="1" applyBorder="1" applyProtection="1"/>
    <xf numFmtId="174" fontId="12" fillId="0" borderId="0" xfId="1" applyNumberFormat="1" applyFont="1" applyFill="1" applyProtection="1"/>
    <xf numFmtId="174" fontId="12" fillId="0" borderId="0" xfId="1" applyNumberFormat="1" applyFont="1" applyFill="1" applyBorder="1" applyProtection="1"/>
    <xf numFmtId="37" fontId="12" fillId="0" borderId="7" xfId="4" applyNumberFormat="1" applyFont="1" applyFill="1" applyBorder="1" applyProtection="1"/>
    <xf numFmtId="169" fontId="12" fillId="0" borderId="4" xfId="4" applyNumberFormat="1" applyFont="1" applyFill="1" applyBorder="1" applyProtection="1"/>
    <xf numFmtId="5" fontId="12" fillId="0" borderId="7" xfId="4" applyNumberFormat="1" applyFont="1" applyFill="1" applyBorder="1" applyProtection="1"/>
    <xf numFmtId="10" fontId="12" fillId="0" borderId="0" xfId="3" applyNumberFormat="1" applyFont="1" applyFill="1" applyBorder="1"/>
    <xf numFmtId="164" fontId="12" fillId="0" borderId="0" xfId="4" applyNumberFormat="1" applyFont="1" applyFill="1" applyBorder="1" applyProtection="1">
      <protection locked="0"/>
    </xf>
    <xf numFmtId="172" fontId="12" fillId="0" borderId="0" xfId="1" applyNumberFormat="1" applyFont="1" applyFill="1"/>
    <xf numFmtId="172" fontId="12" fillId="0" borderId="4" xfId="1" applyNumberFormat="1" applyFont="1" applyFill="1" applyBorder="1"/>
    <xf numFmtId="3" fontId="47" fillId="0" borderId="0" xfId="219" applyNumberFormat="1" applyFont="1" applyAlignment="1">
      <alignment horizontal="centerContinuous"/>
    </xf>
    <xf numFmtId="0" fontId="48" fillId="0" borderId="0" xfId="219" applyFont="1" applyAlignment="1">
      <alignment horizontal="centerContinuous"/>
    </xf>
    <xf numFmtId="182" fontId="48" fillId="0" borderId="0" xfId="219" applyNumberFormat="1" applyFont="1" applyAlignment="1">
      <alignment horizontal="centerContinuous"/>
    </xf>
    <xf numFmtId="7" fontId="48" fillId="0" borderId="0" xfId="219" applyNumberFormat="1" applyFont="1" applyAlignment="1">
      <alignment horizontal="centerContinuous"/>
    </xf>
    <xf numFmtId="0" fontId="48" fillId="0" borderId="0" xfId="219" applyFont="1" applyBorder="1" applyAlignment="1">
      <alignment horizontal="centerContinuous"/>
    </xf>
    <xf numFmtId="0" fontId="48" fillId="0" borderId="0" xfId="219" applyFont="1" applyBorder="1"/>
    <xf numFmtId="164" fontId="6" fillId="0" borderId="0" xfId="4" applyFont="1" applyFill="1" applyBorder="1" applyAlignment="1">
      <alignment horizontal="right"/>
    </xf>
    <xf numFmtId="9" fontId="6" fillId="0" borderId="0" xfId="4" applyNumberFormat="1" applyFont="1" applyBorder="1" applyAlignment="1">
      <alignment horizontal="right"/>
    </xf>
    <xf numFmtId="0" fontId="48" fillId="0" borderId="0" xfId="219" applyFont="1"/>
    <xf numFmtId="10" fontId="6" fillId="0" borderId="0" xfId="4" applyNumberFormat="1" applyFont="1" applyBorder="1" applyAlignment="1">
      <alignment horizontal="right"/>
    </xf>
    <xf numFmtId="164" fontId="6" fillId="0" borderId="0" xfId="4" applyFont="1" applyFill="1" applyBorder="1"/>
    <xf numFmtId="165" fontId="6" fillId="0" borderId="0" xfId="4" applyNumberFormat="1" applyFont="1" applyBorder="1"/>
    <xf numFmtId="3" fontId="48" fillId="0" borderId="0" xfId="219" applyNumberFormat="1" applyFont="1"/>
    <xf numFmtId="182" fontId="48" fillId="0" borderId="0" xfId="219" applyNumberFormat="1" applyFont="1"/>
    <xf numFmtId="182" fontId="48" fillId="0" borderId="0" xfId="219" applyNumberFormat="1" applyFont="1" applyBorder="1" applyAlignment="1">
      <alignment horizontal="centerContinuous"/>
    </xf>
    <xf numFmtId="182" fontId="49" fillId="0" borderId="2" xfId="219" applyNumberFormat="1" applyFont="1" applyBorder="1" applyAlignment="1">
      <alignment horizontal="centerContinuous"/>
    </xf>
    <xf numFmtId="0" fontId="10" fillId="0" borderId="2" xfId="219" applyBorder="1" applyAlignment="1">
      <alignment horizontal="centerContinuous"/>
    </xf>
    <xf numFmtId="182" fontId="48" fillId="0" borderId="2" xfId="219" applyNumberFormat="1" applyFont="1" applyBorder="1" applyAlignment="1">
      <alignment horizontal="centerContinuous"/>
    </xf>
    <xf numFmtId="0" fontId="48" fillId="0" borderId="2" xfId="219" applyFont="1" applyBorder="1" applyAlignment="1">
      <alignment horizontal="centerContinuous"/>
    </xf>
    <xf numFmtId="7" fontId="48" fillId="0" borderId="2" xfId="219" applyNumberFormat="1" applyFont="1" applyBorder="1" applyAlignment="1">
      <alignment horizontal="centerContinuous"/>
    </xf>
    <xf numFmtId="7" fontId="48" fillId="0" borderId="0" xfId="219" applyNumberFormat="1" applyFont="1"/>
    <xf numFmtId="3" fontId="51" fillId="0" borderId="0" xfId="219" applyNumberFormat="1" applyFont="1" applyAlignment="1">
      <alignment horizontal="center"/>
    </xf>
    <xf numFmtId="182" fontId="48" fillId="0" borderId="14" xfId="219" applyNumberFormat="1" applyFont="1" applyBorder="1" applyAlignment="1">
      <alignment horizontal="centerContinuous"/>
    </xf>
    <xf numFmtId="182" fontId="48" fillId="0" borderId="14" xfId="219" applyNumberFormat="1" applyFont="1" applyBorder="1" applyAlignment="1">
      <alignment horizontal="centerContinuous" wrapText="1"/>
    </xf>
    <xf numFmtId="7" fontId="48" fillId="0" borderId="2" xfId="219" applyNumberFormat="1" applyFont="1" applyBorder="1" applyAlignment="1">
      <alignment horizontal="center"/>
    </xf>
    <xf numFmtId="0" fontId="48" fillId="0" borderId="2" xfId="219" applyFont="1" applyBorder="1" applyAlignment="1">
      <alignment horizontal="center"/>
    </xf>
    <xf numFmtId="0" fontId="48" fillId="0" borderId="0" xfId="219" applyFont="1" applyAlignment="1">
      <alignment horizontal="center"/>
    </xf>
    <xf numFmtId="7" fontId="48" fillId="0" borderId="0" xfId="3" applyNumberFormat="1" applyFont="1"/>
    <xf numFmtId="167" fontId="48" fillId="0" borderId="0" xfId="3" applyNumberFormat="1" applyFont="1"/>
    <xf numFmtId="0" fontId="49" fillId="0" borderId="17" xfId="219" applyFont="1" applyBorder="1"/>
    <xf numFmtId="0" fontId="49" fillId="0" borderId="14" xfId="219" applyFont="1" applyBorder="1" applyAlignment="1">
      <alignment horizontal="center"/>
    </xf>
    <xf numFmtId="0" fontId="49" fillId="0" borderId="18" xfId="219" applyFont="1" applyBorder="1" applyAlignment="1">
      <alignment horizontal="center"/>
    </xf>
    <xf numFmtId="39" fontId="48" fillId="0" borderId="0" xfId="219" applyNumberFormat="1" applyFont="1"/>
    <xf numFmtId="0" fontId="52" fillId="0" borderId="24" xfId="219" applyFont="1" applyBorder="1"/>
    <xf numFmtId="0" fontId="48" fillId="0" borderId="25" xfId="219" applyFont="1" applyBorder="1"/>
    <xf numFmtId="0" fontId="48" fillId="0" borderId="24" xfId="219" applyFont="1" applyBorder="1"/>
    <xf numFmtId="7" fontId="53" fillId="0" borderId="0" xfId="219" applyNumberFormat="1" applyFont="1" applyBorder="1"/>
    <xf numFmtId="7" fontId="53" fillId="0" borderId="25" xfId="219" applyNumberFormat="1" applyFont="1" applyBorder="1"/>
    <xf numFmtId="167" fontId="48" fillId="0" borderId="0" xfId="219" applyNumberFormat="1" applyFont="1"/>
    <xf numFmtId="170" fontId="53" fillId="0" borderId="0" xfId="219" applyNumberFormat="1" applyFont="1" applyBorder="1"/>
    <xf numFmtId="170" fontId="53" fillId="0" borderId="25" xfId="219" applyNumberFormat="1" applyFont="1" applyBorder="1"/>
    <xf numFmtId="10" fontId="53" fillId="0" borderId="0" xfId="3" applyNumberFormat="1" applyFont="1" applyBorder="1"/>
    <xf numFmtId="10" fontId="53" fillId="0" borderId="25" xfId="3" applyNumberFormat="1" applyFont="1" applyBorder="1"/>
    <xf numFmtId="7" fontId="48" fillId="0" borderId="0" xfId="219" applyNumberFormat="1" applyFont="1" applyBorder="1"/>
    <xf numFmtId="7" fontId="48" fillId="0" borderId="25" xfId="219" applyNumberFormat="1" applyFont="1" applyBorder="1"/>
    <xf numFmtId="175" fontId="54" fillId="0" borderId="0" xfId="219" applyNumberFormat="1" applyFont="1" applyBorder="1"/>
    <xf numFmtId="175" fontId="54" fillId="0" borderId="25" xfId="219" applyNumberFormat="1" applyFont="1" applyBorder="1"/>
    <xf numFmtId="0" fontId="48" fillId="0" borderId="22" xfId="219" applyFont="1" applyBorder="1"/>
    <xf numFmtId="10" fontId="48" fillId="0" borderId="2" xfId="3" applyNumberFormat="1" applyFont="1" applyBorder="1"/>
    <xf numFmtId="10" fontId="48" fillId="0" borderId="23" xfId="3" applyNumberFormat="1" applyFont="1" applyBorder="1"/>
    <xf numFmtId="10" fontId="54" fillId="0" borderId="0" xfId="219" applyNumberFormat="1" applyFont="1" applyBorder="1"/>
    <xf numFmtId="10" fontId="54" fillId="0" borderId="0" xfId="219" applyNumberFormat="1" applyFont="1"/>
    <xf numFmtId="10" fontId="48" fillId="0" borderId="0" xfId="219" applyNumberFormat="1" applyFont="1" applyBorder="1"/>
    <xf numFmtId="10" fontId="48" fillId="0" borderId="0" xfId="219" applyNumberFormat="1" applyFont="1"/>
    <xf numFmtId="9" fontId="48" fillId="0" borderId="0" xfId="219" applyNumberFormat="1" applyFont="1"/>
    <xf numFmtId="3" fontId="50" fillId="0" borderId="0" xfId="219" applyNumberFormat="1" applyFont="1"/>
    <xf numFmtId="182" fontId="48" fillId="0" borderId="0" xfId="219" applyNumberFormat="1" applyFont="1" applyBorder="1"/>
    <xf numFmtId="0" fontId="48" fillId="0" borderId="19" xfId="219" applyFont="1" applyBorder="1" applyAlignment="1">
      <alignment horizontal="centerContinuous"/>
    </xf>
    <xf numFmtId="0" fontId="48" fillId="0" borderId="20" xfId="219" applyFont="1" applyBorder="1" applyAlignment="1">
      <alignment horizontal="centerContinuous"/>
    </xf>
    <xf numFmtId="0" fontId="48" fillId="0" borderId="17" xfId="219" applyFont="1" applyBorder="1" applyAlignment="1">
      <alignment horizontal="centerContinuous"/>
    </xf>
    <xf numFmtId="0" fontId="48" fillId="0" borderId="18" xfId="219" applyFont="1" applyBorder="1" applyAlignment="1">
      <alignment horizontal="centerContinuous"/>
    </xf>
    <xf numFmtId="0" fontId="48" fillId="0" borderId="17" xfId="219" applyFont="1" applyBorder="1" applyAlignment="1">
      <alignment horizontal="center"/>
    </xf>
    <xf numFmtId="0" fontId="48" fillId="0" borderId="22" xfId="219" applyFont="1" applyBorder="1" applyAlignment="1">
      <alignment horizontal="center"/>
    </xf>
    <xf numFmtId="0" fontId="48" fillId="0" borderId="26" xfId="219" applyFont="1" applyBorder="1" applyAlignment="1">
      <alignment horizontal="center"/>
    </xf>
    <xf numFmtId="0" fontId="48" fillId="0" borderId="27" xfId="219" applyFont="1" applyBorder="1"/>
    <xf numFmtId="1" fontId="48" fillId="0" borderId="0" xfId="219" applyNumberFormat="1" applyFont="1" applyBorder="1"/>
    <xf numFmtId="182" fontId="48" fillId="0" borderId="24" xfId="219" applyNumberFormat="1" applyFont="1" applyBorder="1"/>
    <xf numFmtId="167" fontId="48" fillId="0" borderId="27" xfId="3" applyNumberFormat="1" applyFont="1" applyBorder="1"/>
    <xf numFmtId="0" fontId="48" fillId="0" borderId="28" xfId="219" applyFont="1" applyBorder="1"/>
    <xf numFmtId="167" fontId="48" fillId="0" borderId="28" xfId="3" applyNumberFormat="1" applyFont="1" applyBorder="1"/>
    <xf numFmtId="0" fontId="48" fillId="0" borderId="26" xfId="219" applyFont="1" applyBorder="1"/>
    <xf numFmtId="3" fontId="48" fillId="0" borderId="2" xfId="219" applyNumberFormat="1" applyFont="1" applyBorder="1"/>
    <xf numFmtId="182" fontId="48" fillId="0" borderId="22" xfId="219" applyNumberFormat="1" applyFont="1" applyBorder="1"/>
    <xf numFmtId="167" fontId="48" fillId="0" borderId="26" xfId="3" applyNumberFormat="1" applyFont="1" applyBorder="1"/>
    <xf numFmtId="3" fontId="48" fillId="0" borderId="0" xfId="219" applyNumberFormat="1" applyFont="1" applyBorder="1"/>
    <xf numFmtId="182" fontId="49" fillId="0" borderId="0" xfId="219" applyNumberFormat="1" applyFont="1" applyBorder="1" applyAlignment="1">
      <alignment horizontal="centerContinuous"/>
    </xf>
    <xf numFmtId="0" fontId="10" fillId="0" borderId="0" xfId="219" applyBorder="1" applyAlignment="1">
      <alignment horizontal="centerContinuous"/>
    </xf>
    <xf numFmtId="7" fontId="48" fillId="0" borderId="0" xfId="219" applyNumberFormat="1" applyFont="1" applyBorder="1" applyAlignment="1">
      <alignment horizontal="centerContinuous"/>
    </xf>
    <xf numFmtId="3" fontId="51" fillId="0" borderId="0" xfId="219" applyNumberFormat="1" applyFont="1" applyBorder="1" applyAlignment="1">
      <alignment horizontal="center"/>
    </xf>
    <xf numFmtId="182" fontId="48" fillId="0" borderId="0" xfId="219" applyNumberFormat="1" applyFont="1" applyBorder="1" applyAlignment="1">
      <alignment horizontal="centerContinuous" wrapText="1"/>
    </xf>
    <xf numFmtId="7" fontId="48" fillId="0" borderId="0" xfId="219" applyNumberFormat="1" applyFont="1" applyBorder="1" applyAlignment="1">
      <alignment horizontal="center"/>
    </xf>
    <xf numFmtId="0" fontId="48" fillId="0" borderId="0" xfId="219" applyFont="1" applyBorder="1" applyAlignment="1">
      <alignment horizontal="center"/>
    </xf>
    <xf numFmtId="167" fontId="48" fillId="0" borderId="0" xfId="3" applyNumberFormat="1" applyFont="1" applyBorder="1"/>
    <xf numFmtId="7" fontId="48" fillId="0" borderId="0" xfId="3" applyNumberFormat="1" applyFont="1" applyBorder="1"/>
    <xf numFmtId="164" fontId="55" fillId="0" borderId="0" xfId="6" applyFont="1" applyAlignment="1">
      <alignment horizontal="centerContinuous"/>
    </xf>
    <xf numFmtId="3" fontId="56" fillId="0" borderId="0" xfId="0" applyNumberFormat="1" applyFont="1" applyAlignment="1">
      <alignment horizontal="centerContinuous"/>
    </xf>
    <xf numFmtId="164" fontId="0" fillId="0" borderId="0" xfId="4" applyFont="1"/>
    <xf numFmtId="164" fontId="2" fillId="0" borderId="23" xfId="6" applyFill="1" applyBorder="1"/>
    <xf numFmtId="164" fontId="2" fillId="0" borderId="0" xfId="6" applyFill="1" applyBorder="1"/>
    <xf numFmtId="165" fontId="0" fillId="0" borderId="19" xfId="7" applyNumberFormat="1" applyFont="1" applyFill="1" applyBorder="1" applyAlignment="1">
      <alignment horizontal="centerContinuous"/>
    </xf>
    <xf numFmtId="165" fontId="2" fillId="0" borderId="20" xfId="7" applyNumberFormat="1" applyFill="1" applyBorder="1" applyAlignment="1">
      <alignment horizontal="centerContinuous"/>
    </xf>
    <xf numFmtId="165" fontId="2" fillId="0" borderId="21" xfId="7" applyNumberFormat="1" applyFill="1" applyBorder="1" applyAlignment="1">
      <alignment horizontal="centerContinuous"/>
    </xf>
    <xf numFmtId="165" fontId="9" fillId="0" borderId="0" xfId="6" applyNumberFormat="1" applyFont="1" applyFill="1"/>
    <xf numFmtId="6" fontId="57" fillId="0" borderId="0" xfId="0" applyNumberFormat="1" applyFont="1"/>
    <xf numFmtId="164" fontId="0" fillId="0" borderId="0" xfId="6" applyFont="1"/>
    <xf numFmtId="184" fontId="57" fillId="0" borderId="0" xfId="0" applyNumberFormat="1" applyFont="1"/>
    <xf numFmtId="7" fontId="49" fillId="0" borderId="0" xfId="219" applyNumberFormat="1" applyFont="1" applyAlignment="1">
      <alignment horizontal="center"/>
    </xf>
  </cellXfs>
  <cellStyles count="22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Comma" xfId="1" builtinId="3"/>
    <cellStyle name="Comma 11" xfId="20"/>
    <cellStyle name="Comma 19" xfId="21"/>
    <cellStyle name="Comma 2" xfId="22"/>
    <cellStyle name="Comma 2 10" xfId="23"/>
    <cellStyle name="Comma 2 11" xfId="24"/>
    <cellStyle name="Comma 2 12" xfId="25"/>
    <cellStyle name="Comma 2 13" xfId="26"/>
    <cellStyle name="Comma 2 14" xfId="27"/>
    <cellStyle name="Comma 2 15" xfId="28"/>
    <cellStyle name="Comma 2 16" xfId="29"/>
    <cellStyle name="Comma 2 17" xfId="30"/>
    <cellStyle name="Comma 2 18" xfId="31"/>
    <cellStyle name="Comma 2 19" xfId="32"/>
    <cellStyle name="Comma 2 2" xfId="33"/>
    <cellStyle name="Comma 2 20" xfId="34"/>
    <cellStyle name="Comma 2 21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21" xfId="43"/>
    <cellStyle name="Comma 22" xfId="44"/>
    <cellStyle name="Comma 3" xfId="45"/>
    <cellStyle name="Comma 4" xfId="46"/>
    <cellStyle name="Comma 5" xfId="47"/>
    <cellStyle name="Comma 6" xfId="48"/>
    <cellStyle name="Comma 6 2" xfId="49"/>
    <cellStyle name="Currency" xfId="2" builtinId="4"/>
    <cellStyle name="Currency 2" xfId="50"/>
    <cellStyle name="Currency 2 10" xfId="51"/>
    <cellStyle name="Currency 2 11" xfId="52"/>
    <cellStyle name="Currency 2 12" xfId="53"/>
    <cellStyle name="Currency 2 13" xfId="54"/>
    <cellStyle name="Currency 2 14" xfId="55"/>
    <cellStyle name="Currency 2 15" xfId="56"/>
    <cellStyle name="Currency 2 16" xfId="57"/>
    <cellStyle name="Currency 2 17" xfId="58"/>
    <cellStyle name="Currency 2 18" xfId="59"/>
    <cellStyle name="Currency 2 19" xfId="60"/>
    <cellStyle name="Currency 2 2" xfId="61"/>
    <cellStyle name="Currency 2 20" xfId="62"/>
    <cellStyle name="Currency 2 21" xfId="63"/>
    <cellStyle name="Currency 2 3" xfId="64"/>
    <cellStyle name="Currency 2 4" xfId="65"/>
    <cellStyle name="Currency 2 5" xfId="66"/>
    <cellStyle name="Currency 2 6" xfId="67"/>
    <cellStyle name="Currency 2 7" xfId="68"/>
    <cellStyle name="Currency 2 8" xfId="69"/>
    <cellStyle name="Currency 2 9" xfId="70"/>
    <cellStyle name="Currency 3" xfId="71"/>
    <cellStyle name="Currency 4" xfId="72"/>
    <cellStyle name="Currency 5" xfId="73"/>
    <cellStyle name="Currency No Comma" xfId="74"/>
    <cellStyle name="General" xfId="75"/>
    <cellStyle name="MCP" xfId="76"/>
    <cellStyle name="nONE" xfId="77"/>
    <cellStyle name="noninput" xfId="78"/>
    <cellStyle name="Normal" xfId="0" builtinId="0"/>
    <cellStyle name="Normal 10" xfId="79"/>
    <cellStyle name="Normal 11" xfId="80"/>
    <cellStyle name="Normal 11 2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101"/>
    <cellStyle name="Normal 2 20" xfId="102"/>
    <cellStyle name="Normal 2 21" xfId="103"/>
    <cellStyle name="Normal 2 22" xfId="104"/>
    <cellStyle name="Normal 2 3" xfId="105"/>
    <cellStyle name="Normal 2 4" xfId="106"/>
    <cellStyle name="Normal 2 5" xfId="107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1" xfId="114"/>
    <cellStyle name="Normal 22" xfId="115"/>
    <cellStyle name="Normal 23" xfId="116"/>
    <cellStyle name="Normal 24" xfId="117"/>
    <cellStyle name="Normal 25" xfId="118"/>
    <cellStyle name="Normal 25 2" xfId="119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0" xfId="126"/>
    <cellStyle name="Normal 31" xfId="127"/>
    <cellStyle name="Normal 32" xfId="128"/>
    <cellStyle name="Normal 4" xfId="129"/>
    <cellStyle name="Normal 4 2" xfId="130"/>
    <cellStyle name="Normal 5" xfId="131"/>
    <cellStyle name="Normal 5 2" xfId="132"/>
    <cellStyle name="Normal 6" xfId="133"/>
    <cellStyle name="Normal 7" xfId="134"/>
    <cellStyle name="Normal 8" xfId="135"/>
    <cellStyle name="Normal 9" xfId="136"/>
    <cellStyle name="Normal_Bill Comp Settlement with New DSM" xfId="219"/>
    <cellStyle name="Normal_Blocking 03-01" xfId="6"/>
    <cellStyle name="Normal_Blocking 03-01 2" xfId="7"/>
    <cellStyle name="Normal_Blocking 09-00" xfId="4"/>
    <cellStyle name="Normal_Blocking 09-00 2" xfId="5"/>
    <cellStyle name="Note 2" xfId="137"/>
    <cellStyle name="Note 3" xfId="138"/>
    <cellStyle name="Password" xfId="139"/>
    <cellStyle name="Percent" xfId="3" builtinId="5"/>
    <cellStyle name="Percent 10" xfId="140"/>
    <cellStyle name="Percent 11" xfId="141"/>
    <cellStyle name="Percent 13" xfId="142"/>
    <cellStyle name="Percent 19" xfId="143"/>
    <cellStyle name="Percent 2" xfId="144"/>
    <cellStyle name="Percent 2 10" xfId="145"/>
    <cellStyle name="Percent 2 11" xfId="146"/>
    <cellStyle name="Percent 2 12" xfId="147"/>
    <cellStyle name="Percent 2 13" xfId="148"/>
    <cellStyle name="Percent 2 14" xfId="149"/>
    <cellStyle name="Percent 2 15" xfId="150"/>
    <cellStyle name="Percent 2 16" xfId="151"/>
    <cellStyle name="Percent 2 17" xfId="152"/>
    <cellStyle name="Percent 2 18" xfId="153"/>
    <cellStyle name="Percent 2 19" xfId="154"/>
    <cellStyle name="Percent 2 2" xfId="155"/>
    <cellStyle name="Percent 2 20" xfId="156"/>
    <cellStyle name="Percent 2 21" xfId="157"/>
    <cellStyle name="Percent 2 3" xfId="158"/>
    <cellStyle name="Percent 2 4" xfId="159"/>
    <cellStyle name="Percent 2 5" xfId="160"/>
    <cellStyle name="Percent 2 6" xfId="161"/>
    <cellStyle name="Percent 2 7" xfId="162"/>
    <cellStyle name="Percent 2 8" xfId="163"/>
    <cellStyle name="Percent 2 9" xfId="164"/>
    <cellStyle name="Percent 22" xfId="165"/>
    <cellStyle name="Percent 3" xfId="166"/>
    <cellStyle name="Percent 4" xfId="167"/>
    <cellStyle name="Percent 5" xfId="168"/>
    <cellStyle name="Percent 6" xfId="169"/>
    <cellStyle name="Percent 7" xfId="170"/>
    <cellStyle name="Percent 8" xfId="171"/>
    <cellStyle name="Percent 8 2" xfId="172"/>
    <cellStyle name="Percent 9" xfId="173"/>
    <cellStyle name="SAPBEXaggData" xfId="174"/>
    <cellStyle name="SAPBEXaggDataEmph" xfId="175"/>
    <cellStyle name="SAPBEXaggItem" xfId="176"/>
    <cellStyle name="SAPBEXaggItemX" xfId="177"/>
    <cellStyle name="SAPBEXchaText" xfId="178"/>
    <cellStyle name="SAPBEXexcBad7" xfId="179"/>
    <cellStyle name="SAPBEXexcBad8" xfId="180"/>
    <cellStyle name="SAPBEXexcBad9" xfId="181"/>
    <cellStyle name="SAPBEXexcCritical4" xfId="182"/>
    <cellStyle name="SAPBEXexcCritical5" xfId="183"/>
    <cellStyle name="SAPBEXexcCritical6" xfId="184"/>
    <cellStyle name="SAPBEXexcGood1" xfId="185"/>
    <cellStyle name="SAPBEXexcGood2" xfId="186"/>
    <cellStyle name="SAPBEXexcGood3" xfId="187"/>
    <cellStyle name="SAPBEXfilterDrill" xfId="188"/>
    <cellStyle name="SAPBEXfilterItem" xfId="189"/>
    <cellStyle name="SAPBEXfilterText" xfId="190"/>
    <cellStyle name="SAPBEXformats" xfId="191"/>
    <cellStyle name="SAPBEXheaderItem" xfId="192"/>
    <cellStyle name="SAPBEXheaderText" xfId="193"/>
    <cellStyle name="SAPBEXHLevel0" xfId="194"/>
    <cellStyle name="SAPBEXHLevel0X" xfId="195"/>
    <cellStyle name="SAPBEXHLevel1" xfId="196"/>
    <cellStyle name="SAPBEXHLevel1X" xfId="197"/>
    <cellStyle name="SAPBEXHLevel2" xfId="198"/>
    <cellStyle name="SAPBEXHLevel2X" xfId="199"/>
    <cellStyle name="SAPBEXHLevel3" xfId="200"/>
    <cellStyle name="SAPBEXHLevel3X" xfId="201"/>
    <cellStyle name="SAPBEXresData" xfId="202"/>
    <cellStyle name="SAPBEXresDataEmph" xfId="203"/>
    <cellStyle name="SAPBEXresItem" xfId="204"/>
    <cellStyle name="SAPBEXresItemX" xfId="205"/>
    <cellStyle name="SAPBEXstdData" xfId="206"/>
    <cellStyle name="SAPBEXstdDataEmph" xfId="207"/>
    <cellStyle name="SAPBEXstdItem" xfId="208"/>
    <cellStyle name="SAPBEXstdItemX" xfId="209"/>
    <cellStyle name="SAPBEXtitle" xfId="210"/>
    <cellStyle name="SAPBEXundefined" xfId="211"/>
    <cellStyle name="Style 27" xfId="212"/>
    <cellStyle name="Style 35" xfId="213"/>
    <cellStyle name="Style 36" xfId="214"/>
    <cellStyle name="TRANSMISSION RELIABILITY PORTION OF PROJECT" xfId="215"/>
    <cellStyle name="Unprot" xfId="216"/>
    <cellStyle name="Unprot$" xfId="217"/>
    <cellStyle name="Unprotect" xfId="2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9" zoomScale="80" zoomScaleNormal="80" zoomScaleSheetLayoutView="80" workbookViewId="0">
      <pane xSplit="4" ySplit="4" topLeftCell="E13" activePane="bottomRight" state="frozen"/>
      <selection activeCell="A9" sqref="A9"/>
      <selection pane="topRight" activeCell="E9" sqref="E9"/>
      <selection pane="bottomLeft" activeCell="A13" sqref="A13"/>
      <selection pane="bottomRight" activeCell="V21" sqref="V21"/>
    </sheetView>
  </sheetViews>
  <sheetFormatPr defaultColWidth="9" defaultRowHeight="15.75"/>
  <cols>
    <col min="1" max="1" width="4.625" style="113" customWidth="1"/>
    <col min="2" max="2" width="1.625" style="113" customWidth="1"/>
    <col min="3" max="3" width="35.625" style="113" customWidth="1"/>
    <col min="4" max="4" width="1.5" style="129" customWidth="1"/>
    <col min="5" max="5" width="7.5" style="113" bestFit="1" customWidth="1"/>
    <col min="6" max="6" width="0.75" style="129" customWidth="1"/>
    <col min="7" max="7" width="10.625" style="129" customWidth="1"/>
    <col min="8" max="8" width="0.75" style="129" customWidth="1"/>
    <col min="9" max="9" width="12.25" style="129" customWidth="1"/>
    <col min="10" max="10" width="1.75" style="129" customWidth="1"/>
    <col min="11" max="11" width="12.25" style="129" customWidth="1"/>
    <col min="12" max="12" width="1.75" style="129" customWidth="1"/>
    <col min="13" max="13" width="7.25" style="129" bestFit="1" customWidth="1"/>
    <col min="14" max="14" width="6.375" style="129" customWidth="1"/>
    <col min="15" max="15" width="1.75" style="129" customWidth="1"/>
    <col min="16" max="16" width="7.25" style="129" bestFit="1" customWidth="1"/>
    <col min="17" max="17" width="7.875" style="129" bestFit="1" customWidth="1"/>
    <col min="18" max="18" width="4.75" style="113" customWidth="1"/>
    <col min="19" max="19" width="17.5" style="113" bestFit="1" customWidth="1"/>
    <col min="20" max="20" width="15.375" style="113" bestFit="1" customWidth="1"/>
    <col min="21" max="16384" width="9" style="113"/>
  </cols>
  <sheetData>
    <row r="1" spans="1:17">
      <c r="A1" s="353" t="s">
        <v>352</v>
      </c>
      <c r="B1" s="110"/>
      <c r="C1" s="110"/>
      <c r="D1" s="111"/>
      <c r="E1" s="110"/>
      <c r="F1" s="111"/>
      <c r="G1" s="111"/>
      <c r="H1" s="111"/>
      <c r="I1" s="111"/>
      <c r="J1" s="111"/>
      <c r="K1" s="112"/>
      <c r="L1" s="111"/>
      <c r="M1" s="112"/>
      <c r="N1" s="111"/>
      <c r="O1" s="111"/>
      <c r="P1" s="112"/>
      <c r="Q1" s="111"/>
    </row>
    <row r="2" spans="1:17" s="115" customFormat="1">
      <c r="A2" s="110" t="s">
        <v>265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s="115" customFormat="1">
      <c r="A3" s="110" t="s">
        <v>348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s="115" customFormat="1">
      <c r="A4" s="110" t="s">
        <v>266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s="115" customFormat="1">
      <c r="A5" s="110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>
      <c r="A6" s="110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2"/>
      <c r="M6" s="116"/>
      <c r="N6" s="112"/>
      <c r="O6" s="112"/>
      <c r="P6" s="116"/>
      <c r="Q6" s="112"/>
    </row>
    <row r="7" spans="1:17">
      <c r="A7" s="110"/>
      <c r="B7" s="110"/>
      <c r="C7" s="110"/>
      <c r="D7" s="111"/>
      <c r="E7" s="110"/>
      <c r="F7" s="111"/>
      <c r="G7" s="111"/>
      <c r="H7" s="111"/>
      <c r="I7" s="111"/>
      <c r="J7" s="111"/>
      <c r="K7" s="112"/>
      <c r="L7" s="111"/>
      <c r="M7" s="112"/>
      <c r="N7" s="111"/>
      <c r="O7" s="111"/>
      <c r="P7" s="112"/>
      <c r="Q7" s="111"/>
    </row>
    <row r="8" spans="1:17" ht="12" customHeight="1">
      <c r="A8" s="110"/>
      <c r="B8" s="110"/>
      <c r="C8" s="110"/>
      <c r="D8" s="111"/>
      <c r="E8" s="110"/>
      <c r="F8" s="111"/>
      <c r="G8" s="111"/>
      <c r="H8" s="111"/>
      <c r="I8" s="111"/>
      <c r="J8" s="111"/>
    </row>
    <row r="9" spans="1:17">
      <c r="D9" s="119"/>
      <c r="E9" s="120"/>
      <c r="F9" s="119"/>
      <c r="G9" s="119" t="s">
        <v>267</v>
      </c>
      <c r="H9" s="119"/>
      <c r="I9" s="119"/>
      <c r="J9" s="119"/>
      <c r="K9" s="122"/>
      <c r="L9" s="122"/>
      <c r="M9" s="118" t="s">
        <v>350</v>
      </c>
      <c r="N9" s="152"/>
      <c r="O9" s="152"/>
      <c r="P9" s="118"/>
      <c r="Q9" s="152"/>
    </row>
    <row r="10" spans="1:17" s="123" customFormat="1">
      <c r="A10" s="123" t="s">
        <v>268</v>
      </c>
      <c r="D10" s="119"/>
      <c r="E10" s="120" t="s">
        <v>269</v>
      </c>
      <c r="F10" s="119"/>
      <c r="G10" s="121" t="s">
        <v>85</v>
      </c>
      <c r="H10" s="119"/>
      <c r="I10" s="119" t="s">
        <v>270</v>
      </c>
      <c r="J10" s="121"/>
      <c r="K10" s="119" t="s">
        <v>313</v>
      </c>
      <c r="L10" s="121"/>
      <c r="M10" s="152" t="s">
        <v>318</v>
      </c>
      <c r="N10" s="152"/>
      <c r="O10" s="121"/>
      <c r="P10" s="152" t="s">
        <v>329</v>
      </c>
      <c r="Q10" s="152"/>
    </row>
    <row r="11" spans="1:17" s="123" customFormat="1">
      <c r="A11" s="123" t="s">
        <v>271</v>
      </c>
      <c r="C11" s="120" t="s">
        <v>272</v>
      </c>
      <c r="E11" s="124" t="s">
        <v>271</v>
      </c>
      <c r="G11" s="117" t="s">
        <v>273</v>
      </c>
      <c r="I11" s="117" t="s">
        <v>273</v>
      </c>
      <c r="K11" s="125" t="s">
        <v>274</v>
      </c>
      <c r="M11" s="169" t="s">
        <v>274</v>
      </c>
      <c r="N11" s="170" t="s">
        <v>319</v>
      </c>
      <c r="P11" s="169" t="s">
        <v>274</v>
      </c>
      <c r="Q11" s="170" t="s">
        <v>319</v>
      </c>
    </row>
    <row r="12" spans="1:17" s="123" customFormat="1">
      <c r="C12" s="126">
        <v>-1</v>
      </c>
      <c r="D12" s="127"/>
      <c r="E12" s="126">
        <f>MIN($A12:D12)-1</f>
        <v>-2</v>
      </c>
      <c r="F12" s="127"/>
      <c r="G12" s="126">
        <f>MIN($A12:F12)-1</f>
        <v>-3</v>
      </c>
      <c r="H12" s="127"/>
      <c r="I12" s="126">
        <f>MIN($A12:H12)-1</f>
        <v>-4</v>
      </c>
      <c r="J12" s="127"/>
      <c r="K12" s="126">
        <f>MIN($A12:J12)-1</f>
        <v>-5</v>
      </c>
      <c r="L12" s="127"/>
      <c r="M12" s="126">
        <f>MIN($A12:L12)-1</f>
        <v>-6</v>
      </c>
      <c r="N12" s="127"/>
      <c r="O12" s="127"/>
      <c r="P12" s="126">
        <f>MIN($A12:O12)-1</f>
        <v>-7</v>
      </c>
      <c r="Q12" s="127"/>
    </row>
    <row r="13" spans="1:17" s="123" customFormat="1">
      <c r="D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8.75" customHeight="1">
      <c r="C14" s="123" t="s">
        <v>276</v>
      </c>
    </row>
    <row r="15" spans="1:17">
      <c r="A15" s="113">
        <v>1</v>
      </c>
      <c r="C15" s="113" t="s">
        <v>276</v>
      </c>
      <c r="E15" s="130" t="s">
        <v>277</v>
      </c>
      <c r="G15" s="108">
        <v>740189</v>
      </c>
      <c r="I15" s="108">
        <v>6200666.1794248829</v>
      </c>
      <c r="K15" s="153">
        <f>('Rate Design'!H29+'Rate Design'!L29+'Rate Design'!P29+'Rate Design'!H49+'Rate Design'!L49+'Rate Design'!P49)/1000</f>
        <v>691453.900608</v>
      </c>
      <c r="L15" s="154"/>
      <c r="M15" s="153">
        <f>('Rate Design'!T29+'Rate Design'!T49)/1000</f>
        <v>27654.509923526399</v>
      </c>
      <c r="N15" s="174">
        <f>M15/$K15</f>
        <v>3.9994726906898065E-2</v>
      </c>
      <c r="O15" s="154"/>
      <c r="P15" s="153">
        <f>$K15*P$53</f>
        <v>25449.277450875597</v>
      </c>
      <c r="Q15" s="174">
        <f>P15/$K15</f>
        <v>3.6805457932188798E-2</v>
      </c>
    </row>
    <row r="16" spans="1:17">
      <c r="A16" s="113">
        <f>MAX(A$14:A15)+1</f>
        <v>2</v>
      </c>
      <c r="C16" s="113" t="s">
        <v>278</v>
      </c>
      <c r="E16" s="134">
        <v>2</v>
      </c>
      <c r="G16" s="108">
        <v>447</v>
      </c>
      <c r="I16" s="108">
        <v>3185.6706103628849</v>
      </c>
      <c r="K16" s="153">
        <f>('Rate Design'!H71+'Rate Design'!L71+'Rate Design'!P71)/1000</f>
        <v>355.00934100000001</v>
      </c>
      <c r="L16" s="154"/>
      <c r="M16" s="153">
        <f>'Rate Design'!T71/1000</f>
        <v>14.009773065299999</v>
      </c>
      <c r="N16" s="174">
        <f>M16/$K16</f>
        <v>3.9463111099659769E-2</v>
      </c>
      <c r="O16" s="154"/>
      <c r="P16" s="153">
        <f>$K16*P$53</f>
        <v>13.066281365709568</v>
      </c>
      <c r="Q16" s="174">
        <f>P16/$K16</f>
        <v>3.6805457932188798E-2</v>
      </c>
    </row>
    <row r="17" spans="1:17">
      <c r="A17" s="113">
        <f>MAX(A$14:A16)+1</f>
        <v>3</v>
      </c>
      <c r="C17" s="135" t="s">
        <v>279</v>
      </c>
      <c r="E17" s="136" t="s">
        <v>280</v>
      </c>
      <c r="G17" s="137"/>
      <c r="I17" s="137"/>
      <c r="K17" s="155">
        <v>33.04027</v>
      </c>
      <c r="L17" s="154"/>
      <c r="M17" s="155"/>
      <c r="N17" s="175"/>
      <c r="O17" s="154"/>
      <c r="P17" s="155"/>
      <c r="Q17" s="175"/>
    </row>
    <row r="18" spans="1:17">
      <c r="A18" s="113">
        <f>MAX(A$14:A17)+1</f>
        <v>4</v>
      </c>
      <c r="C18" s="123" t="s">
        <v>281</v>
      </c>
      <c r="G18" s="108">
        <f>SUM(G15:G17)</f>
        <v>740636</v>
      </c>
      <c r="I18" s="108">
        <f>SUM(I15:I17)</f>
        <v>6203851.8500352455</v>
      </c>
      <c r="K18" s="153">
        <f>SUM(K15:K17)</f>
        <v>691841.95021899999</v>
      </c>
      <c r="L18" s="154"/>
      <c r="M18" s="153">
        <f>SUM(M15:M17)</f>
        <v>27668.519696591698</v>
      </c>
      <c r="N18" s="174">
        <f>M18/$K18</f>
        <v>3.9992544088766707E-2</v>
      </c>
      <c r="O18" s="154"/>
      <c r="P18" s="153">
        <f>SUM(P15:P17)</f>
        <v>25462.343732241308</v>
      </c>
      <c r="Q18" s="174">
        <f>P18/$K18</f>
        <v>3.6803700215318397E-2</v>
      </c>
    </row>
    <row r="19" spans="1:17" ht="24.75" customHeight="1">
      <c r="C19" s="123" t="s">
        <v>282</v>
      </c>
      <c r="G19" s="108"/>
      <c r="I19" s="108"/>
      <c r="K19" s="153"/>
      <c r="L19" s="154"/>
      <c r="M19" s="153"/>
      <c r="N19" s="174"/>
      <c r="O19" s="154"/>
      <c r="P19" s="153"/>
      <c r="Q19" s="174"/>
    </row>
    <row r="20" spans="1:17">
      <c r="A20" s="113">
        <f>MAX(A$14:A19)+1</f>
        <v>5</v>
      </c>
      <c r="C20" s="113" t="s">
        <v>283</v>
      </c>
      <c r="E20" s="138">
        <v>6</v>
      </c>
      <c r="G20" s="108">
        <v>13072</v>
      </c>
      <c r="I20" s="108">
        <v>5783806.2612344306</v>
      </c>
      <c r="K20" s="153">
        <f>('Rate Design'!H86+'Rate Design'!L86+'Rate Design'!P86)/1000</f>
        <v>499804.08865659998</v>
      </c>
      <c r="L20" s="154"/>
      <c r="M20" s="153">
        <f>'Rate Design'!T86/1000</f>
        <v>19997.26993582362</v>
      </c>
      <c r="N20" s="174">
        <f t="shared" ref="N20:N38" si="0">M20/$K20</f>
        <v>4.0010216782286327E-2</v>
      </c>
      <c r="O20" s="154"/>
      <c r="P20" s="153">
        <f>$K20*P$53</f>
        <v>18395.518359386449</v>
      </c>
      <c r="Q20" s="174">
        <f t="shared" ref="Q20:Q38" si="1">P20/$K20</f>
        <v>3.6805457932188798E-2</v>
      </c>
    </row>
    <row r="21" spans="1:17">
      <c r="A21" s="113">
        <f>MAX(A$14:A20)+1</f>
        <v>6</v>
      </c>
      <c r="C21" s="113" t="s">
        <v>284</v>
      </c>
      <c r="E21" s="134" t="s">
        <v>285</v>
      </c>
      <c r="G21" s="108">
        <v>2276</v>
      </c>
      <c r="I21" s="108">
        <v>292031.09985016566</v>
      </c>
      <c r="K21" s="153">
        <f>('Rate Design'!H113+'Rate Design'!L113+'Rate Design'!P113)/1000</f>
        <v>34577.9444649</v>
      </c>
      <c r="L21" s="154"/>
      <c r="M21" s="153">
        <f>'Rate Design'!T113/1000</f>
        <v>1383.7207182328198</v>
      </c>
      <c r="N21" s="174">
        <f t="shared" si="0"/>
        <v>4.0017437116235517E-2</v>
      </c>
      <c r="O21" s="154"/>
      <c r="P21" s="153">
        <f>$K21*P$53</f>
        <v>1272.6570803844374</v>
      </c>
      <c r="Q21" s="174">
        <f t="shared" si="1"/>
        <v>3.6805457932188798E-2</v>
      </c>
    </row>
    <row r="22" spans="1:17">
      <c r="A22" s="113">
        <f>MAX(A$14:A21)+1</f>
        <v>7</v>
      </c>
      <c r="C22" s="113" t="s">
        <v>286</v>
      </c>
      <c r="E22" s="134" t="s">
        <v>287</v>
      </c>
      <c r="G22" s="139">
        <v>37</v>
      </c>
      <c r="I22" s="139">
        <v>3907.4969999999998</v>
      </c>
      <c r="K22" s="155">
        <f>('Rate Design'!H101+'Rate Design'!L101+'Rate Design'!P101)/1000</f>
        <v>349.13026679999996</v>
      </c>
      <c r="L22" s="154"/>
      <c r="M22" s="155">
        <f>'Rate Design'!T101/1000</f>
        <v>13.24696545876</v>
      </c>
      <c r="N22" s="175">
        <f t="shared" si="0"/>
        <v>3.794275867336519E-2</v>
      </c>
      <c r="O22" s="154"/>
      <c r="P22" s="155">
        <f>$K22*P$53</f>
        <v>12.84989934756125</v>
      </c>
      <c r="Q22" s="175">
        <f t="shared" si="1"/>
        <v>3.6805457932188798E-2</v>
      </c>
    </row>
    <row r="23" spans="1:17">
      <c r="A23" s="113">
        <f>MAX(A$14:A22)+1</f>
        <v>8</v>
      </c>
      <c r="C23" s="140" t="s">
        <v>288</v>
      </c>
      <c r="G23" s="108">
        <f>SUM(G20:G22)</f>
        <v>15385</v>
      </c>
      <c r="I23" s="108">
        <f>SUM(I20:I22)</f>
        <v>6079744.8580845967</v>
      </c>
      <c r="K23" s="153">
        <f>SUM(K20:K22)</f>
        <v>534731.16338829999</v>
      </c>
      <c r="L23" s="154"/>
      <c r="M23" s="153">
        <f>SUM(M20:M22)</f>
        <v>21394.237619515199</v>
      </c>
      <c r="N23" s="174">
        <f t="shared" si="0"/>
        <v>4.0009333819169192E-2</v>
      </c>
      <c r="O23" s="154"/>
      <c r="P23" s="153">
        <f>SUM(P20:P22)</f>
        <v>19681.025339118449</v>
      </c>
      <c r="Q23" s="174">
        <f t="shared" si="1"/>
        <v>3.6805457932188798E-2</v>
      </c>
    </row>
    <row r="24" spans="1:17" ht="23.1" customHeight="1">
      <c r="A24" s="113">
        <f>MAX(A$14:A23)+1</f>
        <v>9</v>
      </c>
      <c r="C24" s="135" t="s">
        <v>289</v>
      </c>
      <c r="E24" s="113">
        <v>8</v>
      </c>
      <c r="F24" s="108"/>
      <c r="G24" s="108">
        <v>274</v>
      </c>
      <c r="I24" s="108">
        <v>2187047.3255884075</v>
      </c>
      <c r="K24" s="153">
        <f>('Rate Design'!H165+'Rate Design'!L165+'Rate Design'!P165)/1000</f>
        <v>169294.18385600002</v>
      </c>
      <c r="L24" s="154"/>
      <c r="M24" s="153">
        <f>'Rate Design'!T165/1000</f>
        <v>6779.4841986255997</v>
      </c>
      <c r="N24" s="174">
        <f t="shared" si="0"/>
        <v>4.0045582454221601E-2</v>
      </c>
      <c r="O24" s="154"/>
      <c r="P24" s="153">
        <f>$K24*P$53</f>
        <v>6230.9499620762444</v>
      </c>
      <c r="Q24" s="174">
        <f t="shared" si="1"/>
        <v>3.6805457932188798E-2</v>
      </c>
    </row>
    <row r="25" spans="1:17" ht="23.1" customHeight="1">
      <c r="A25" s="113">
        <f>MAX(A$14:A24)+1</f>
        <v>10</v>
      </c>
      <c r="C25" s="113" t="s">
        <v>290</v>
      </c>
      <c r="E25" s="113">
        <v>9</v>
      </c>
      <c r="G25" s="108">
        <v>149</v>
      </c>
      <c r="I25" s="108">
        <v>5027435.5407653069</v>
      </c>
      <c r="K25" s="153">
        <f>('Rate Design'!H176+'Rate Design'!L176+'Rate Design'!P176)/1000</f>
        <v>288973.31579149998</v>
      </c>
      <c r="L25" s="154"/>
      <c r="M25" s="153">
        <f>'Rate Design'!T176/1000</f>
        <v>11569.228816339148</v>
      </c>
      <c r="N25" s="174">
        <f t="shared" si="0"/>
        <v>4.0035630226448238E-2</v>
      </c>
      <c r="O25" s="154"/>
      <c r="P25" s="153">
        <f>$K25*P$53</f>
        <v>10635.795217889161</v>
      </c>
      <c r="Q25" s="174">
        <f t="shared" si="1"/>
        <v>3.6805457932188798E-2</v>
      </c>
    </row>
    <row r="26" spans="1:17">
      <c r="A26" s="113">
        <f>MAX(A$14:A25)+1</f>
        <v>11</v>
      </c>
      <c r="C26" s="113" t="s">
        <v>291</v>
      </c>
      <c r="E26" s="134" t="s">
        <v>292</v>
      </c>
      <c r="G26" s="139">
        <v>9</v>
      </c>
      <c r="I26" s="139">
        <v>42590.781425473026</v>
      </c>
      <c r="K26" s="155">
        <f>('Rate Design'!H184+'Rate Design'!L184+'Rate Design'!P184)/1000</f>
        <v>3339.4833149999999</v>
      </c>
      <c r="L26" s="154"/>
      <c r="M26" s="155">
        <f>'Rate Design'!T184/1000</f>
        <v>133.45390599449999</v>
      </c>
      <c r="N26" s="175">
        <f t="shared" si="0"/>
        <v>3.9962441313919246E-2</v>
      </c>
      <c r="O26" s="154"/>
      <c r="P26" s="155">
        <f>$K26*P$53</f>
        <v>122.91121266547889</v>
      </c>
      <c r="Q26" s="175">
        <f t="shared" si="1"/>
        <v>3.6805457932188798E-2</v>
      </c>
    </row>
    <row r="27" spans="1:17">
      <c r="A27" s="113">
        <f>MAX(A$14:A26)+1</f>
        <v>12</v>
      </c>
      <c r="C27" s="140" t="s">
        <v>293</v>
      </c>
      <c r="G27" s="108">
        <f>SUM(G25:G26)</f>
        <v>158</v>
      </c>
      <c r="I27" s="108">
        <f>SUM(I25:I26)</f>
        <v>5070026.3221907802</v>
      </c>
      <c r="K27" s="153">
        <f>SUM(K25:K26)</f>
        <v>292312.7991065</v>
      </c>
      <c r="L27" s="154"/>
      <c r="M27" s="153">
        <f>SUM(M25:M26)</f>
        <v>11702.682722333648</v>
      </c>
      <c r="N27" s="174">
        <f t="shared" si="0"/>
        <v>4.0034794090798409E-2</v>
      </c>
      <c r="O27" s="154"/>
      <c r="P27" s="153">
        <f>SUM(P25:P26)</f>
        <v>10758.706430554639</v>
      </c>
      <c r="Q27" s="174">
        <f t="shared" si="1"/>
        <v>3.6805457932188791E-2</v>
      </c>
    </row>
    <row r="28" spans="1:17" ht="23.1" customHeight="1">
      <c r="A28" s="113">
        <f>MAX(A$14:A27)+1</f>
        <v>13</v>
      </c>
      <c r="C28" s="113" t="s">
        <v>294</v>
      </c>
      <c r="E28" s="134">
        <v>10</v>
      </c>
      <c r="G28" s="108">
        <v>2784.3333333333335</v>
      </c>
      <c r="I28" s="108">
        <v>173133.39199999999</v>
      </c>
      <c r="K28" s="153">
        <f>('Rate Design'!H200+'Rate Design'!L200+'Rate Design'!P200)/1000</f>
        <v>13369.5241768</v>
      </c>
      <c r="L28" s="154"/>
      <c r="M28" s="153">
        <f>'Rate Design'!T200/1000</f>
        <v>534.50069856647997</v>
      </c>
      <c r="N28" s="174">
        <f t="shared" si="0"/>
        <v>3.9979036762878492E-2</v>
      </c>
      <c r="O28" s="154"/>
      <c r="P28" s="153">
        <f>$K28*P$53</f>
        <v>492.07145966259344</v>
      </c>
      <c r="Q28" s="174">
        <f t="shared" si="1"/>
        <v>3.6805457932188798E-2</v>
      </c>
    </row>
    <row r="29" spans="1:17">
      <c r="A29" s="113">
        <f>MAX(A$14:A28)+1</f>
        <v>14</v>
      </c>
      <c r="C29" s="113" t="s">
        <v>295</v>
      </c>
      <c r="E29" s="134" t="s">
        <v>296</v>
      </c>
      <c r="G29" s="139">
        <v>261</v>
      </c>
      <c r="I29" s="139">
        <v>16756.608</v>
      </c>
      <c r="K29" s="155">
        <f>('Rate Design'!H216+'Rate Design'!L216+'Rate Design'!P216)/1000</f>
        <v>1301.1633088000001</v>
      </c>
      <c r="L29" s="154"/>
      <c r="M29" s="155">
        <f>'Rate Design'!T216/1000</f>
        <v>52.06664349167999</v>
      </c>
      <c r="N29" s="175">
        <f t="shared" si="0"/>
        <v>4.0015456276352071E-2</v>
      </c>
      <c r="O29" s="154"/>
      <c r="P29" s="155">
        <f>$K29*P$53</f>
        <v>47.889911424945986</v>
      </c>
      <c r="Q29" s="175">
        <f t="shared" si="1"/>
        <v>3.6805457932188798E-2</v>
      </c>
    </row>
    <row r="30" spans="1:17">
      <c r="A30" s="113">
        <f>MAX(A$14:A29)+1</f>
        <v>15</v>
      </c>
      <c r="C30" s="140" t="s">
        <v>297</v>
      </c>
      <c r="G30" s="108">
        <f>SUM(G28:G29)</f>
        <v>3045.3333333333335</v>
      </c>
      <c r="I30" s="108">
        <f>SUM(I28:I29)</f>
        <v>189890</v>
      </c>
      <c r="K30" s="153">
        <f>SUM(K28:K29)</f>
        <v>14670.687485599999</v>
      </c>
      <c r="L30" s="154"/>
      <c r="M30" s="153">
        <f>SUM(M28:M29)</f>
        <v>586.56734205815997</v>
      </c>
      <c r="N30" s="174">
        <f t="shared" si="0"/>
        <v>3.9982266859266452E-2</v>
      </c>
      <c r="O30" s="154"/>
      <c r="P30" s="153">
        <f>SUM(P28:P29)</f>
        <v>539.96137108753942</v>
      </c>
      <c r="Q30" s="174">
        <f t="shared" si="1"/>
        <v>3.6805457932188798E-2</v>
      </c>
    </row>
    <row r="31" spans="1:17" ht="23.1" customHeight="1">
      <c r="A31" s="113">
        <f>MAX(A$14:A30)+1</f>
        <v>16</v>
      </c>
      <c r="C31" s="113" t="s">
        <v>298</v>
      </c>
      <c r="E31" s="113">
        <v>21</v>
      </c>
      <c r="G31" s="108">
        <v>5</v>
      </c>
      <c r="I31" s="108">
        <v>4048.7003377015881</v>
      </c>
      <c r="K31" s="153">
        <f>('Rate Design'!H383+'Rate Design'!L383+'Rate Design'!P383)/1000</f>
        <v>482.30669029999996</v>
      </c>
      <c r="L31" s="154"/>
      <c r="M31" s="153">
        <f>'Rate Design'!T383/1000</f>
        <v>19.272279626179998</v>
      </c>
      <c r="N31" s="174">
        <f t="shared" si="0"/>
        <v>3.9958557519059981E-2</v>
      </c>
      <c r="O31" s="154"/>
      <c r="P31" s="153">
        <f>$K31*P$53</f>
        <v>17.75151860024986</v>
      </c>
      <c r="Q31" s="174">
        <f t="shared" si="1"/>
        <v>3.6805457932188798E-2</v>
      </c>
    </row>
    <row r="32" spans="1:17">
      <c r="A32" s="113">
        <f>MAX(A$14:A31)+1</f>
        <v>17</v>
      </c>
      <c r="C32" s="113" t="s">
        <v>299</v>
      </c>
      <c r="E32" s="138">
        <v>23</v>
      </c>
      <c r="G32" s="108">
        <v>82668</v>
      </c>
      <c r="I32" s="108">
        <v>1390888.2107534346</v>
      </c>
      <c r="K32" s="153">
        <f>('Rate Design'!H396+'Rate Design'!L396+'Rate Design'!P396)/1000</f>
        <v>140459.30447249999</v>
      </c>
      <c r="L32" s="154"/>
      <c r="M32" s="153">
        <f>'Rate Design'!T396/1000</f>
        <v>5613.1823523174999</v>
      </c>
      <c r="N32" s="174">
        <f t="shared" si="0"/>
        <v>3.9963051030318067E-2</v>
      </c>
      <c r="O32" s="154"/>
      <c r="P32" s="153">
        <f>$K32*P$53</f>
        <v>5169.6690219470966</v>
      </c>
      <c r="Q32" s="174">
        <f t="shared" si="1"/>
        <v>3.6805457932188798E-2</v>
      </c>
    </row>
    <row r="33" spans="1:17">
      <c r="A33" s="113">
        <f>MAX(A$14:A32)+1</f>
        <v>18</v>
      </c>
      <c r="C33" s="113" t="s">
        <v>300</v>
      </c>
      <c r="E33" s="113">
        <v>31</v>
      </c>
      <c r="G33" s="108">
        <v>4</v>
      </c>
      <c r="I33" s="108">
        <v>56282.44502511515</v>
      </c>
      <c r="K33" s="153">
        <f>('Rate Design'!H457+'Rate Design'!L457+'Rate Design'!P457)/1000</f>
        <v>4625.2402330000004</v>
      </c>
      <c r="L33" s="154"/>
      <c r="M33" s="153">
        <f>'Rate Design'!T457/1000</f>
        <v>185.0257693433</v>
      </c>
      <c r="N33" s="174">
        <f t="shared" si="0"/>
        <v>4.0003493877611949E-2</v>
      </c>
      <c r="O33" s="154"/>
      <c r="P33" s="153">
        <f>$K33*P$53</f>
        <v>170.23408482194864</v>
      </c>
      <c r="Q33" s="174">
        <f t="shared" si="1"/>
        <v>3.6805457932188798E-2</v>
      </c>
    </row>
    <row r="34" spans="1:17">
      <c r="A34" s="113">
        <f>MAX(A$14:A33)+1</f>
        <v>19</v>
      </c>
      <c r="C34" s="135" t="s">
        <v>234</v>
      </c>
      <c r="E34" s="134" t="s">
        <v>280</v>
      </c>
      <c r="G34" s="108">
        <v>1</v>
      </c>
      <c r="I34" s="108">
        <v>535721.17000000004</v>
      </c>
      <c r="K34" s="153">
        <f>('Rate Design'!H464+'Rate Design'!L464+'Rate Design'!P464)/1000</f>
        <v>28283.041261200004</v>
      </c>
      <c r="L34" s="154"/>
      <c r="M34" s="153"/>
      <c r="N34" s="174">
        <f t="shared" si="0"/>
        <v>0</v>
      </c>
      <c r="O34" s="154"/>
      <c r="P34" s="153"/>
      <c r="Q34" s="174">
        <f t="shared" si="1"/>
        <v>0</v>
      </c>
    </row>
    <row r="35" spans="1:17">
      <c r="A35" s="113">
        <f>MAX(A$14:A34)+1</f>
        <v>20</v>
      </c>
      <c r="C35" s="135" t="s">
        <v>238</v>
      </c>
      <c r="E35" s="134" t="s">
        <v>280</v>
      </c>
      <c r="G35" s="108">
        <v>1</v>
      </c>
      <c r="I35" s="108">
        <v>795798.67578575748</v>
      </c>
      <c r="K35" s="153">
        <f>('Rate Design'!H469+'Rate Design'!L469+'Rate Design'!P469)/1000</f>
        <v>35473.125812999999</v>
      </c>
      <c r="L35" s="154"/>
      <c r="M35" s="153"/>
      <c r="N35" s="174">
        <f t="shared" si="0"/>
        <v>0</v>
      </c>
      <c r="O35" s="154"/>
      <c r="P35" s="153"/>
      <c r="Q35" s="174">
        <f t="shared" si="1"/>
        <v>0</v>
      </c>
    </row>
    <row r="36" spans="1:17">
      <c r="A36" s="113">
        <f>MAX(A$14:A35)+1</f>
        <v>21</v>
      </c>
      <c r="C36" s="135" t="s">
        <v>240</v>
      </c>
      <c r="E36" s="134" t="s">
        <v>280</v>
      </c>
      <c r="G36" s="108">
        <v>1</v>
      </c>
      <c r="I36" s="108">
        <v>621809.33325000003</v>
      </c>
      <c r="K36" s="153">
        <f>('Rate Design'!H491+'Rate Design'!L491+'Rate Design'!P491)/1000</f>
        <v>30459.230454500001</v>
      </c>
      <c r="L36" s="154"/>
      <c r="M36" s="153"/>
      <c r="N36" s="174">
        <f t="shared" si="0"/>
        <v>0</v>
      </c>
      <c r="O36" s="154"/>
      <c r="P36" s="153"/>
      <c r="Q36" s="174">
        <f t="shared" si="1"/>
        <v>0</v>
      </c>
    </row>
    <row r="37" spans="1:17">
      <c r="A37" s="113">
        <f>MAX(A$14:A36)+1</f>
        <v>22</v>
      </c>
      <c r="C37" s="135" t="s">
        <v>279</v>
      </c>
      <c r="E37" s="136" t="s">
        <v>280</v>
      </c>
      <c r="G37" s="137"/>
      <c r="I37" s="137"/>
      <c r="K37" s="155">
        <v>2927.6937100000005</v>
      </c>
      <c r="L37" s="154"/>
      <c r="M37" s="155"/>
      <c r="N37" s="175">
        <f t="shared" si="0"/>
        <v>0</v>
      </c>
      <c r="O37" s="154"/>
      <c r="P37" s="155"/>
      <c r="Q37" s="175">
        <f t="shared" si="1"/>
        <v>0</v>
      </c>
    </row>
    <row r="38" spans="1:17">
      <c r="A38" s="113">
        <f>MAX(A$14:A37)+1</f>
        <v>23</v>
      </c>
      <c r="C38" s="123" t="s">
        <v>301</v>
      </c>
      <c r="G38" s="108">
        <f>SUM(G20:G22,G24:G26,G28:G29,G31:G37)</f>
        <v>101542.33333333333</v>
      </c>
      <c r="I38" s="108">
        <f>SUM(I20:I22,I24:I26,I28:I29,I31:I37)</f>
        <v>16931257.041015793</v>
      </c>
      <c r="K38" s="153">
        <f>SUM(K20:K22,K24:K26,K28:K29,K31:K37)</f>
        <v>1253718.7764708998</v>
      </c>
      <c r="L38" s="154"/>
      <c r="M38" s="153">
        <f>SUM(M20:M22,M24:M26,M28:M29,M31:M37)</f>
        <v>46280.452283819584</v>
      </c>
      <c r="N38" s="174">
        <f t="shared" si="0"/>
        <v>3.6914540287970081E-2</v>
      </c>
      <c r="O38" s="154"/>
      <c r="P38" s="153">
        <f>SUM(P20:P22,P24:P26,P28:P29,P31:P37)</f>
        <v>42568.297728206162</v>
      </c>
      <c r="Q38" s="174">
        <f t="shared" si="1"/>
        <v>3.3953625427890544E-2</v>
      </c>
    </row>
    <row r="39" spans="1:17" ht="28.5" customHeight="1">
      <c r="C39" s="123" t="s">
        <v>302</v>
      </c>
      <c r="G39" s="108"/>
      <c r="I39" s="108"/>
      <c r="K39" s="153"/>
      <c r="L39" s="154"/>
      <c r="M39" s="153"/>
      <c r="N39" s="174"/>
      <c r="O39" s="154"/>
      <c r="P39" s="153"/>
      <c r="Q39" s="174"/>
    </row>
    <row r="40" spans="1:17">
      <c r="A40" s="113">
        <f>MAX(A$14:A39)+1</f>
        <v>24</v>
      </c>
      <c r="C40" s="113" t="s">
        <v>303</v>
      </c>
      <c r="E40" s="113">
        <v>7</v>
      </c>
      <c r="G40" s="108">
        <v>8046</v>
      </c>
      <c r="I40" s="108">
        <v>12440.930563737753</v>
      </c>
      <c r="K40" s="153">
        <f>('Rate Design'!H153+'Rate Design'!L153+'Rate Design'!P153)/1000</f>
        <v>3014.3552060000002</v>
      </c>
      <c r="L40" s="154"/>
      <c r="M40" s="153">
        <f>'Rate Design'!T153/1000</f>
        <v>120.57420824</v>
      </c>
      <c r="N40" s="174">
        <f t="shared" ref="N40:N50" si="2">M40/$K40</f>
        <v>0.04</v>
      </c>
      <c r="O40" s="154"/>
      <c r="P40" s="153">
        <f>$K40*P$53</f>
        <v>110.9447237271073</v>
      </c>
      <c r="Q40" s="174">
        <f t="shared" ref="Q40:Q50" si="3">P40/$K40</f>
        <v>3.6805457932188798E-2</v>
      </c>
    </row>
    <row r="41" spans="1:17">
      <c r="A41" s="113">
        <f>MAX(A$14:A40)+1</f>
        <v>25</v>
      </c>
      <c r="C41" s="113" t="s">
        <v>304</v>
      </c>
      <c r="E41" s="113">
        <v>11</v>
      </c>
      <c r="G41" s="108">
        <v>809.41666666666663</v>
      </c>
      <c r="I41" s="108">
        <v>16496.197391013095</v>
      </c>
      <c r="K41" s="153">
        <f>('Rate Design'!H268+'Rate Design'!L268+'Rate Design'!P268)/1000</f>
        <v>5004.7848889999996</v>
      </c>
      <c r="L41" s="154"/>
      <c r="M41" s="153">
        <f>'Rate Design'!T268/1000</f>
        <v>200.19139555999999</v>
      </c>
      <c r="N41" s="174">
        <f t="shared" si="2"/>
        <v>0.04</v>
      </c>
      <c r="O41" s="154"/>
      <c r="P41" s="153">
        <f>$K41*P$53</f>
        <v>184.20339969174367</v>
      </c>
      <c r="Q41" s="174">
        <f t="shared" si="3"/>
        <v>3.6805457932188798E-2</v>
      </c>
    </row>
    <row r="42" spans="1:17">
      <c r="A42" s="113">
        <f>MAX(A$14:A41)+1</f>
        <v>26</v>
      </c>
      <c r="C42" s="113" t="s">
        <v>305</v>
      </c>
      <c r="E42" s="113">
        <v>12</v>
      </c>
      <c r="G42" s="108">
        <v>839</v>
      </c>
      <c r="I42" s="141">
        <v>56516.774129293255</v>
      </c>
      <c r="K42" s="153">
        <f>('Rate Design'!H351+'Rate Design'!L351+'Rate Design'!P351)/1000</f>
        <v>4166.0058216999996</v>
      </c>
      <c r="L42" s="154"/>
      <c r="M42" s="153">
        <f>'Rate Design'!T351/1000</f>
        <v>166.640232868</v>
      </c>
      <c r="N42" s="174">
        <f t="shared" si="2"/>
        <v>0.04</v>
      </c>
      <c r="O42" s="154"/>
      <c r="P42" s="153">
        <f>$K42*P$53</f>
        <v>153.33175201583296</v>
      </c>
      <c r="Q42" s="174">
        <f t="shared" si="3"/>
        <v>3.6805457932188798E-2</v>
      </c>
    </row>
    <row r="43" spans="1:17">
      <c r="A43" s="113">
        <f>MAX(A$14:A42)+1</f>
        <v>27</v>
      </c>
      <c r="C43" s="113" t="s">
        <v>306</v>
      </c>
      <c r="E43" s="113">
        <v>15</v>
      </c>
      <c r="G43" s="108">
        <v>2466</v>
      </c>
      <c r="I43" s="141">
        <v>6177.9471587633907</v>
      </c>
      <c r="K43" s="153">
        <f>('Rate Design'!H366+'Rate Design'!L366+'Rate Design'!P366)/1000</f>
        <v>688.10322499999995</v>
      </c>
      <c r="L43" s="156"/>
      <c r="M43" s="157">
        <f>'Rate Design'!T366/1000</f>
        <v>27.421976744999998</v>
      </c>
      <c r="N43" s="174">
        <f t="shared" si="2"/>
        <v>3.9851545158795035E-2</v>
      </c>
      <c r="O43" s="156"/>
      <c r="P43" s="157">
        <f>$K43*P$53</f>
        <v>25.325954300740943</v>
      </c>
      <c r="Q43" s="174">
        <f t="shared" si="3"/>
        <v>3.6805457932188798E-2</v>
      </c>
    </row>
    <row r="44" spans="1:17">
      <c r="A44" s="113">
        <f>MAX(A$14:A43)+1</f>
        <v>28</v>
      </c>
      <c r="C44" s="113" t="s">
        <v>307</v>
      </c>
      <c r="E44" s="113">
        <v>15</v>
      </c>
      <c r="G44" s="139">
        <v>515</v>
      </c>
      <c r="I44" s="139">
        <v>17536.444611929484</v>
      </c>
      <c r="K44" s="155">
        <f>('Rate Design'!H360+'Rate Design'!L360+'Rate Design'!P360)/1000</f>
        <v>1247.2527825</v>
      </c>
      <c r="L44" s="154"/>
      <c r="M44" s="155">
        <f>'Rate Design'!T360/1000</f>
        <v>49.671704424750004</v>
      </c>
      <c r="N44" s="175">
        <f t="shared" si="2"/>
        <v>3.9824889646818649E-2</v>
      </c>
      <c r="O44" s="154"/>
      <c r="P44" s="155">
        <f>$K44*P$53</f>
        <v>45.905709817109177</v>
      </c>
      <c r="Q44" s="175">
        <f t="shared" si="3"/>
        <v>3.6805457932188798E-2</v>
      </c>
    </row>
    <row r="45" spans="1:17">
      <c r="A45" s="113">
        <f>MAX(A$14:A44)+1</f>
        <v>29</v>
      </c>
      <c r="C45" s="140" t="s">
        <v>308</v>
      </c>
      <c r="D45" s="143"/>
      <c r="F45" s="143"/>
      <c r="G45" s="108">
        <f>SUM(G40:G44)</f>
        <v>12675.416666666666</v>
      </c>
      <c r="H45" s="143"/>
      <c r="I45" s="108">
        <f>SUM(I40:I44)</f>
        <v>109168.29385473697</v>
      </c>
      <c r="J45" s="143"/>
      <c r="K45" s="153">
        <f>SUM(K40:K44)</f>
        <v>14120.5019242</v>
      </c>
      <c r="L45" s="153"/>
      <c r="M45" s="153">
        <f>SUM(M40:M44)</f>
        <v>564.49951783775009</v>
      </c>
      <c r="N45" s="174">
        <f t="shared" si="2"/>
        <v>3.9977298318999516E-2</v>
      </c>
      <c r="O45" s="153"/>
      <c r="P45" s="153">
        <f>SUM(P40:P44)</f>
        <v>519.71153955253396</v>
      </c>
      <c r="Q45" s="174">
        <f t="shared" si="3"/>
        <v>3.6805457932188791E-2</v>
      </c>
    </row>
    <row r="46" spans="1:17" ht="23.1" customHeight="1">
      <c r="A46" s="113">
        <f>MAX(A$14:A45)+1</f>
        <v>30</v>
      </c>
      <c r="C46" s="135" t="s">
        <v>309</v>
      </c>
      <c r="E46" s="134" t="s">
        <v>280</v>
      </c>
      <c r="G46" s="108">
        <v>5</v>
      </c>
      <c r="I46" s="108">
        <v>7.7366128294616923</v>
      </c>
      <c r="K46" s="153">
        <v>0.58299999999999996</v>
      </c>
      <c r="L46" s="154"/>
      <c r="M46" s="153"/>
      <c r="N46" s="174">
        <f t="shared" si="2"/>
        <v>0</v>
      </c>
      <c r="O46" s="154"/>
      <c r="P46" s="153"/>
      <c r="Q46" s="174">
        <f t="shared" si="3"/>
        <v>0</v>
      </c>
    </row>
    <row r="47" spans="1:17">
      <c r="A47" s="113">
        <f>MAX(A$14:A46)+1</f>
        <v>31</v>
      </c>
      <c r="C47" s="135" t="s">
        <v>279</v>
      </c>
      <c r="D47" s="144"/>
      <c r="E47" s="136" t="s">
        <v>280</v>
      </c>
      <c r="F47" s="144"/>
      <c r="G47" s="145"/>
      <c r="H47" s="144"/>
      <c r="I47" s="145"/>
      <c r="J47" s="144"/>
      <c r="K47" s="155">
        <v>4.6616400000000002</v>
      </c>
      <c r="L47" s="154"/>
      <c r="M47" s="155"/>
      <c r="N47" s="175">
        <f t="shared" si="2"/>
        <v>0</v>
      </c>
      <c r="O47" s="154"/>
      <c r="P47" s="155"/>
      <c r="Q47" s="175">
        <f t="shared" si="3"/>
        <v>0</v>
      </c>
    </row>
    <row r="48" spans="1:17">
      <c r="A48" s="113">
        <f>MAX(A$14:A47)+1</f>
        <v>32</v>
      </c>
      <c r="C48" s="123" t="s">
        <v>310</v>
      </c>
      <c r="E48" s="146"/>
      <c r="G48" s="139">
        <f>SUM(G45:G47)</f>
        <v>12680.416666666666</v>
      </c>
      <c r="I48" s="139">
        <f>SUM(I45:I47)</f>
        <v>109176.03046756644</v>
      </c>
      <c r="K48" s="155">
        <f>SUM(K45:K47)</f>
        <v>14125.746564200001</v>
      </c>
      <c r="L48" s="154"/>
      <c r="M48" s="171">
        <f>SUM(M45:M47)</f>
        <v>564.49951783775009</v>
      </c>
      <c r="N48" s="176">
        <f t="shared" si="2"/>
        <v>3.9962455454808032E-2</v>
      </c>
      <c r="O48" s="154"/>
      <c r="P48" s="171">
        <f>SUM(P45:P47)</f>
        <v>519.71153955253396</v>
      </c>
      <c r="Q48" s="176">
        <f t="shared" si="3"/>
        <v>3.6791792716264649E-2</v>
      </c>
    </row>
    <row r="49" spans="1:20" ht="27.75" customHeight="1" thickBot="1">
      <c r="A49" s="113">
        <f>MAX(A$14:A48)+1</f>
        <v>33</v>
      </c>
      <c r="C49" s="123" t="s">
        <v>311</v>
      </c>
      <c r="E49" s="146"/>
      <c r="G49" s="109">
        <f>G48+G38+G18</f>
        <v>854858.75</v>
      </c>
      <c r="I49" s="109">
        <f>I48+I38+I18</f>
        <v>23244284.921518605</v>
      </c>
      <c r="K49" s="158">
        <f>K48+K38+K18</f>
        <v>1959686.4732540997</v>
      </c>
      <c r="L49" s="154"/>
      <c r="M49" s="172">
        <f>M48+M38+M18</f>
        <v>74513.47149824904</v>
      </c>
      <c r="N49" s="177">
        <f t="shared" si="2"/>
        <v>3.8023159579459613E-2</v>
      </c>
      <c r="O49" s="154"/>
      <c r="P49" s="172">
        <f>P48+P38+P18</f>
        <v>68550.353000000003</v>
      </c>
      <c r="Q49" s="177">
        <f t="shared" si="3"/>
        <v>3.4980265433057121E-2</v>
      </c>
    </row>
    <row r="50" spans="1:20" ht="33" thickTop="1" thickBot="1">
      <c r="A50" s="113">
        <f>MAX(A$14:A49)+1</f>
        <v>34</v>
      </c>
      <c r="C50" s="147" t="s">
        <v>315</v>
      </c>
      <c r="E50" s="146"/>
      <c r="G50" s="109">
        <f>G49-G17-G34-G35-G36-G37-G46-G47</f>
        <v>854850.75</v>
      </c>
      <c r="I50" s="109">
        <f>I49-I17-I34-I35-I36-I37-I46-I47</f>
        <v>21290948.005870014</v>
      </c>
      <c r="K50" s="158">
        <f>K49-K17-K34-K35-K36-K37-K46-K47</f>
        <v>1862505.0971053995</v>
      </c>
      <c r="L50" s="154"/>
      <c r="M50" s="173">
        <f>M49-M17-M34-M35-M36-M37-M46-M47</f>
        <v>74513.47149824904</v>
      </c>
      <c r="N50" s="178">
        <f t="shared" si="2"/>
        <v>4.0007123531663719E-2</v>
      </c>
      <c r="O50" s="154"/>
      <c r="P50" s="173">
        <f>P49-P17-P34-P35-P36-P37-P46-P47</f>
        <v>68550.353000000003</v>
      </c>
      <c r="Q50" s="178">
        <f t="shared" si="3"/>
        <v>3.6805457932188805E-2</v>
      </c>
    </row>
    <row r="51" spans="1:20" ht="16.5" thickTop="1">
      <c r="A51" s="148"/>
      <c r="B51" s="148"/>
      <c r="C51" s="149"/>
      <c r="D51" s="133"/>
      <c r="E51" s="150"/>
      <c r="F51" s="133"/>
      <c r="G51" s="133"/>
      <c r="H51" s="133"/>
      <c r="I51" s="133"/>
      <c r="J51" s="133"/>
      <c r="K51" s="159"/>
      <c r="L51" s="159"/>
      <c r="M51" s="159"/>
      <c r="N51" s="159"/>
      <c r="O51" s="159"/>
      <c r="P51" s="159"/>
      <c r="Q51" s="159"/>
    </row>
    <row r="52" spans="1:20">
      <c r="A52" s="148"/>
      <c r="B52" s="148"/>
      <c r="C52" s="149"/>
      <c r="D52" s="133"/>
      <c r="E52" s="150"/>
      <c r="F52" s="133"/>
      <c r="G52" s="133"/>
      <c r="H52" s="133"/>
      <c r="I52" s="133"/>
      <c r="J52" s="133"/>
      <c r="K52" s="159"/>
      <c r="L52" s="159"/>
      <c r="M52" s="357"/>
      <c r="N52" s="358" t="s">
        <v>355</v>
      </c>
      <c r="O52" s="359"/>
      <c r="P52" s="359"/>
      <c r="Q52" s="360"/>
      <c r="S52" s="363" t="s">
        <v>358</v>
      </c>
      <c r="T52" s="362">
        <v>-1878156</v>
      </c>
    </row>
    <row r="53" spans="1:20">
      <c r="K53" s="179"/>
      <c r="M53" s="357"/>
      <c r="N53" s="180"/>
      <c r="O53" s="181"/>
      <c r="P53" s="182">
        <v>3.6805457932188798E-2</v>
      </c>
      <c r="Q53" s="356"/>
      <c r="S53" s="363" t="s">
        <v>359</v>
      </c>
      <c r="T53" s="362">
        <v>70428509</v>
      </c>
    </row>
    <row r="54" spans="1:20">
      <c r="P54" s="361"/>
      <c r="S54" s="363" t="s">
        <v>360</v>
      </c>
      <c r="T54" s="362">
        <f>SUM(T52:T53)</f>
        <v>68550353</v>
      </c>
    </row>
    <row r="55" spans="1:20">
      <c r="M55" s="108"/>
      <c r="T55" s="364">
        <f>P50-T54/1000</f>
        <v>0</v>
      </c>
    </row>
  </sheetData>
  <printOptions horizontalCentered="1"/>
  <pageMargins left="0.25" right="0.25" top="0.75" bottom="0.5" header="0.25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4"/>
  <sheetViews>
    <sheetView topLeftCell="A8" zoomScale="80" zoomScaleNormal="80" workbookViewId="0">
      <pane xSplit="2" ySplit="3" topLeftCell="C11" activePane="bottomRight" state="frozen"/>
      <selection activeCell="A8" sqref="A8"/>
      <selection pane="topRight" activeCell="C8" sqref="C8"/>
      <selection pane="bottomLeft" activeCell="A11" sqref="A11"/>
      <selection pane="bottomRight" activeCell="H518" sqref="H518"/>
    </sheetView>
  </sheetViews>
  <sheetFormatPr defaultColWidth="9" defaultRowHeight="15.75"/>
  <cols>
    <col min="1" max="1" width="33.25" style="7" customWidth="1"/>
    <col min="2" max="2" width="4.125" style="8" bestFit="1" customWidth="1"/>
    <col min="3" max="3" width="16.5" style="89" customWidth="1"/>
    <col min="4" max="4" width="1" style="55" customWidth="1"/>
    <col min="5" max="5" width="9.875" style="89" customWidth="1"/>
    <col min="6" max="6" width="1.875" style="55" bestFit="1" customWidth="1"/>
    <col min="7" max="7" width="1.875" style="55" customWidth="1"/>
    <col min="8" max="8" width="16" style="89" customWidth="1"/>
    <col min="9" max="9" width="1" style="9" customWidth="1"/>
    <col min="10" max="10" width="6.875" style="7" customWidth="1"/>
    <col min="11" max="11" width="1.875" style="9" customWidth="1"/>
    <col min="12" max="12" width="12.125" style="8" customWidth="1"/>
    <col min="13" max="13" width="1" style="9" customWidth="1"/>
    <col min="14" max="14" width="8.875" style="7" customWidth="1"/>
    <col min="15" max="15" width="1.875" style="9" customWidth="1"/>
    <col min="16" max="16" width="14" style="8" bestFit="1" customWidth="1"/>
    <col min="17" max="17" width="1" style="9" customWidth="1"/>
    <col min="18" max="18" width="9" style="7" customWidth="1"/>
    <col min="19" max="19" width="1.875" style="9" customWidth="1"/>
    <col min="20" max="20" width="12.75" style="8" customWidth="1"/>
    <col min="21" max="21" width="1" style="9" customWidth="1"/>
    <col min="22" max="22" width="9.375" style="7" customWidth="1"/>
    <col min="23" max="23" width="1.875" style="9" customWidth="1"/>
    <col min="24" max="24" width="13" style="8" customWidth="1"/>
    <col min="25" max="16384" width="9" style="5"/>
  </cols>
  <sheetData>
    <row r="1" spans="1:24" s="355" customFormat="1" ht="18.75">
      <c r="A1" s="354" t="s">
        <v>353</v>
      </c>
      <c r="B1" s="2"/>
      <c r="C1" s="2"/>
      <c r="D1" s="3"/>
      <c r="E1" s="2"/>
      <c r="F1" s="3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</row>
    <row r="2" spans="1:24" ht="18.75">
      <c r="A2" s="1" t="s">
        <v>0</v>
      </c>
      <c r="B2" s="2"/>
      <c r="C2" s="199"/>
      <c r="D2" s="201"/>
      <c r="E2" s="199"/>
      <c r="F2" s="201"/>
      <c r="G2" s="201"/>
      <c r="H2" s="199"/>
      <c r="I2" s="3"/>
      <c r="J2" s="4"/>
      <c r="K2" s="3"/>
      <c r="L2" s="2"/>
      <c r="M2" s="3"/>
      <c r="N2" s="4"/>
      <c r="O2" s="3"/>
      <c r="P2" s="2"/>
      <c r="Q2" s="3"/>
      <c r="R2" s="4"/>
      <c r="S2" s="3"/>
      <c r="T2" s="2"/>
      <c r="U2" s="3"/>
      <c r="V2" s="4"/>
      <c r="W2" s="3"/>
      <c r="X2" s="2"/>
    </row>
    <row r="3" spans="1:24" ht="18.75">
      <c r="A3" s="1" t="s">
        <v>1</v>
      </c>
      <c r="B3" s="2"/>
      <c r="C3" s="199"/>
      <c r="D3" s="201"/>
      <c r="E3" s="199"/>
      <c r="F3" s="201"/>
      <c r="G3" s="201"/>
      <c r="H3" s="199"/>
      <c r="I3" s="3"/>
      <c r="J3" s="4"/>
      <c r="K3" s="3"/>
      <c r="L3" s="2"/>
      <c r="M3" s="3"/>
      <c r="N3" s="4"/>
      <c r="O3" s="3"/>
      <c r="P3" s="2"/>
      <c r="Q3" s="3"/>
      <c r="R3" s="4"/>
      <c r="S3" s="3"/>
      <c r="T3" s="2"/>
      <c r="U3" s="3"/>
      <c r="V3" s="4"/>
      <c r="W3" s="3"/>
      <c r="X3" s="2"/>
    </row>
    <row r="4" spans="1:24" ht="18.75">
      <c r="A4" s="1" t="s">
        <v>2</v>
      </c>
      <c r="B4" s="2"/>
      <c r="C4" s="199"/>
      <c r="D4" s="201"/>
      <c r="E4" s="199"/>
      <c r="F4" s="201"/>
      <c r="G4" s="201"/>
      <c r="H4" s="199"/>
      <c r="I4" s="3"/>
      <c r="J4" s="4"/>
      <c r="K4" s="3"/>
      <c r="L4" s="2"/>
      <c r="M4" s="3"/>
      <c r="N4" s="4"/>
      <c r="O4" s="3"/>
      <c r="P4" s="2"/>
      <c r="Q4" s="3"/>
      <c r="R4" s="4"/>
      <c r="S4" s="3"/>
      <c r="T4" s="2"/>
      <c r="U4" s="3"/>
      <c r="V4" s="4"/>
      <c r="W4" s="3"/>
      <c r="X4" s="2"/>
    </row>
    <row r="5" spans="1:24" ht="18.75">
      <c r="A5" s="1" t="s">
        <v>3</v>
      </c>
      <c r="B5" s="2"/>
      <c r="C5" s="199"/>
      <c r="D5" s="201"/>
      <c r="E5" s="199"/>
      <c r="F5" s="201"/>
      <c r="G5" s="201"/>
      <c r="H5" s="199"/>
      <c r="I5" s="3"/>
      <c r="J5" s="4"/>
      <c r="K5" s="3"/>
      <c r="L5" s="2"/>
      <c r="M5" s="3"/>
      <c r="N5" s="4"/>
      <c r="O5" s="3"/>
      <c r="P5" s="2"/>
      <c r="Q5" s="3"/>
      <c r="R5" s="4"/>
      <c r="S5" s="3"/>
      <c r="T5" s="2"/>
      <c r="U5" s="3"/>
      <c r="V5" s="4"/>
      <c r="W5" s="3"/>
      <c r="X5" s="2"/>
    </row>
    <row r="6" spans="1:24">
      <c r="C6" s="54"/>
    </row>
    <row r="7" spans="1:24">
      <c r="C7" s="202"/>
      <c r="F7" s="203"/>
      <c r="G7" s="203"/>
      <c r="H7" s="204"/>
      <c r="K7" s="6"/>
      <c r="L7" s="10"/>
      <c r="O7" s="6"/>
      <c r="P7" s="10"/>
      <c r="S7" s="6"/>
      <c r="T7" s="10"/>
      <c r="W7" s="6"/>
      <c r="X7" s="10"/>
    </row>
    <row r="8" spans="1:24">
      <c r="C8" s="205"/>
      <c r="E8" s="206" t="s">
        <v>356</v>
      </c>
      <c r="F8" s="206"/>
      <c r="G8" s="206"/>
      <c r="H8" s="206"/>
      <c r="J8" s="11" t="s">
        <v>329</v>
      </c>
      <c r="K8" s="11"/>
      <c r="L8" s="11"/>
      <c r="M8" s="168"/>
      <c r="N8" s="11"/>
      <c r="O8" s="11"/>
      <c r="P8" s="11"/>
      <c r="R8" s="11" t="s">
        <v>349</v>
      </c>
      <c r="S8" s="11"/>
      <c r="T8" s="11"/>
      <c r="U8" s="168"/>
      <c r="V8" s="11"/>
      <c r="W8" s="11"/>
      <c r="X8" s="11"/>
    </row>
    <row r="9" spans="1:24">
      <c r="C9" s="207" t="s">
        <v>4</v>
      </c>
      <c r="E9" s="204" t="s">
        <v>5</v>
      </c>
      <c r="F9" s="203"/>
      <c r="G9" s="203"/>
      <c r="H9" s="204" t="s">
        <v>6</v>
      </c>
      <c r="J9" s="160" t="s">
        <v>316</v>
      </c>
      <c r="K9" s="161"/>
      <c r="L9" s="161"/>
      <c r="N9" s="160" t="s">
        <v>317</v>
      </c>
      <c r="O9" s="161"/>
      <c r="P9" s="161"/>
      <c r="R9" s="160" t="s">
        <v>318</v>
      </c>
      <c r="S9" s="161"/>
      <c r="T9" s="161"/>
      <c r="V9" s="161" t="s">
        <v>329</v>
      </c>
      <c r="W9" s="161"/>
      <c r="X9" s="161"/>
    </row>
    <row r="10" spans="1:24">
      <c r="C10" s="208" t="s">
        <v>7</v>
      </c>
      <c r="E10" s="209" t="s">
        <v>8</v>
      </c>
      <c r="F10" s="203"/>
      <c r="G10" s="203"/>
      <c r="H10" s="210" t="s">
        <v>9</v>
      </c>
      <c r="J10" s="14" t="s">
        <v>8</v>
      </c>
      <c r="K10" s="6"/>
      <c r="L10" s="15" t="s">
        <v>9</v>
      </c>
      <c r="N10" s="14" t="s">
        <v>8</v>
      </c>
      <c r="O10" s="6"/>
      <c r="P10" s="15" t="s">
        <v>9</v>
      </c>
      <c r="R10" s="14" t="s">
        <v>8</v>
      </c>
      <c r="S10" s="6"/>
      <c r="T10" s="15" t="s">
        <v>9</v>
      </c>
      <c r="V10" s="14" t="s">
        <v>8</v>
      </c>
      <c r="W10" s="6"/>
      <c r="X10" s="15" t="s">
        <v>9</v>
      </c>
    </row>
    <row r="11" spans="1:24">
      <c r="A11" s="16" t="s">
        <v>10</v>
      </c>
      <c r="C11" s="211"/>
    </row>
    <row r="12" spans="1:24">
      <c r="A12" s="17" t="s">
        <v>11</v>
      </c>
      <c r="C12" s="23">
        <v>8511800.0101599023</v>
      </c>
      <c r="E12" s="166"/>
      <c r="F12" s="212"/>
      <c r="G12" s="212"/>
      <c r="H12" s="213"/>
      <c r="J12" s="18"/>
      <c r="K12" s="19"/>
      <c r="L12" s="13"/>
      <c r="N12" s="18"/>
      <c r="O12" s="19"/>
      <c r="P12" s="13"/>
      <c r="R12" s="18"/>
      <c r="S12" s="19"/>
      <c r="T12" s="13"/>
      <c r="V12" s="18"/>
      <c r="W12" s="19"/>
      <c r="X12" s="13"/>
    </row>
    <row r="13" spans="1:24">
      <c r="A13" s="17" t="s">
        <v>12</v>
      </c>
      <c r="C13" s="21">
        <v>8398777</v>
      </c>
      <c r="E13" s="166">
        <v>6</v>
      </c>
      <c r="F13" s="212"/>
      <c r="G13" s="212"/>
      <c r="H13" s="213">
        <v>50392662</v>
      </c>
      <c r="J13" s="18"/>
      <c r="K13" s="19"/>
      <c r="L13" s="13"/>
      <c r="N13" s="18"/>
      <c r="O13" s="19"/>
      <c r="P13" s="13"/>
      <c r="R13" s="18"/>
      <c r="S13" s="19"/>
      <c r="T13" s="13"/>
      <c r="V13" s="18"/>
      <c r="W13" s="19"/>
      <c r="X13" s="13"/>
    </row>
    <row r="14" spans="1:24">
      <c r="A14" s="17" t="s">
        <v>13</v>
      </c>
      <c r="C14" s="21">
        <v>14094</v>
      </c>
      <c r="E14" s="166">
        <v>12</v>
      </c>
      <c r="F14" s="212"/>
      <c r="G14" s="212"/>
      <c r="H14" s="213">
        <v>169128</v>
      </c>
      <c r="J14" s="18"/>
      <c r="K14" s="19"/>
      <c r="L14" s="13"/>
      <c r="N14" s="18"/>
      <c r="O14" s="19"/>
      <c r="P14" s="13"/>
      <c r="R14" s="18"/>
      <c r="S14" s="19"/>
      <c r="T14" s="13"/>
      <c r="V14" s="18"/>
      <c r="W14" s="19"/>
      <c r="X14" s="13"/>
    </row>
    <row r="15" spans="1:24">
      <c r="A15" s="17" t="s">
        <v>14</v>
      </c>
      <c r="C15" s="21">
        <v>23932</v>
      </c>
      <c r="E15" s="166">
        <v>0</v>
      </c>
      <c r="F15" s="212"/>
      <c r="G15" s="212"/>
      <c r="H15" s="213">
        <v>0</v>
      </c>
      <c r="J15" s="18"/>
      <c r="K15" s="19"/>
      <c r="L15" s="13"/>
      <c r="N15" s="18"/>
      <c r="O15" s="19"/>
      <c r="P15" s="13"/>
      <c r="R15" s="18"/>
      <c r="S15" s="19"/>
      <c r="T15" s="13"/>
      <c r="V15" s="18"/>
      <c r="W15" s="19"/>
      <c r="X15" s="13"/>
    </row>
    <row r="16" spans="1:24">
      <c r="A16" s="17" t="s">
        <v>15</v>
      </c>
      <c r="C16" s="23">
        <v>1274636742</v>
      </c>
      <c r="E16" s="214">
        <v>8.8498000000000001</v>
      </c>
      <c r="F16" s="215" t="s">
        <v>16</v>
      </c>
      <c r="G16" s="215"/>
      <c r="H16" s="213">
        <v>112802802</v>
      </c>
      <c r="J16" s="162">
        <v>6.4000000000000003E-3</v>
      </c>
      <c r="K16" s="24"/>
      <c r="L16" s="13">
        <f>$H16*J16</f>
        <v>721937.93280000007</v>
      </c>
      <c r="N16" s="162">
        <v>4.5999999999999999E-3</v>
      </c>
      <c r="O16" s="24"/>
      <c r="P16" s="13">
        <f>$H16*N16</f>
        <v>518892.88919999998</v>
      </c>
      <c r="R16" s="162">
        <v>4.3299999999999998E-2</v>
      </c>
      <c r="S16" s="24"/>
      <c r="T16" s="13">
        <f>($H16+$L16+$P16)*R16</f>
        <v>4938089.3011925993</v>
      </c>
      <c r="V16" s="162">
        <f>ROUND(1/($H$29-$H$13-$H$14-$E$13*$C$22-$E$14*$C$23+$L$29+$P$29+$H$49-$H$33-$H$34-$E$33*$C$42-$E$34*$C$43+$L$49+$P$49+$H$71-$H$53-$H$54-$E$53*$C$64-$E$54*$C$65+$L$71+$P$71)*'RateSpread-1'!P18*1000,4)</f>
        <v>3.9899999999999998E-2</v>
      </c>
      <c r="W16" s="24"/>
      <c r="X16" s="13">
        <f>($H16+$L16+$P16)*V16</f>
        <v>4550340.9495977992</v>
      </c>
    </row>
    <row r="17" spans="1:24">
      <c r="A17" s="17" t="s">
        <v>17</v>
      </c>
      <c r="C17" s="23">
        <v>1040456011</v>
      </c>
      <c r="E17" s="214">
        <v>11.542899999999999</v>
      </c>
      <c r="F17" s="215" t="s">
        <v>16</v>
      </c>
      <c r="G17" s="215"/>
      <c r="H17" s="213">
        <v>120098797</v>
      </c>
      <c r="J17" s="151">
        <f>J$16</f>
        <v>6.4000000000000003E-3</v>
      </c>
      <c r="K17" s="24"/>
      <c r="L17" s="13">
        <f t="shared" ref="L17:L18" si="0">$H17*J17</f>
        <v>768632.30080000008</v>
      </c>
      <c r="N17" s="151">
        <f>N$16</f>
        <v>4.5999999999999999E-3</v>
      </c>
      <c r="O17" s="24"/>
      <c r="P17" s="13">
        <f t="shared" ref="P17:P18" si="1">$H17*N17</f>
        <v>552454.46620000002</v>
      </c>
      <c r="R17" s="151">
        <f>R$16</f>
        <v>4.3299999999999998E-2</v>
      </c>
      <c r="S17" s="24"/>
      <c r="T17" s="13">
        <f>($H17+$L17+$P17)*R17</f>
        <v>5257480.9671110995</v>
      </c>
      <c r="V17" s="151">
        <f>V$16</f>
        <v>3.9899999999999998E-2</v>
      </c>
      <c r="W17" s="24"/>
      <c r="X17" s="13">
        <f>($H17+$L17+$P17)*V17</f>
        <v>4844653.3623032989</v>
      </c>
    </row>
    <row r="18" spans="1:24">
      <c r="A18" s="17" t="s">
        <v>18</v>
      </c>
      <c r="C18" s="23">
        <v>358873906</v>
      </c>
      <c r="E18" s="214">
        <v>14.450799999999999</v>
      </c>
      <c r="F18" s="215" t="s">
        <v>16</v>
      </c>
      <c r="G18" s="215"/>
      <c r="H18" s="213">
        <v>51860150</v>
      </c>
      <c r="J18" s="151">
        <f>J$16</f>
        <v>6.4000000000000003E-3</v>
      </c>
      <c r="K18" s="24"/>
      <c r="L18" s="13">
        <f t="shared" si="0"/>
        <v>331904.96000000002</v>
      </c>
      <c r="N18" s="151">
        <f>N$16</f>
        <v>4.5999999999999999E-3</v>
      </c>
      <c r="O18" s="24"/>
      <c r="P18" s="13">
        <f t="shared" si="1"/>
        <v>238556.69</v>
      </c>
      <c r="R18" s="151">
        <f>R$16</f>
        <v>4.3299999999999998E-2</v>
      </c>
      <c r="S18" s="24"/>
      <c r="T18" s="13">
        <f>($H18+$L18+$P18)*R18</f>
        <v>2270245.4844450001</v>
      </c>
      <c r="V18" s="151">
        <f>V$16</f>
        <v>3.9899999999999998E-2</v>
      </c>
      <c r="W18" s="24"/>
      <c r="X18" s="13">
        <f>($H18+$L18+$P18)*V18</f>
        <v>2091981.4048349999</v>
      </c>
    </row>
    <row r="19" spans="1:24">
      <c r="A19" s="17" t="s">
        <v>19</v>
      </c>
      <c r="C19" s="23"/>
      <c r="E19" s="216"/>
      <c r="F19" s="215"/>
      <c r="G19" s="215"/>
      <c r="H19" s="213"/>
      <c r="J19" s="25"/>
      <c r="K19" s="24"/>
      <c r="L19" s="13"/>
      <c r="N19" s="25"/>
      <c r="O19" s="24"/>
      <c r="P19" s="13"/>
      <c r="R19" s="25"/>
      <c r="S19" s="24"/>
      <c r="T19" s="13"/>
      <c r="V19" s="25"/>
      <c r="W19" s="24"/>
      <c r="X19" s="13"/>
    </row>
    <row r="20" spans="1:24">
      <c r="A20" s="26" t="s">
        <v>20</v>
      </c>
      <c r="B20" s="27"/>
      <c r="C20" s="23">
        <v>1613094234</v>
      </c>
      <c r="D20" s="217"/>
      <c r="E20" s="216">
        <v>8.8498000000000001</v>
      </c>
      <c r="F20" s="215" t="s">
        <v>16</v>
      </c>
      <c r="G20" s="215"/>
      <c r="H20" s="213">
        <v>142755614</v>
      </c>
      <c r="I20" s="28"/>
      <c r="J20" s="151">
        <f>J$16</f>
        <v>6.4000000000000003E-3</v>
      </c>
      <c r="K20" s="24"/>
      <c r="L20" s="13">
        <f t="shared" ref="L20:L23" si="2">$H20*J20</f>
        <v>913635.92960000003</v>
      </c>
      <c r="M20" s="28"/>
      <c r="N20" s="151">
        <f>N$16</f>
        <v>4.5999999999999999E-3</v>
      </c>
      <c r="O20" s="24"/>
      <c r="P20" s="13">
        <f t="shared" ref="P20:P23" si="3">$H20*N20</f>
        <v>656675.82440000004</v>
      </c>
      <c r="Q20" s="28"/>
      <c r="R20" s="151">
        <f>R$16</f>
        <v>4.3299999999999998E-2</v>
      </c>
      <c r="S20" s="24"/>
      <c r="T20" s="13">
        <f>($H20+$L20+$P20)*R20</f>
        <v>6249312.5851482004</v>
      </c>
      <c r="U20" s="28"/>
      <c r="V20" s="151">
        <f>V$16</f>
        <v>3.9899999999999998E-2</v>
      </c>
      <c r="W20" s="24"/>
      <c r="X20" s="13">
        <f>($H20+$L20+$P20)*V20</f>
        <v>5758604.4375846004</v>
      </c>
    </row>
    <row r="21" spans="1:24">
      <c r="A21" s="26" t="s">
        <v>21</v>
      </c>
      <c r="B21" s="27"/>
      <c r="C21" s="23">
        <v>1704644903</v>
      </c>
      <c r="D21" s="217"/>
      <c r="E21" s="216">
        <v>10.7072</v>
      </c>
      <c r="F21" s="215" t="s">
        <v>16</v>
      </c>
      <c r="G21" s="215"/>
      <c r="H21" s="213">
        <v>182519739</v>
      </c>
      <c r="I21" s="28"/>
      <c r="J21" s="151">
        <f>J$16</f>
        <v>6.4000000000000003E-3</v>
      </c>
      <c r="K21" s="24"/>
      <c r="L21" s="13">
        <f t="shared" si="2"/>
        <v>1168126.3296000001</v>
      </c>
      <c r="M21" s="28"/>
      <c r="N21" s="151">
        <f>N$16</f>
        <v>4.5999999999999999E-3</v>
      </c>
      <c r="O21" s="24"/>
      <c r="P21" s="13">
        <f t="shared" si="3"/>
        <v>839590.79940000002</v>
      </c>
      <c r="Q21" s="28"/>
      <c r="R21" s="151">
        <f>R$16</f>
        <v>4.3299999999999998E-2</v>
      </c>
      <c r="S21" s="24"/>
      <c r="T21" s="13">
        <f>($H21+$L21+$P21)*R21</f>
        <v>7990038.8503857004</v>
      </c>
      <c r="U21" s="28"/>
      <c r="V21" s="151">
        <f>V$16</f>
        <v>3.9899999999999998E-2</v>
      </c>
      <c r="W21" s="24"/>
      <c r="X21" s="13">
        <f>($H21+$L21+$P21)*V21</f>
        <v>7362645.4995470997</v>
      </c>
    </row>
    <row r="22" spans="1:24">
      <c r="A22" s="17" t="s">
        <v>22</v>
      </c>
      <c r="C22" s="21">
        <v>98763</v>
      </c>
      <c r="E22" s="166">
        <v>8</v>
      </c>
      <c r="F22" s="212"/>
      <c r="G22" s="212"/>
      <c r="H22" s="213">
        <v>790104</v>
      </c>
      <c r="J22" s="151">
        <f>J$16</f>
        <v>6.4000000000000003E-3</v>
      </c>
      <c r="K22" s="19"/>
      <c r="L22" s="13">
        <f t="shared" si="2"/>
        <v>5056.6656000000003</v>
      </c>
      <c r="N22" s="151">
        <f>N$16</f>
        <v>4.5999999999999999E-3</v>
      </c>
      <c r="O22" s="19"/>
      <c r="P22" s="13">
        <f t="shared" si="3"/>
        <v>3634.4784</v>
      </c>
      <c r="R22" s="151">
        <f>R$16</f>
        <v>4.3299999999999998E-2</v>
      </c>
      <c r="S22" s="19"/>
      <c r="T22" s="13">
        <f>($H22+$L22+$P22)*R22</f>
        <v>34587.829735200001</v>
      </c>
      <c r="V22" s="151">
        <f>V$16</f>
        <v>3.9899999999999998E-2</v>
      </c>
      <c r="W22" s="19"/>
      <c r="X22" s="13">
        <f>($H22+$L22+$P22)*V22</f>
        <v>31871.926245599996</v>
      </c>
    </row>
    <row r="23" spans="1:24">
      <c r="A23" s="17" t="s">
        <v>23</v>
      </c>
      <c r="C23" s="23">
        <v>166.01015990227461</v>
      </c>
      <c r="E23" s="166">
        <v>16</v>
      </c>
      <c r="F23" s="218"/>
      <c r="G23" s="218"/>
      <c r="H23" s="213">
        <v>2656</v>
      </c>
      <c r="J23" s="151">
        <f>J$16</f>
        <v>6.4000000000000003E-3</v>
      </c>
      <c r="K23" s="30"/>
      <c r="L23" s="13">
        <f t="shared" si="2"/>
        <v>16.9984</v>
      </c>
      <c r="N23" s="151">
        <f>N$16</f>
        <v>4.5999999999999999E-3</v>
      </c>
      <c r="O23" s="30"/>
      <c r="P23" s="13">
        <f t="shared" si="3"/>
        <v>12.217599999999999</v>
      </c>
      <c r="R23" s="151">
        <f>R$16</f>
        <v>4.3299999999999998E-2</v>
      </c>
      <c r="S23" s="30"/>
      <c r="T23" s="13">
        <f>($H23+$L23+$P23)*R23</f>
        <v>116.2698528</v>
      </c>
      <c r="V23" s="151">
        <f>V$16</f>
        <v>3.9899999999999998E-2</v>
      </c>
      <c r="W23" s="30"/>
      <c r="X23" s="13">
        <f>($H23+$L23+$P23)*V23</f>
        <v>107.14011839999999</v>
      </c>
    </row>
    <row r="24" spans="1:24">
      <c r="A24" s="17" t="s">
        <v>24</v>
      </c>
      <c r="C24" s="23">
        <v>0</v>
      </c>
      <c r="E24" s="166">
        <v>96</v>
      </c>
      <c r="F24" s="218"/>
      <c r="G24" s="218"/>
      <c r="H24" s="213">
        <v>0</v>
      </c>
      <c r="J24" s="18"/>
      <c r="K24" s="31"/>
      <c r="L24" s="13"/>
      <c r="N24" s="18"/>
      <c r="O24" s="31"/>
      <c r="P24" s="13"/>
      <c r="R24" s="18"/>
      <c r="S24" s="31"/>
      <c r="T24" s="13"/>
      <c r="V24" s="18"/>
      <c r="W24" s="31"/>
      <c r="X24" s="13"/>
    </row>
    <row r="25" spans="1:24">
      <c r="A25" s="34" t="s">
        <v>25</v>
      </c>
      <c r="C25" s="21">
        <v>501472</v>
      </c>
      <c r="E25" s="216"/>
      <c r="F25" s="215"/>
      <c r="G25" s="215"/>
      <c r="H25" s="219"/>
      <c r="J25" s="151">
        <f>J$16</f>
        <v>6.4000000000000003E-3</v>
      </c>
      <c r="K25" s="24"/>
      <c r="L25" s="13">
        <f>$H25*J25</f>
        <v>0</v>
      </c>
      <c r="N25" s="151">
        <f>N$16</f>
        <v>4.5999999999999999E-3</v>
      </c>
      <c r="O25" s="24"/>
      <c r="P25" s="13">
        <f>$H25*N25</f>
        <v>0</v>
      </c>
      <c r="R25" s="151">
        <f>R$16</f>
        <v>4.3299999999999998E-2</v>
      </c>
      <c r="S25" s="24"/>
      <c r="T25" s="13">
        <f>($H25+$L25+$P25)*R25</f>
        <v>0</v>
      </c>
      <c r="V25" s="151">
        <f>V$16</f>
        <v>3.9899999999999998E-2</v>
      </c>
      <c r="W25" s="24"/>
      <c r="X25" s="13">
        <f>($H25+$L25+$P25)*V25</f>
        <v>0</v>
      </c>
    </row>
    <row r="26" spans="1:24">
      <c r="A26" s="34" t="s">
        <v>26</v>
      </c>
      <c r="B26" s="9"/>
      <c r="C26" s="23">
        <v>223485</v>
      </c>
      <c r="E26" s="216"/>
      <c r="F26" s="215"/>
      <c r="G26" s="215"/>
      <c r="H26" s="213"/>
      <c r="J26" s="25"/>
      <c r="K26" s="24"/>
      <c r="L26" s="13"/>
      <c r="N26" s="25"/>
      <c r="O26" s="24"/>
      <c r="P26" s="13"/>
      <c r="R26" s="25"/>
      <c r="S26" s="24"/>
      <c r="T26" s="13"/>
      <c r="V26" s="25"/>
      <c r="W26" s="24"/>
      <c r="X26" s="13"/>
    </row>
    <row r="27" spans="1:24">
      <c r="A27" s="34" t="s">
        <v>27</v>
      </c>
      <c r="B27" s="9"/>
      <c r="C27" s="23">
        <v>277987</v>
      </c>
      <c r="E27" s="216"/>
      <c r="F27" s="215"/>
      <c r="G27" s="215"/>
      <c r="H27" s="213"/>
      <c r="J27" s="25"/>
      <c r="K27" s="24"/>
      <c r="L27" s="13"/>
      <c r="N27" s="25"/>
      <c r="O27" s="24"/>
      <c r="P27" s="13"/>
      <c r="R27" s="25"/>
      <c r="S27" s="24"/>
      <c r="T27" s="13"/>
      <c r="V27" s="25"/>
      <c r="W27" s="24"/>
      <c r="X27" s="13"/>
    </row>
    <row r="28" spans="1:24">
      <c r="A28" s="17" t="s">
        <v>28</v>
      </c>
      <c r="C28" s="35">
        <v>0</v>
      </c>
      <c r="H28" s="220">
        <v>0</v>
      </c>
      <c r="L28" s="37"/>
      <c r="P28" s="37"/>
      <c r="T28" s="37"/>
      <c r="X28" s="37"/>
    </row>
    <row r="29" spans="1:24" s="22" customFormat="1" ht="16.5" thickBot="1">
      <c r="A29" s="17" t="s">
        <v>29</v>
      </c>
      <c r="B29" s="8"/>
      <c r="C29" s="221">
        <v>5992207268.7140274</v>
      </c>
      <c r="D29" s="55"/>
      <c r="E29" s="200"/>
      <c r="F29" s="55"/>
      <c r="G29" s="55"/>
      <c r="H29" s="222">
        <v>661391652</v>
      </c>
      <c r="I29" s="9"/>
      <c r="J29" s="38"/>
      <c r="K29" s="9"/>
      <c r="L29" s="39">
        <f>SUM(L13:L28)</f>
        <v>3909311.1168</v>
      </c>
      <c r="M29" s="9"/>
      <c r="N29" s="38"/>
      <c r="O29" s="9"/>
      <c r="P29" s="39">
        <f>SUM(P13:P28)</f>
        <v>2809817.3651999999</v>
      </c>
      <c r="Q29" s="9"/>
      <c r="R29" s="38"/>
      <c r="S29" s="9"/>
      <c r="T29" s="39">
        <f>SUM(T13:T28)</f>
        <v>26739871.287870597</v>
      </c>
      <c r="U29" s="9"/>
      <c r="V29" s="38"/>
      <c r="W29" s="9"/>
      <c r="X29" s="39">
        <f>SUM(X13:X28)</f>
        <v>24640204.720231798</v>
      </c>
    </row>
    <row r="30" spans="1:24" ht="16.5" thickTop="1">
      <c r="C30" s="223"/>
    </row>
    <row r="31" spans="1:24">
      <c r="A31" s="16" t="s">
        <v>30</v>
      </c>
      <c r="C31" s="54"/>
    </row>
    <row r="32" spans="1:24">
      <c r="A32" s="17" t="s">
        <v>11</v>
      </c>
      <c r="C32" s="21">
        <v>370465</v>
      </c>
      <c r="E32" s="166"/>
      <c r="F32" s="212"/>
      <c r="G32" s="212"/>
      <c r="H32" s="213"/>
      <c r="J32" s="18"/>
      <c r="K32" s="41"/>
      <c r="L32" s="13"/>
      <c r="N32" s="18"/>
      <c r="O32" s="41"/>
      <c r="P32" s="13"/>
      <c r="R32" s="18"/>
      <c r="S32" s="41"/>
      <c r="T32" s="13"/>
      <c r="V32" s="18"/>
      <c r="W32" s="41"/>
      <c r="X32" s="13"/>
    </row>
    <row r="33" spans="1:24">
      <c r="A33" s="17" t="s">
        <v>12</v>
      </c>
      <c r="C33" s="21">
        <v>369457</v>
      </c>
      <c r="E33" s="166">
        <v>6</v>
      </c>
      <c r="F33" s="212"/>
      <c r="G33" s="212"/>
      <c r="H33" s="213">
        <v>2216742</v>
      </c>
      <c r="J33" s="18"/>
      <c r="K33" s="41"/>
      <c r="L33" s="13"/>
      <c r="N33" s="18"/>
      <c r="O33" s="41"/>
      <c r="P33" s="13"/>
      <c r="R33" s="18"/>
      <c r="S33" s="41"/>
      <c r="T33" s="13"/>
      <c r="V33" s="18"/>
      <c r="W33" s="41"/>
      <c r="X33" s="13"/>
    </row>
    <row r="34" spans="1:24">
      <c r="A34" s="17" t="s">
        <v>13</v>
      </c>
      <c r="C34" s="21">
        <v>257</v>
      </c>
      <c r="E34" s="166">
        <v>12</v>
      </c>
      <c r="F34" s="212"/>
      <c r="G34" s="212"/>
      <c r="H34" s="213">
        <v>3084</v>
      </c>
      <c r="J34" s="18"/>
      <c r="K34" s="41"/>
      <c r="L34" s="13"/>
      <c r="N34" s="18"/>
      <c r="O34" s="41"/>
      <c r="P34" s="13"/>
      <c r="R34" s="18"/>
      <c r="S34" s="41"/>
      <c r="T34" s="13"/>
      <c r="V34" s="18"/>
      <c r="W34" s="41"/>
      <c r="X34" s="13"/>
    </row>
    <row r="35" spans="1:24">
      <c r="A35" s="17" t="s">
        <v>14</v>
      </c>
      <c r="C35" s="21">
        <v>0</v>
      </c>
      <c r="E35" s="166">
        <v>0</v>
      </c>
      <c r="F35" s="212"/>
      <c r="G35" s="212"/>
      <c r="H35" s="213">
        <v>0</v>
      </c>
      <c r="J35" s="18"/>
      <c r="K35" s="41"/>
      <c r="L35" s="13"/>
      <c r="N35" s="18"/>
      <c r="O35" s="41"/>
      <c r="P35" s="13"/>
      <c r="R35" s="18"/>
      <c r="S35" s="41"/>
      <c r="T35" s="13"/>
      <c r="V35" s="18"/>
      <c r="W35" s="41"/>
      <c r="X35" s="13"/>
    </row>
    <row r="36" spans="1:24">
      <c r="A36" s="17" t="s">
        <v>15</v>
      </c>
      <c r="C36" s="23">
        <v>47435117</v>
      </c>
      <c r="E36" s="216">
        <v>8.8498000000000001</v>
      </c>
      <c r="F36" s="215" t="s">
        <v>16</v>
      </c>
      <c r="G36" s="215"/>
      <c r="H36" s="213">
        <v>4197913</v>
      </c>
      <c r="J36" s="151">
        <f>J$16</f>
        <v>6.4000000000000003E-3</v>
      </c>
      <c r="K36" s="24"/>
      <c r="L36" s="13">
        <f t="shared" ref="L36:L38" si="4">$H36*J36</f>
        <v>26866.643200000002</v>
      </c>
      <c r="N36" s="151">
        <f>N$16</f>
        <v>4.5999999999999999E-3</v>
      </c>
      <c r="O36" s="24"/>
      <c r="P36" s="13">
        <f t="shared" ref="P36:P38" si="5">$H36*N36</f>
        <v>19310.399799999999</v>
      </c>
      <c r="R36" s="151">
        <f>R$16</f>
        <v>4.3299999999999998E-2</v>
      </c>
      <c r="S36" s="24"/>
      <c r="T36" s="13">
        <f>($H36+$L36+$P36)*R36</f>
        <v>183769.09886189998</v>
      </c>
      <c r="V36" s="151">
        <f>V$16</f>
        <v>3.9899999999999998E-2</v>
      </c>
      <c r="W36" s="24"/>
      <c r="X36" s="13">
        <f>($H36+$L36+$P36)*V36</f>
        <v>169339.19271569999</v>
      </c>
    </row>
    <row r="37" spans="1:24">
      <c r="A37" s="17" t="s">
        <v>17</v>
      </c>
      <c r="C37" s="23">
        <v>31907309</v>
      </c>
      <c r="E37" s="216">
        <v>11.542899999999999</v>
      </c>
      <c r="F37" s="215" t="s">
        <v>16</v>
      </c>
      <c r="G37" s="215"/>
      <c r="H37" s="213">
        <v>3683029</v>
      </c>
      <c r="J37" s="151">
        <f>J$16</f>
        <v>6.4000000000000003E-3</v>
      </c>
      <c r="K37" s="24"/>
      <c r="L37" s="13">
        <f t="shared" si="4"/>
        <v>23571.385600000001</v>
      </c>
      <c r="N37" s="151">
        <f>N$16</f>
        <v>4.5999999999999999E-3</v>
      </c>
      <c r="O37" s="24"/>
      <c r="P37" s="13">
        <f t="shared" si="5"/>
        <v>16941.933399999998</v>
      </c>
      <c r="R37" s="151">
        <f>R$16</f>
        <v>4.3299999999999998E-2</v>
      </c>
      <c r="S37" s="24"/>
      <c r="T37" s="13">
        <f>($H37+$L37+$P37)*R37</f>
        <v>161229.38241270001</v>
      </c>
      <c r="V37" s="151">
        <f>V$16</f>
        <v>3.9899999999999998E-2</v>
      </c>
      <c r="W37" s="24"/>
      <c r="X37" s="13">
        <f>($H37+$L37+$P37)*V37</f>
        <v>148569.33852809999</v>
      </c>
    </row>
    <row r="38" spans="1:24">
      <c r="A38" s="17" t="s">
        <v>18</v>
      </c>
      <c r="C38" s="23">
        <v>10205740</v>
      </c>
      <c r="E38" s="216">
        <v>14.450799999999999</v>
      </c>
      <c r="F38" s="215" t="s">
        <v>16</v>
      </c>
      <c r="G38" s="215"/>
      <c r="H38" s="213">
        <v>1474811</v>
      </c>
      <c r="J38" s="151">
        <f>J$16</f>
        <v>6.4000000000000003E-3</v>
      </c>
      <c r="K38" s="24"/>
      <c r="L38" s="13">
        <f t="shared" si="4"/>
        <v>9438.7903999999999</v>
      </c>
      <c r="N38" s="151">
        <f>N$16</f>
        <v>4.5999999999999999E-3</v>
      </c>
      <c r="O38" s="24"/>
      <c r="P38" s="13">
        <f t="shared" si="5"/>
        <v>6784.1305999999995</v>
      </c>
      <c r="R38" s="151">
        <f>R$16</f>
        <v>4.3299999999999998E-2</v>
      </c>
      <c r="S38" s="24"/>
      <c r="T38" s="13">
        <f>($H38+$L38+$P38)*R38</f>
        <v>64561.7687793</v>
      </c>
      <c r="V38" s="151">
        <f>V$16</f>
        <v>3.9899999999999998E-2</v>
      </c>
      <c r="W38" s="24"/>
      <c r="X38" s="13">
        <f>($H38+$L38+$P38)*V38</f>
        <v>59492.253447900002</v>
      </c>
    </row>
    <row r="39" spans="1:24">
      <c r="A39" s="17" t="s">
        <v>19</v>
      </c>
      <c r="C39" s="23"/>
      <c r="E39" s="216"/>
      <c r="F39" s="215"/>
      <c r="G39" s="215"/>
      <c r="H39" s="213"/>
      <c r="J39" s="25"/>
      <c r="K39" s="24"/>
      <c r="L39" s="13"/>
      <c r="N39" s="25"/>
      <c r="O39" s="24"/>
      <c r="P39" s="13"/>
      <c r="R39" s="25"/>
      <c r="S39" s="24"/>
      <c r="T39" s="13"/>
      <c r="V39" s="25"/>
      <c r="W39" s="24"/>
      <c r="X39" s="13"/>
    </row>
    <row r="40" spans="1:24">
      <c r="A40" s="26" t="s">
        <v>20</v>
      </c>
      <c r="B40" s="27"/>
      <c r="C40" s="23">
        <v>64598419</v>
      </c>
      <c r="D40" s="217"/>
      <c r="E40" s="216">
        <v>8.8498000000000001</v>
      </c>
      <c r="F40" s="215" t="s">
        <v>16</v>
      </c>
      <c r="G40" s="215"/>
      <c r="H40" s="213">
        <v>5716831</v>
      </c>
      <c r="I40" s="28"/>
      <c r="J40" s="151">
        <f>J$16</f>
        <v>6.4000000000000003E-3</v>
      </c>
      <c r="K40" s="24"/>
      <c r="L40" s="13">
        <f t="shared" ref="L40:L43" si="6">$H40*J40</f>
        <v>36587.718400000005</v>
      </c>
      <c r="M40" s="28"/>
      <c r="N40" s="151">
        <f>N$16</f>
        <v>4.5999999999999999E-3</v>
      </c>
      <c r="O40" s="24"/>
      <c r="P40" s="13">
        <f t="shared" ref="P40:P43" si="7">$H40*N40</f>
        <v>26297.422599999998</v>
      </c>
      <c r="Q40" s="28"/>
      <c r="R40" s="151">
        <f>R$16</f>
        <v>4.3299999999999998E-2</v>
      </c>
      <c r="S40" s="24"/>
      <c r="T40" s="13">
        <f>($H40+$L40+$P40)*R40</f>
        <v>250261.70890529998</v>
      </c>
      <c r="U40" s="28"/>
      <c r="V40" s="151">
        <f>V$16</f>
        <v>3.9899999999999998E-2</v>
      </c>
      <c r="W40" s="24"/>
      <c r="X40" s="13">
        <f>($H40+$L40+$P40)*V40</f>
        <v>230610.67402589999</v>
      </c>
    </row>
    <row r="41" spans="1:24">
      <c r="A41" s="26" t="s">
        <v>21</v>
      </c>
      <c r="B41" s="27"/>
      <c r="C41" s="23">
        <v>54308077</v>
      </c>
      <c r="D41" s="217"/>
      <c r="E41" s="216">
        <v>10.7072</v>
      </c>
      <c r="F41" s="215" t="s">
        <v>16</v>
      </c>
      <c r="G41" s="215"/>
      <c r="H41" s="213">
        <v>5814874</v>
      </c>
      <c r="I41" s="28"/>
      <c r="J41" s="151">
        <f>J$16</f>
        <v>6.4000000000000003E-3</v>
      </c>
      <c r="K41" s="24"/>
      <c r="L41" s="13">
        <f t="shared" si="6"/>
        <v>37215.193599999999</v>
      </c>
      <c r="M41" s="28"/>
      <c r="N41" s="151">
        <f>N$16</f>
        <v>4.5999999999999999E-3</v>
      </c>
      <c r="O41" s="24"/>
      <c r="P41" s="13">
        <f t="shared" si="7"/>
        <v>26748.420399999999</v>
      </c>
      <c r="Q41" s="28"/>
      <c r="R41" s="151">
        <f>R$16</f>
        <v>4.3299999999999998E-2</v>
      </c>
      <c r="S41" s="24"/>
      <c r="T41" s="13">
        <f>($H41+$L41+$P41)*R41</f>
        <v>254553.66868619999</v>
      </c>
      <c r="U41" s="28"/>
      <c r="V41" s="151">
        <f>V$16</f>
        <v>3.9899999999999998E-2</v>
      </c>
      <c r="W41" s="24"/>
      <c r="X41" s="13">
        <f>($H41+$L41+$P41)*V41</f>
        <v>234565.62079859999</v>
      </c>
    </row>
    <row r="42" spans="1:24">
      <c r="A42" s="17" t="s">
        <v>22</v>
      </c>
      <c r="C42" s="21">
        <v>751</v>
      </c>
      <c r="E42" s="166">
        <v>8</v>
      </c>
      <c r="F42" s="212"/>
      <c r="G42" s="212"/>
      <c r="H42" s="213">
        <v>6008</v>
      </c>
      <c r="J42" s="151">
        <f>J$16</f>
        <v>6.4000000000000003E-3</v>
      </c>
      <c r="K42" s="19"/>
      <c r="L42" s="13">
        <f t="shared" si="6"/>
        <v>38.4512</v>
      </c>
      <c r="N42" s="151">
        <f>N$16</f>
        <v>4.5999999999999999E-3</v>
      </c>
      <c r="O42" s="19"/>
      <c r="P42" s="13">
        <f t="shared" si="7"/>
        <v>27.636800000000001</v>
      </c>
      <c r="R42" s="151">
        <f>R$16</f>
        <v>4.3299999999999998E-2</v>
      </c>
      <c r="S42" s="19"/>
      <c r="T42" s="13">
        <f>($H42+$L42+$P42)*R42</f>
        <v>263.00801039999999</v>
      </c>
      <c r="V42" s="151">
        <f>V$16</f>
        <v>3.9899999999999998E-2</v>
      </c>
      <c r="W42" s="19"/>
      <c r="X42" s="13">
        <f>($H42+$L42+$P42)*V42</f>
        <v>242.35611120000002</v>
      </c>
    </row>
    <row r="43" spans="1:24">
      <c r="A43" s="17" t="s">
        <v>23</v>
      </c>
      <c r="C43" s="21">
        <v>0</v>
      </c>
      <c r="E43" s="166">
        <v>16</v>
      </c>
      <c r="F43" s="212"/>
      <c r="G43" s="212"/>
      <c r="H43" s="213">
        <v>0</v>
      </c>
      <c r="J43" s="151">
        <f>J$16</f>
        <v>6.4000000000000003E-3</v>
      </c>
      <c r="K43" s="30"/>
      <c r="L43" s="13">
        <f t="shared" si="6"/>
        <v>0</v>
      </c>
      <c r="N43" s="151">
        <f>N$16</f>
        <v>4.5999999999999999E-3</v>
      </c>
      <c r="O43" s="30"/>
      <c r="P43" s="13">
        <f t="shared" si="7"/>
        <v>0</v>
      </c>
      <c r="R43" s="151">
        <f>R$16</f>
        <v>4.3299999999999998E-2</v>
      </c>
      <c r="S43" s="30"/>
      <c r="T43" s="13">
        <f>($H43+$L43+$P43)*R43</f>
        <v>0</v>
      </c>
      <c r="V43" s="151">
        <f>V$16</f>
        <v>3.9899999999999998E-2</v>
      </c>
      <c r="W43" s="30"/>
      <c r="X43" s="13">
        <f>($H43+$L43+$P43)*V43</f>
        <v>0</v>
      </c>
    </row>
    <row r="44" spans="1:24">
      <c r="A44" s="17" t="s">
        <v>24</v>
      </c>
      <c r="C44" s="21">
        <v>0</v>
      </c>
      <c r="E44" s="166">
        <v>96</v>
      </c>
      <c r="F44" s="212"/>
      <c r="G44" s="212"/>
      <c r="H44" s="213">
        <v>0</v>
      </c>
      <c r="J44" s="18"/>
      <c r="K44" s="31"/>
      <c r="L44" s="13"/>
      <c r="N44" s="18"/>
      <c r="O44" s="31"/>
      <c r="P44" s="13"/>
      <c r="R44" s="18"/>
      <c r="S44" s="31"/>
      <c r="T44" s="13"/>
      <c r="V44" s="18"/>
      <c r="W44" s="31"/>
      <c r="X44" s="13"/>
    </row>
    <row r="45" spans="1:24">
      <c r="A45" s="34" t="s">
        <v>25</v>
      </c>
      <c r="B45" s="9"/>
      <c r="C45" s="21">
        <v>4249</v>
      </c>
      <c r="E45" s="224"/>
      <c r="F45" s="215"/>
      <c r="G45" s="215"/>
      <c r="H45" s="219"/>
      <c r="J45" s="151">
        <f>J$16</f>
        <v>6.4000000000000003E-3</v>
      </c>
      <c r="K45" s="24"/>
      <c r="L45" s="13">
        <f>$H45*J45</f>
        <v>0</v>
      </c>
      <c r="N45" s="151">
        <f>N$16</f>
        <v>4.5999999999999999E-3</v>
      </c>
      <c r="O45" s="24"/>
      <c r="P45" s="13">
        <f>$H45*N45</f>
        <v>0</v>
      </c>
      <c r="R45" s="151">
        <f>R$16</f>
        <v>4.3299999999999998E-2</v>
      </c>
      <c r="S45" s="24"/>
      <c r="T45" s="13">
        <f>($H45+$L45+$P45)*R45</f>
        <v>0</v>
      </c>
      <c r="V45" s="151">
        <f>V$16</f>
        <v>3.9899999999999998E-2</v>
      </c>
      <c r="W45" s="24"/>
      <c r="X45" s="13">
        <f>($H45+$L45+$P45)*V45</f>
        <v>0</v>
      </c>
    </row>
    <row r="46" spans="1:24" s="22" customFormat="1">
      <c r="A46" s="34" t="s">
        <v>26</v>
      </c>
      <c r="B46" s="9"/>
      <c r="C46" s="23">
        <v>2043</v>
      </c>
      <c r="D46" s="55"/>
      <c r="E46" s="224"/>
      <c r="F46" s="215"/>
      <c r="G46" s="215"/>
      <c r="H46" s="213"/>
      <c r="I46" s="9"/>
      <c r="J46" s="25"/>
      <c r="K46" s="24"/>
      <c r="L46" s="13"/>
      <c r="M46" s="9"/>
      <c r="N46" s="25"/>
      <c r="O46" s="24"/>
      <c r="P46" s="13"/>
      <c r="Q46" s="9"/>
      <c r="R46" s="25"/>
      <c r="S46" s="24"/>
      <c r="T46" s="13"/>
      <c r="U46" s="9"/>
      <c r="V46" s="25"/>
      <c r="W46" s="24"/>
      <c r="X46" s="13"/>
    </row>
    <row r="47" spans="1:24" s="22" customFormat="1">
      <c r="A47" s="34" t="s">
        <v>27</v>
      </c>
      <c r="B47" s="8"/>
      <c r="C47" s="23">
        <v>2206</v>
      </c>
      <c r="D47" s="55"/>
      <c r="E47" s="224"/>
      <c r="F47" s="215"/>
      <c r="G47" s="215"/>
      <c r="H47" s="213"/>
      <c r="I47" s="9"/>
      <c r="J47" s="25"/>
      <c r="K47" s="24"/>
      <c r="L47" s="13"/>
      <c r="M47" s="9"/>
      <c r="N47" s="25"/>
      <c r="O47" s="24"/>
      <c r="P47" s="13"/>
      <c r="Q47" s="9"/>
      <c r="R47" s="25"/>
      <c r="S47" s="24"/>
      <c r="T47" s="13"/>
      <c r="U47" s="9"/>
      <c r="V47" s="25"/>
      <c r="W47" s="24"/>
      <c r="X47" s="13"/>
    </row>
    <row r="48" spans="1:24">
      <c r="A48" s="17" t="s">
        <v>28</v>
      </c>
      <c r="C48" s="35">
        <v>0</v>
      </c>
      <c r="H48" s="220">
        <v>0</v>
      </c>
      <c r="L48" s="37"/>
      <c r="P48" s="37"/>
      <c r="T48" s="37"/>
      <c r="X48" s="37"/>
    </row>
    <row r="49" spans="1:24" ht="16.5" thickBot="1">
      <c r="A49" s="17" t="s">
        <v>29</v>
      </c>
      <c r="C49" s="221">
        <v>208458910.71085531</v>
      </c>
      <c r="E49" s="200"/>
      <c r="H49" s="222">
        <v>23113292</v>
      </c>
      <c r="J49" s="38"/>
      <c r="L49" s="39">
        <f>SUM(L33:L48)</f>
        <v>133718.18240000002</v>
      </c>
      <c r="N49" s="38"/>
      <c r="P49" s="39">
        <f>SUM(P33:P48)</f>
        <v>96109.943599999984</v>
      </c>
      <c r="R49" s="38"/>
      <c r="T49" s="39">
        <f>SUM(T33:T48)</f>
        <v>914638.63565579988</v>
      </c>
      <c r="V49" s="38"/>
      <c r="X49" s="39">
        <f>SUM(X33:X48)</f>
        <v>842819.43562739994</v>
      </c>
    </row>
    <row r="50" spans="1:24" ht="16.5" thickTop="1">
      <c r="C50" s="54"/>
    </row>
    <row r="51" spans="1:24">
      <c r="A51" s="16" t="s">
        <v>31</v>
      </c>
      <c r="C51" s="54"/>
    </row>
    <row r="52" spans="1:24">
      <c r="A52" s="17" t="s">
        <v>11</v>
      </c>
      <c r="C52" s="21">
        <v>5364</v>
      </c>
      <c r="E52" s="166"/>
      <c r="F52" s="212"/>
      <c r="G52" s="212"/>
      <c r="H52" s="213"/>
      <c r="J52" s="18"/>
      <c r="K52" s="41"/>
      <c r="L52" s="13"/>
      <c r="N52" s="18"/>
      <c r="O52" s="41"/>
      <c r="P52" s="13"/>
      <c r="R52" s="18"/>
      <c r="S52" s="41"/>
      <c r="T52" s="13"/>
      <c r="V52" s="18"/>
      <c r="W52" s="41"/>
      <c r="X52" s="13"/>
    </row>
    <row r="53" spans="1:24">
      <c r="A53" s="17" t="s">
        <v>12</v>
      </c>
      <c r="C53" s="21">
        <v>5243</v>
      </c>
      <c r="E53" s="166">
        <v>6</v>
      </c>
      <c r="F53" s="212"/>
      <c r="G53" s="212"/>
      <c r="H53" s="213">
        <v>31458</v>
      </c>
      <c r="J53" s="18"/>
      <c r="K53" s="41"/>
      <c r="L53" s="13"/>
      <c r="N53" s="18"/>
      <c r="O53" s="41"/>
      <c r="P53" s="13"/>
      <c r="R53" s="18"/>
      <c r="S53" s="41"/>
      <c r="T53" s="13"/>
      <c r="V53" s="18"/>
      <c r="W53" s="41"/>
      <c r="X53" s="13"/>
    </row>
    <row r="54" spans="1:24">
      <c r="A54" s="17" t="s">
        <v>13</v>
      </c>
      <c r="C54" s="21">
        <v>0</v>
      </c>
      <c r="E54" s="166">
        <v>12</v>
      </c>
      <c r="F54" s="212"/>
      <c r="G54" s="212"/>
      <c r="H54" s="213">
        <v>0</v>
      </c>
      <c r="J54" s="18"/>
      <c r="K54" s="41"/>
      <c r="L54" s="13"/>
      <c r="N54" s="18"/>
      <c r="O54" s="41"/>
      <c r="P54" s="13"/>
      <c r="R54" s="18"/>
      <c r="S54" s="41"/>
      <c r="T54" s="13"/>
      <c r="V54" s="18"/>
      <c r="W54" s="41"/>
      <c r="X54" s="13"/>
    </row>
    <row r="55" spans="1:24">
      <c r="A55" s="17" t="s">
        <v>14</v>
      </c>
      <c r="C55" s="21">
        <v>1185</v>
      </c>
      <c r="E55" s="166">
        <v>0</v>
      </c>
      <c r="F55" s="212"/>
      <c r="G55" s="212"/>
      <c r="H55" s="213">
        <v>0</v>
      </c>
      <c r="J55" s="18"/>
      <c r="K55" s="41"/>
      <c r="L55" s="13"/>
      <c r="N55" s="18"/>
      <c r="O55" s="41"/>
      <c r="P55" s="13"/>
      <c r="R55" s="18"/>
      <c r="S55" s="41"/>
      <c r="T55" s="13"/>
      <c r="V55" s="18"/>
      <c r="W55" s="41"/>
      <c r="X55" s="13"/>
    </row>
    <row r="56" spans="1:24">
      <c r="A56" s="17" t="s">
        <v>32</v>
      </c>
      <c r="C56" s="21">
        <v>280149</v>
      </c>
      <c r="E56" s="225">
        <v>4.3559999999999999</v>
      </c>
      <c r="F56" s="215" t="s">
        <v>16</v>
      </c>
      <c r="G56" s="215"/>
      <c r="H56" s="213">
        <v>12203</v>
      </c>
      <c r="J56" s="151">
        <f>J$16</f>
        <v>6.4000000000000003E-3</v>
      </c>
      <c r="K56" s="24"/>
      <c r="L56" s="13">
        <f t="shared" ref="L56:L60" si="8">$H56*J56</f>
        <v>78.09920000000001</v>
      </c>
      <c r="N56" s="151">
        <f>N$16</f>
        <v>4.5999999999999999E-3</v>
      </c>
      <c r="O56" s="24"/>
      <c r="P56" s="13">
        <f t="shared" ref="P56:P60" si="9">$H56*N56</f>
        <v>56.133800000000001</v>
      </c>
      <c r="R56" s="151">
        <f>R$16</f>
        <v>4.3299999999999998E-2</v>
      </c>
      <c r="S56" s="24"/>
      <c r="T56" s="13">
        <f>($H56+$L56+$P56)*R56</f>
        <v>534.20218890000001</v>
      </c>
      <c r="V56" s="151">
        <f>V$16</f>
        <v>3.9899999999999998E-2</v>
      </c>
      <c r="W56" s="24"/>
      <c r="X56" s="13">
        <f>($H56+$L56+$P56)*V56</f>
        <v>492.25559669999996</v>
      </c>
    </row>
    <row r="57" spans="1:24">
      <c r="A57" s="17" t="s">
        <v>33</v>
      </c>
      <c r="C57" s="21">
        <v>954590</v>
      </c>
      <c r="E57" s="225">
        <v>-1.6334</v>
      </c>
      <c r="F57" s="215" t="s">
        <v>16</v>
      </c>
      <c r="G57" s="215"/>
      <c r="H57" s="213">
        <v>-15592</v>
      </c>
      <c r="J57" s="151">
        <f>J$16</f>
        <v>6.4000000000000003E-3</v>
      </c>
      <c r="K57" s="24"/>
      <c r="L57" s="13">
        <f t="shared" si="8"/>
        <v>-99.788800000000009</v>
      </c>
      <c r="N57" s="151">
        <f>N$16</f>
        <v>4.5999999999999999E-3</v>
      </c>
      <c r="O57" s="24"/>
      <c r="P57" s="13">
        <f t="shared" si="9"/>
        <v>-71.723200000000006</v>
      </c>
      <c r="R57" s="151">
        <f>R$16</f>
        <v>4.3299999999999998E-2</v>
      </c>
      <c r="S57" s="24"/>
      <c r="T57" s="13">
        <f>($H57+$L57+$P57)*R57</f>
        <v>-682.56006960000002</v>
      </c>
      <c r="V57" s="151">
        <f>V$16</f>
        <v>3.9899999999999998E-2</v>
      </c>
      <c r="W57" s="24"/>
      <c r="X57" s="13">
        <f>($H57+$L57+$P57)*V57</f>
        <v>-628.96412880000003</v>
      </c>
    </row>
    <row r="58" spans="1:24">
      <c r="A58" s="17" t="s">
        <v>15</v>
      </c>
      <c r="C58" s="21">
        <v>675062</v>
      </c>
      <c r="E58" s="216">
        <v>8.8498000000000001</v>
      </c>
      <c r="F58" s="215" t="s">
        <v>16</v>
      </c>
      <c r="G58" s="215"/>
      <c r="H58" s="213">
        <v>59742</v>
      </c>
      <c r="J58" s="151">
        <f>J$16</f>
        <v>6.4000000000000003E-3</v>
      </c>
      <c r="K58" s="24"/>
      <c r="L58" s="13">
        <f t="shared" si="8"/>
        <v>382.34880000000004</v>
      </c>
      <c r="N58" s="151">
        <f>N$16</f>
        <v>4.5999999999999999E-3</v>
      </c>
      <c r="O58" s="24"/>
      <c r="P58" s="13">
        <f t="shared" si="9"/>
        <v>274.81319999999999</v>
      </c>
      <c r="R58" s="151">
        <f>R$16</f>
        <v>4.3299999999999998E-2</v>
      </c>
      <c r="S58" s="24"/>
      <c r="T58" s="13">
        <f>($H58+$L58+$P58)*R58</f>
        <v>2615.2837145999997</v>
      </c>
      <c r="V58" s="151">
        <f>V$16</f>
        <v>3.9899999999999998E-2</v>
      </c>
      <c r="W58" s="24"/>
      <c r="X58" s="13">
        <f>($H58+$L58+$P58)*V58</f>
        <v>2409.9265637999997</v>
      </c>
    </row>
    <row r="59" spans="1:24">
      <c r="A59" s="17" t="s">
        <v>17</v>
      </c>
      <c r="C59" s="21">
        <v>474415</v>
      </c>
      <c r="E59" s="216">
        <v>11.542899999999999</v>
      </c>
      <c r="F59" s="215" t="s">
        <v>16</v>
      </c>
      <c r="G59" s="215"/>
      <c r="H59" s="213">
        <v>54761</v>
      </c>
      <c r="J59" s="151">
        <f>J$16</f>
        <v>6.4000000000000003E-3</v>
      </c>
      <c r="K59" s="24"/>
      <c r="L59" s="13">
        <f t="shared" si="8"/>
        <v>350.47040000000004</v>
      </c>
      <c r="N59" s="151">
        <f>N$16</f>
        <v>4.5999999999999999E-3</v>
      </c>
      <c r="O59" s="24"/>
      <c r="P59" s="13">
        <f t="shared" si="9"/>
        <v>251.9006</v>
      </c>
      <c r="R59" s="151">
        <f>R$16</f>
        <v>4.3299999999999998E-2</v>
      </c>
      <c r="S59" s="24"/>
      <c r="T59" s="13">
        <f>($H59+$L59+$P59)*R59</f>
        <v>2397.2339643</v>
      </c>
      <c r="V59" s="151">
        <f>V$16</f>
        <v>3.9899999999999998E-2</v>
      </c>
      <c r="W59" s="24"/>
      <c r="X59" s="13">
        <f>($H59+$L59+$P59)*V59</f>
        <v>2208.9985028999999</v>
      </c>
    </row>
    <row r="60" spans="1:24">
      <c r="A60" s="17" t="s">
        <v>18</v>
      </c>
      <c r="C60" s="21">
        <v>185128</v>
      </c>
      <c r="E60" s="216">
        <v>14.450799999999999</v>
      </c>
      <c r="F60" s="215" t="s">
        <v>16</v>
      </c>
      <c r="G60" s="215"/>
      <c r="H60" s="213">
        <v>26752</v>
      </c>
      <c r="J60" s="151">
        <f>J$16</f>
        <v>6.4000000000000003E-3</v>
      </c>
      <c r="K60" s="24"/>
      <c r="L60" s="13">
        <f t="shared" si="8"/>
        <v>171.21280000000002</v>
      </c>
      <c r="N60" s="151">
        <f>N$16</f>
        <v>4.5999999999999999E-3</v>
      </c>
      <c r="O60" s="24"/>
      <c r="P60" s="13">
        <f t="shared" si="9"/>
        <v>123.0592</v>
      </c>
      <c r="R60" s="151">
        <f>R$16</f>
        <v>4.3299999999999998E-2</v>
      </c>
      <c r="S60" s="24"/>
      <c r="T60" s="13">
        <f>($H60+$L60+$P60)*R60</f>
        <v>1171.1035775999999</v>
      </c>
      <c r="V60" s="151">
        <f>V$16</f>
        <v>3.9899999999999998E-2</v>
      </c>
      <c r="W60" s="24"/>
      <c r="X60" s="13">
        <f>($H60+$L60+$P60)*V60</f>
        <v>1079.1462528</v>
      </c>
    </row>
    <row r="61" spans="1:24">
      <c r="A61" s="17" t="s">
        <v>19</v>
      </c>
      <c r="C61" s="21"/>
      <c r="E61" s="216"/>
      <c r="F61" s="215"/>
      <c r="G61" s="215"/>
      <c r="H61" s="213"/>
      <c r="J61" s="25"/>
      <c r="K61" s="24"/>
      <c r="L61" s="13"/>
      <c r="N61" s="25"/>
      <c r="O61" s="24"/>
      <c r="P61" s="13"/>
      <c r="R61" s="25"/>
      <c r="S61" s="24"/>
      <c r="T61" s="13"/>
      <c r="V61" s="25"/>
      <c r="W61" s="24"/>
      <c r="X61" s="13"/>
    </row>
    <row r="62" spans="1:24">
      <c r="A62" s="26" t="s">
        <v>20</v>
      </c>
      <c r="B62" s="27"/>
      <c r="C62" s="21">
        <v>912816</v>
      </c>
      <c r="D62" s="217"/>
      <c r="E62" s="216">
        <v>8.8498000000000001</v>
      </c>
      <c r="F62" s="215" t="s">
        <v>16</v>
      </c>
      <c r="G62" s="215"/>
      <c r="H62" s="213">
        <v>80782</v>
      </c>
      <c r="I62" s="28"/>
      <c r="J62" s="151">
        <f>J$16</f>
        <v>6.4000000000000003E-3</v>
      </c>
      <c r="K62" s="24"/>
      <c r="L62" s="13">
        <f t="shared" ref="L62:L65" si="10">$H62*J62</f>
        <v>517.00480000000005</v>
      </c>
      <c r="M62" s="28"/>
      <c r="N62" s="151">
        <f>N$16</f>
        <v>4.5999999999999999E-3</v>
      </c>
      <c r="O62" s="24"/>
      <c r="P62" s="13">
        <f t="shared" ref="P62:P65" si="11">$H62*N62</f>
        <v>371.59719999999999</v>
      </c>
      <c r="Q62" s="28"/>
      <c r="R62" s="151">
        <f>R$16</f>
        <v>4.3299999999999998E-2</v>
      </c>
      <c r="S62" s="24"/>
      <c r="T62" s="13">
        <f>($H62+$L62+$P62)*R62</f>
        <v>3536.3370665999996</v>
      </c>
      <c r="U62" s="28"/>
      <c r="V62" s="151">
        <f>V$16</f>
        <v>3.9899999999999998E-2</v>
      </c>
      <c r="W62" s="24"/>
      <c r="X62" s="13">
        <f>($H62+$L62+$P62)*V62</f>
        <v>3258.6570197999999</v>
      </c>
    </row>
    <row r="63" spans="1:24">
      <c r="A63" s="26" t="s">
        <v>21</v>
      </c>
      <c r="B63" s="27"/>
      <c r="C63" s="21">
        <v>937823</v>
      </c>
      <c r="D63" s="217"/>
      <c r="E63" s="216">
        <v>10.7072</v>
      </c>
      <c r="F63" s="215" t="s">
        <v>16</v>
      </c>
      <c r="G63" s="215"/>
      <c r="H63" s="213">
        <v>100415</v>
      </c>
      <c r="I63" s="28"/>
      <c r="J63" s="151">
        <f>J$16</f>
        <v>6.4000000000000003E-3</v>
      </c>
      <c r="K63" s="24"/>
      <c r="L63" s="13">
        <f t="shared" si="10"/>
        <v>642.65600000000006</v>
      </c>
      <c r="M63" s="28"/>
      <c r="N63" s="151">
        <f>N$16</f>
        <v>4.5999999999999999E-3</v>
      </c>
      <c r="O63" s="24"/>
      <c r="P63" s="13">
        <f t="shared" si="11"/>
        <v>461.90899999999999</v>
      </c>
      <c r="Q63" s="28"/>
      <c r="R63" s="151">
        <f>R$16</f>
        <v>4.3299999999999998E-2</v>
      </c>
      <c r="S63" s="24"/>
      <c r="T63" s="13">
        <f>($H63+$L63+$P63)*R63</f>
        <v>4395.7971644999998</v>
      </c>
      <c r="U63" s="28"/>
      <c r="V63" s="151">
        <f>V$16</f>
        <v>3.9899999999999998E-2</v>
      </c>
      <c r="W63" s="24"/>
      <c r="X63" s="13">
        <f>($H63+$L63+$P63)*V63</f>
        <v>4050.6306434999997</v>
      </c>
    </row>
    <row r="64" spans="1:24">
      <c r="A64" s="17" t="s">
        <v>22</v>
      </c>
      <c r="C64" s="21">
        <v>121</v>
      </c>
      <c r="E64" s="166">
        <v>8</v>
      </c>
      <c r="F64" s="212"/>
      <c r="G64" s="212"/>
      <c r="H64" s="213">
        <v>968</v>
      </c>
      <c r="J64" s="151">
        <f>J$16</f>
        <v>6.4000000000000003E-3</v>
      </c>
      <c r="K64" s="19"/>
      <c r="L64" s="13">
        <f t="shared" si="10"/>
        <v>6.1952000000000007</v>
      </c>
      <c r="N64" s="151">
        <f>N$16</f>
        <v>4.5999999999999999E-3</v>
      </c>
      <c r="O64" s="19"/>
      <c r="P64" s="13">
        <f t="shared" si="11"/>
        <v>4.4527999999999999</v>
      </c>
      <c r="R64" s="151">
        <f>R$16</f>
        <v>4.3299999999999998E-2</v>
      </c>
      <c r="S64" s="19"/>
      <c r="T64" s="13">
        <f>($H64+$L64+$P64)*R64</f>
        <v>42.375458399999999</v>
      </c>
      <c r="V64" s="151">
        <f>V$16</f>
        <v>3.9899999999999998E-2</v>
      </c>
      <c r="W64" s="19"/>
      <c r="X64" s="13">
        <f>($H64+$L64+$P64)*V64</f>
        <v>39.0480552</v>
      </c>
    </row>
    <row r="65" spans="1:24" s="22" customFormat="1">
      <c r="A65" s="17" t="s">
        <v>23</v>
      </c>
      <c r="B65" s="8"/>
      <c r="C65" s="21">
        <v>0</v>
      </c>
      <c r="D65" s="55"/>
      <c r="E65" s="166">
        <v>16</v>
      </c>
      <c r="F65" s="212"/>
      <c r="G65" s="212"/>
      <c r="H65" s="213">
        <v>0</v>
      </c>
      <c r="I65" s="9"/>
      <c r="J65" s="151">
        <f>J$16</f>
        <v>6.4000000000000003E-3</v>
      </c>
      <c r="K65" s="41"/>
      <c r="L65" s="13">
        <f t="shared" si="10"/>
        <v>0</v>
      </c>
      <c r="M65" s="9"/>
      <c r="N65" s="151">
        <f>N$16</f>
        <v>4.5999999999999999E-3</v>
      </c>
      <c r="O65" s="41"/>
      <c r="P65" s="13">
        <f t="shared" si="11"/>
        <v>0</v>
      </c>
      <c r="Q65" s="9"/>
      <c r="R65" s="151">
        <f>R$16</f>
        <v>4.3299999999999998E-2</v>
      </c>
      <c r="S65" s="41"/>
      <c r="T65" s="13">
        <f>($H65+$L65+$P65)*R65</f>
        <v>0</v>
      </c>
      <c r="U65" s="9"/>
      <c r="V65" s="151">
        <f>V$16</f>
        <v>3.9899999999999998E-2</v>
      </c>
      <c r="W65" s="41"/>
      <c r="X65" s="13">
        <f>($H65+$L65+$P65)*V65</f>
        <v>0</v>
      </c>
    </row>
    <row r="66" spans="1:24" s="22" customFormat="1">
      <c r="A66" s="17" t="s">
        <v>24</v>
      </c>
      <c r="B66" s="8"/>
      <c r="C66" s="21">
        <v>0</v>
      </c>
      <c r="D66" s="55"/>
      <c r="E66" s="166">
        <v>96</v>
      </c>
      <c r="F66" s="212"/>
      <c r="G66" s="212"/>
      <c r="H66" s="213">
        <v>0</v>
      </c>
      <c r="I66" s="9"/>
      <c r="J66" s="18"/>
      <c r="K66" s="41"/>
      <c r="L66" s="13"/>
      <c r="M66" s="9"/>
      <c r="N66" s="18"/>
      <c r="O66" s="41"/>
      <c r="P66" s="13"/>
      <c r="Q66" s="9"/>
      <c r="R66" s="18"/>
      <c r="S66" s="41"/>
      <c r="T66" s="13"/>
      <c r="U66" s="9"/>
      <c r="V66" s="18"/>
      <c r="W66" s="41"/>
      <c r="X66" s="13"/>
    </row>
    <row r="67" spans="1:24" s="22" customFormat="1">
      <c r="A67" s="34" t="s">
        <v>25</v>
      </c>
      <c r="B67" s="9"/>
      <c r="C67" s="21">
        <v>428</v>
      </c>
      <c r="D67" s="55"/>
      <c r="E67" s="224"/>
      <c r="F67" s="215"/>
      <c r="G67" s="215"/>
      <c r="H67" s="219"/>
      <c r="I67" s="9"/>
      <c r="J67" s="151">
        <f>J$16</f>
        <v>6.4000000000000003E-3</v>
      </c>
      <c r="K67" s="24"/>
      <c r="L67" s="13">
        <f>$H67*J67</f>
        <v>0</v>
      </c>
      <c r="M67" s="9"/>
      <c r="N67" s="151">
        <f>N$16</f>
        <v>4.5999999999999999E-3</v>
      </c>
      <c r="O67" s="24"/>
      <c r="P67" s="13">
        <f>$H67*N67</f>
        <v>0</v>
      </c>
      <c r="Q67" s="9"/>
      <c r="R67" s="151">
        <f>R$16</f>
        <v>4.3299999999999998E-2</v>
      </c>
      <c r="S67" s="24"/>
      <c r="T67" s="13">
        <f>($H67+$L67+$P67)*R67</f>
        <v>0</v>
      </c>
      <c r="U67" s="9"/>
      <c r="V67" s="151">
        <f>V$16</f>
        <v>3.9899999999999998E-2</v>
      </c>
      <c r="W67" s="24"/>
      <c r="X67" s="13">
        <f>($H67+$L67+$P67)*V67</f>
        <v>0</v>
      </c>
    </row>
    <row r="68" spans="1:24">
      <c r="A68" s="34" t="s">
        <v>26</v>
      </c>
      <c r="B68" s="9"/>
      <c r="C68" s="21">
        <v>118</v>
      </c>
      <c r="E68" s="224"/>
      <c r="F68" s="215"/>
      <c r="G68" s="215"/>
      <c r="H68" s="213"/>
      <c r="J68" s="44"/>
      <c r="K68" s="24"/>
      <c r="L68" s="13"/>
      <c r="N68" s="44"/>
      <c r="O68" s="24"/>
      <c r="P68" s="13"/>
      <c r="R68" s="44"/>
      <c r="S68" s="24"/>
      <c r="T68" s="13"/>
      <c r="V68" s="44"/>
      <c r="W68" s="24"/>
      <c r="X68" s="13"/>
    </row>
    <row r="69" spans="1:24">
      <c r="A69" s="34" t="s">
        <v>27</v>
      </c>
      <c r="C69" s="21">
        <v>310</v>
      </c>
      <c r="E69" s="224"/>
      <c r="F69" s="215"/>
      <c r="G69" s="215"/>
      <c r="H69" s="213"/>
      <c r="J69" s="44"/>
      <c r="K69" s="24"/>
      <c r="L69" s="13"/>
      <c r="N69" s="44"/>
      <c r="O69" s="24"/>
      <c r="P69" s="13"/>
      <c r="R69" s="44"/>
      <c r="S69" s="24"/>
      <c r="T69" s="13"/>
      <c r="V69" s="44"/>
      <c r="W69" s="24"/>
      <c r="X69" s="13"/>
    </row>
    <row r="70" spans="1:24">
      <c r="A70" s="17" t="s">
        <v>28</v>
      </c>
      <c r="C70" s="35">
        <v>0</v>
      </c>
      <c r="H70" s="220">
        <v>0</v>
      </c>
      <c r="L70" s="37"/>
      <c r="P70" s="37"/>
      <c r="T70" s="37"/>
      <c r="X70" s="37"/>
    </row>
    <row r="71" spans="1:24" ht="16.5" thickBot="1">
      <c r="A71" s="17" t="s">
        <v>29</v>
      </c>
      <c r="C71" s="221">
        <v>3185670.6103628851</v>
      </c>
      <c r="E71" s="226"/>
      <c r="H71" s="227">
        <v>351489</v>
      </c>
      <c r="J71" s="47"/>
      <c r="L71" s="48">
        <f>SUM(L53:L70)</f>
        <v>2048.1984000000002</v>
      </c>
      <c r="N71" s="47"/>
      <c r="P71" s="48">
        <f>SUM(P53:P70)</f>
        <v>1472.1426000000001</v>
      </c>
      <c r="R71" s="47"/>
      <c r="T71" s="48">
        <f>SUM(T53:T70)</f>
        <v>14009.7730653</v>
      </c>
      <c r="V71" s="47"/>
      <c r="X71" s="48">
        <f>SUM(X53:X70)</f>
        <v>12909.6985059</v>
      </c>
    </row>
    <row r="72" spans="1:24" ht="16.5" thickTop="1">
      <c r="C72" s="54"/>
    </row>
    <row r="73" spans="1:24">
      <c r="A73" s="16" t="s">
        <v>34</v>
      </c>
      <c r="C73" s="54"/>
    </row>
    <row r="74" spans="1:24">
      <c r="A74" s="17" t="s">
        <v>35</v>
      </c>
      <c r="C74" s="54">
        <v>156864.35241617297</v>
      </c>
      <c r="E74" s="166">
        <v>54</v>
      </c>
      <c r="F74" s="212"/>
      <c r="G74" s="212"/>
      <c r="H74" s="213">
        <v>8470675</v>
      </c>
      <c r="J74" s="18"/>
      <c r="K74" s="19"/>
      <c r="L74" s="13"/>
      <c r="N74" s="18"/>
      <c r="O74" s="19"/>
      <c r="P74" s="13"/>
      <c r="R74" s="18"/>
      <c r="S74" s="19"/>
      <c r="T74" s="13"/>
      <c r="V74" s="18"/>
      <c r="W74" s="19"/>
      <c r="X74" s="13"/>
    </row>
    <row r="75" spans="1:24">
      <c r="A75" s="17" t="s">
        <v>36</v>
      </c>
      <c r="C75" s="54">
        <v>7568683</v>
      </c>
      <c r="E75" s="166"/>
      <c r="F75" s="212"/>
      <c r="G75" s="212"/>
      <c r="H75" s="213"/>
      <c r="J75" s="18"/>
      <c r="K75" s="19"/>
      <c r="L75" s="13"/>
      <c r="N75" s="18"/>
      <c r="O75" s="19"/>
      <c r="P75" s="13"/>
      <c r="R75" s="18"/>
      <c r="S75" s="19"/>
      <c r="T75" s="13"/>
      <c r="V75" s="18"/>
      <c r="W75" s="19"/>
      <c r="X75" s="13"/>
    </row>
    <row r="76" spans="1:24">
      <c r="A76" s="17" t="s">
        <v>37</v>
      </c>
      <c r="C76" s="54">
        <v>9009450</v>
      </c>
      <c r="E76" s="166"/>
      <c r="F76" s="212"/>
      <c r="G76" s="212"/>
      <c r="H76" s="213"/>
      <c r="J76" s="18"/>
      <c r="K76" s="19"/>
      <c r="L76" s="13"/>
      <c r="N76" s="18"/>
      <c r="O76" s="19"/>
      <c r="P76" s="13"/>
      <c r="R76" s="18"/>
      <c r="S76" s="19"/>
      <c r="T76" s="13"/>
      <c r="V76" s="18"/>
      <c r="W76" s="19"/>
      <c r="X76" s="13"/>
    </row>
    <row r="77" spans="1:24">
      <c r="A77" s="17" t="s">
        <v>38</v>
      </c>
      <c r="C77" s="54">
        <v>679134</v>
      </c>
      <c r="E77" s="166">
        <v>-0.96</v>
      </c>
      <c r="F77" s="212"/>
      <c r="G77" s="212"/>
      <c r="H77" s="213">
        <v>-651969</v>
      </c>
      <c r="J77" s="18"/>
      <c r="K77" s="19"/>
      <c r="L77" s="13"/>
      <c r="N77" s="18"/>
      <c r="O77" s="19"/>
      <c r="P77" s="13"/>
      <c r="R77" s="162">
        <v>4.07E-2</v>
      </c>
      <c r="S77" s="24"/>
      <c r="T77" s="13">
        <f>($H77+$L77+$P77)*R77</f>
        <v>-26535.138299999999</v>
      </c>
      <c r="V77" s="162">
        <f>ROUND(1/($H$86-$H$74+$L$86+$P$86+$H$101-$H$89+$L$101+$P$101)*('RateSpread-1'!P20+'RateSpread-1'!P22)*1000,4)</f>
        <v>3.7400000000000003E-2</v>
      </c>
      <c r="W77" s="24"/>
      <c r="X77" s="13">
        <f>($H77+$L77+$P77)*V77</f>
        <v>-24383.640600000002</v>
      </c>
    </row>
    <row r="78" spans="1:24" s="51" customFormat="1">
      <c r="A78" s="26" t="s">
        <v>39</v>
      </c>
      <c r="B78" s="27"/>
      <c r="C78" s="57">
        <v>16578133</v>
      </c>
      <c r="D78" s="217"/>
      <c r="E78" s="228">
        <v>4.04</v>
      </c>
      <c r="F78" s="229"/>
      <c r="G78" s="229"/>
      <c r="H78" s="230">
        <v>66975657</v>
      </c>
      <c r="I78" s="28"/>
      <c r="J78" s="49"/>
      <c r="K78" s="50"/>
      <c r="L78" s="29"/>
      <c r="M78" s="28"/>
      <c r="N78" s="49"/>
      <c r="O78" s="50"/>
      <c r="P78" s="29"/>
      <c r="Q78" s="28"/>
      <c r="R78" s="151">
        <f>R$77</f>
        <v>4.07E-2</v>
      </c>
      <c r="S78" s="24"/>
      <c r="T78" s="13">
        <f>($H78+$L78+$P78)*R78</f>
        <v>2725909.2398999999</v>
      </c>
      <c r="U78" s="28"/>
      <c r="V78" s="151">
        <f>V$77</f>
        <v>3.7400000000000003E-2</v>
      </c>
      <c r="W78" s="24"/>
      <c r="X78" s="13">
        <f>($H78+$L78+$P78)*V78</f>
        <v>2504889.5718</v>
      </c>
    </row>
    <row r="79" spans="1:24" s="51" customFormat="1">
      <c r="A79" s="26" t="s">
        <v>36</v>
      </c>
      <c r="B79" s="27"/>
      <c r="C79" s="57">
        <v>7568683</v>
      </c>
      <c r="D79" s="217"/>
      <c r="E79" s="228">
        <v>14.62</v>
      </c>
      <c r="F79" s="229"/>
      <c r="G79" s="229"/>
      <c r="H79" s="230">
        <v>110654145</v>
      </c>
      <c r="I79" s="28"/>
      <c r="J79" s="162">
        <v>8.5000000000000006E-3</v>
      </c>
      <c r="K79" s="24"/>
      <c r="L79" s="13">
        <f t="shared" ref="L79:L80" si="12">$H79*J79</f>
        <v>940560.23250000004</v>
      </c>
      <c r="M79" s="28"/>
      <c r="N79" s="162">
        <v>3.7000000000000002E-3</v>
      </c>
      <c r="O79" s="24"/>
      <c r="P79" s="13">
        <f t="shared" ref="P79:P80" si="13">$H79*N79</f>
        <v>409420.33650000003</v>
      </c>
      <c r="Q79" s="28"/>
      <c r="R79" s="151">
        <f>R$77</f>
        <v>4.07E-2</v>
      </c>
      <c r="S79" s="24"/>
      <c r="T79" s="13">
        <f>($H79+$L79+$P79)*R79</f>
        <v>4558567.9106582999</v>
      </c>
      <c r="U79" s="28"/>
      <c r="V79" s="151">
        <f>V$77</f>
        <v>3.7400000000000003E-2</v>
      </c>
      <c r="W79" s="24"/>
      <c r="X79" s="13">
        <f>($H79+$L79+$P79)*V79</f>
        <v>4188954.2962806006</v>
      </c>
    </row>
    <row r="80" spans="1:24" s="51" customFormat="1">
      <c r="A80" s="26" t="s">
        <v>37</v>
      </c>
      <c r="B80" s="27"/>
      <c r="C80" s="57">
        <v>9009450</v>
      </c>
      <c r="D80" s="217"/>
      <c r="E80" s="228">
        <v>10.91</v>
      </c>
      <c r="F80" s="229"/>
      <c r="G80" s="229"/>
      <c r="H80" s="230">
        <v>98293100</v>
      </c>
      <c r="I80" s="28"/>
      <c r="J80" s="151">
        <f>J$79</f>
        <v>8.5000000000000006E-3</v>
      </c>
      <c r="K80" s="24"/>
      <c r="L80" s="13">
        <f t="shared" si="12"/>
        <v>835491.35000000009</v>
      </c>
      <c r="M80" s="28"/>
      <c r="N80" s="151">
        <f>N$79</f>
        <v>3.7000000000000002E-3</v>
      </c>
      <c r="O80" s="24"/>
      <c r="P80" s="13">
        <f t="shared" si="13"/>
        <v>363684.47000000003</v>
      </c>
      <c r="Q80" s="28"/>
      <c r="R80" s="151">
        <f>R$77</f>
        <v>4.07E-2</v>
      </c>
      <c r="S80" s="24"/>
      <c r="T80" s="13">
        <f>($H80+$L80+$P80)*R80</f>
        <v>4049335.6258739997</v>
      </c>
      <c r="U80" s="28"/>
      <c r="V80" s="151">
        <f>V$77</f>
        <v>3.7400000000000003E-2</v>
      </c>
      <c r="W80" s="24"/>
      <c r="X80" s="13">
        <f>($H80+$L80+$P80)*V80</f>
        <v>3721011.1156680002</v>
      </c>
    </row>
    <row r="81" spans="1:24">
      <c r="A81" s="17" t="s">
        <v>40</v>
      </c>
      <c r="C81" s="54">
        <v>5783806261.2344303</v>
      </c>
      <c r="E81" s="225"/>
      <c r="F81" s="215"/>
      <c r="G81" s="215"/>
      <c r="H81" s="213"/>
      <c r="J81" s="45"/>
      <c r="K81" s="24"/>
      <c r="L81" s="13"/>
      <c r="N81" s="45"/>
      <c r="O81" s="24"/>
      <c r="P81" s="13"/>
      <c r="R81" s="45"/>
      <c r="S81" s="24"/>
      <c r="T81" s="13"/>
      <c r="V81" s="45"/>
      <c r="W81" s="24"/>
      <c r="X81" s="13"/>
    </row>
    <row r="82" spans="1:24">
      <c r="A82" s="17" t="s">
        <v>41</v>
      </c>
      <c r="C82" s="54">
        <v>2573577152.0915084</v>
      </c>
      <c r="E82" s="231">
        <v>3.8127</v>
      </c>
      <c r="F82" s="215" t="s">
        <v>16</v>
      </c>
      <c r="G82" s="215"/>
      <c r="H82" s="213">
        <v>98122776</v>
      </c>
      <c r="J82" s="151">
        <f>J$79</f>
        <v>8.5000000000000006E-3</v>
      </c>
      <c r="K82" s="24"/>
      <c r="L82" s="13">
        <f t="shared" ref="L82:L83" si="14">$H82*J82</f>
        <v>834043.59600000002</v>
      </c>
      <c r="N82" s="151">
        <f>N$79</f>
        <v>3.7000000000000002E-3</v>
      </c>
      <c r="O82" s="24"/>
      <c r="P82" s="13">
        <f t="shared" ref="P82:P83" si="15">$H82*N82</f>
        <v>363054.27120000002</v>
      </c>
      <c r="R82" s="151">
        <f>R$77</f>
        <v>4.07E-2</v>
      </c>
      <c r="S82" s="24"/>
      <c r="T82" s="13">
        <f>($H82+$L82+$P82)*R82</f>
        <v>4042318.8663950399</v>
      </c>
      <c r="V82" s="151">
        <f>V$77</f>
        <v>3.7400000000000003E-2</v>
      </c>
      <c r="W82" s="24"/>
      <c r="X82" s="13">
        <f>($H82+$L82+$P82)*V82</f>
        <v>3714563.2826332804</v>
      </c>
    </row>
    <row r="83" spans="1:24">
      <c r="A83" s="17" t="s">
        <v>42</v>
      </c>
      <c r="C83" s="54">
        <v>3210229109.1429219</v>
      </c>
      <c r="E83" s="231">
        <v>3.5143</v>
      </c>
      <c r="F83" s="215" t="s">
        <v>16</v>
      </c>
      <c r="G83" s="215"/>
      <c r="H83" s="213">
        <v>112817082</v>
      </c>
      <c r="J83" s="151">
        <f>J$79</f>
        <v>8.5000000000000006E-3</v>
      </c>
      <c r="K83" s="24"/>
      <c r="L83" s="13">
        <f t="shared" si="14"/>
        <v>958945.19700000004</v>
      </c>
      <c r="N83" s="151">
        <f>N$79</f>
        <v>3.7000000000000002E-3</v>
      </c>
      <c r="O83" s="24"/>
      <c r="P83" s="13">
        <f t="shared" si="15"/>
        <v>417423.2034</v>
      </c>
      <c r="R83" s="151">
        <f>R$77</f>
        <v>4.07E-2</v>
      </c>
      <c r="S83" s="24"/>
      <c r="T83" s="13">
        <f>($H83+$L83+$P83)*R83</f>
        <v>4647673.4312962797</v>
      </c>
      <c r="V83" s="151">
        <f>V$77</f>
        <v>3.7400000000000003E-2</v>
      </c>
      <c r="W83" s="24"/>
      <c r="X83" s="13">
        <f>($H83+$L83+$P83)*V83</f>
        <v>4270835.0449749604</v>
      </c>
    </row>
    <row r="84" spans="1:24">
      <c r="A84" s="17" t="s">
        <v>43</v>
      </c>
      <c r="C84" s="54">
        <v>0</v>
      </c>
      <c r="E84" s="166">
        <v>648</v>
      </c>
      <c r="F84" s="212"/>
      <c r="G84" s="212"/>
      <c r="H84" s="213">
        <v>0</v>
      </c>
      <c r="J84" s="18"/>
      <c r="K84" s="41"/>
      <c r="L84" s="13"/>
      <c r="N84" s="18"/>
      <c r="O84" s="41"/>
      <c r="P84" s="13"/>
      <c r="R84" s="18"/>
      <c r="S84" s="41"/>
      <c r="T84" s="13"/>
      <c r="V84" s="18"/>
      <c r="W84" s="41"/>
      <c r="X84" s="13"/>
    </row>
    <row r="85" spans="1:24">
      <c r="A85" s="17" t="s">
        <v>28</v>
      </c>
      <c r="C85" s="35">
        <v>0</v>
      </c>
      <c r="H85" s="220">
        <v>0</v>
      </c>
      <c r="L85" s="37"/>
      <c r="P85" s="37"/>
      <c r="T85" s="37"/>
      <c r="X85" s="37"/>
    </row>
    <row r="86" spans="1:24" ht="16.5" thickBot="1">
      <c r="A86" s="17" t="s">
        <v>29</v>
      </c>
      <c r="C86" s="93">
        <v>5783806261.2344303</v>
      </c>
      <c r="E86" s="226"/>
      <c r="H86" s="227">
        <v>494681466</v>
      </c>
      <c r="J86" s="47"/>
      <c r="L86" s="48">
        <f>SUM(L74:L85)</f>
        <v>3569040.3755000001</v>
      </c>
      <c r="N86" s="47"/>
      <c r="P86" s="48">
        <f>SUM(P74:P85)</f>
        <v>1553582.2811</v>
      </c>
      <c r="R86" s="47"/>
      <c r="T86" s="48">
        <f>SUM(T74:T85)</f>
        <v>19997269.935823619</v>
      </c>
      <c r="V86" s="47"/>
      <c r="X86" s="48">
        <f>SUM(X74:X85)</f>
        <v>18375869.670756839</v>
      </c>
    </row>
    <row r="87" spans="1:24" ht="16.5" thickTop="1"/>
    <row r="88" spans="1:24">
      <c r="A88" s="16" t="s">
        <v>46</v>
      </c>
      <c r="C88" s="54"/>
      <c r="D88" s="218"/>
      <c r="I88" s="53"/>
      <c r="M88" s="53"/>
      <c r="Q88" s="53"/>
      <c r="U88" s="53"/>
    </row>
    <row r="89" spans="1:24">
      <c r="A89" s="17" t="s">
        <v>35</v>
      </c>
      <c r="C89" s="54">
        <v>438</v>
      </c>
      <c r="E89" s="166">
        <v>54</v>
      </c>
      <c r="F89" s="212"/>
      <c r="G89" s="212"/>
      <c r="H89" s="213">
        <v>23652</v>
      </c>
      <c r="J89" s="18"/>
      <c r="K89" s="19"/>
      <c r="L89" s="13"/>
      <c r="N89" s="18"/>
      <c r="O89" s="19"/>
      <c r="P89" s="13"/>
      <c r="R89" s="18"/>
      <c r="S89" s="19"/>
      <c r="T89" s="13"/>
      <c r="V89" s="18"/>
      <c r="W89" s="19"/>
      <c r="X89" s="13"/>
    </row>
    <row r="90" spans="1:24">
      <c r="A90" s="17" t="s">
        <v>47</v>
      </c>
      <c r="C90" s="54">
        <v>6224</v>
      </c>
      <c r="E90" s="166"/>
      <c r="F90" s="212"/>
      <c r="G90" s="212"/>
      <c r="H90" s="213"/>
      <c r="J90" s="18"/>
      <c r="K90" s="19"/>
      <c r="L90" s="13"/>
      <c r="N90" s="18"/>
      <c r="O90" s="19"/>
      <c r="P90" s="13"/>
      <c r="R90" s="18"/>
      <c r="S90" s="19"/>
      <c r="T90" s="13"/>
      <c r="V90" s="18"/>
      <c r="W90" s="19"/>
      <c r="X90" s="13"/>
    </row>
    <row r="91" spans="1:24">
      <c r="A91" s="17" t="s">
        <v>48</v>
      </c>
      <c r="C91" s="54">
        <v>4264</v>
      </c>
      <c r="E91" s="166"/>
      <c r="F91" s="212"/>
      <c r="G91" s="212"/>
      <c r="H91" s="213"/>
      <c r="J91" s="18"/>
      <c r="K91" s="19"/>
      <c r="L91" s="13"/>
      <c r="N91" s="18"/>
      <c r="O91" s="19"/>
      <c r="P91" s="13"/>
      <c r="R91" s="18"/>
      <c r="S91" s="19"/>
      <c r="T91" s="13"/>
      <c r="V91" s="18"/>
      <c r="W91" s="19"/>
      <c r="X91" s="13"/>
    </row>
    <row r="92" spans="1:24">
      <c r="A92" s="17" t="s">
        <v>38</v>
      </c>
      <c r="C92" s="54">
        <v>0</v>
      </c>
      <c r="E92" s="166">
        <v>-0.96</v>
      </c>
      <c r="F92" s="212"/>
      <c r="G92" s="212"/>
      <c r="H92" s="213">
        <v>0</v>
      </c>
      <c r="J92" s="18"/>
      <c r="K92" s="19"/>
      <c r="L92" s="13"/>
      <c r="N92" s="18"/>
      <c r="O92" s="19"/>
      <c r="P92" s="13"/>
      <c r="R92" s="151">
        <f>R$77</f>
        <v>4.07E-2</v>
      </c>
      <c r="S92" s="24"/>
      <c r="T92" s="13">
        <f>($H92+$L92+$P92)*R92</f>
        <v>0</v>
      </c>
      <c r="V92" s="151">
        <f>V$77</f>
        <v>3.7400000000000003E-2</v>
      </c>
      <c r="W92" s="24"/>
      <c r="X92" s="13">
        <f>($H92+$L92+$P92)*V92</f>
        <v>0</v>
      </c>
    </row>
    <row r="93" spans="1:24" s="51" customFormat="1">
      <c r="A93" s="26" t="s">
        <v>39</v>
      </c>
      <c r="B93" s="27"/>
      <c r="C93" s="57">
        <v>10488</v>
      </c>
      <c r="D93" s="217"/>
      <c r="E93" s="228">
        <v>4.04</v>
      </c>
      <c r="F93" s="229"/>
      <c r="G93" s="229"/>
      <c r="H93" s="230">
        <v>42372</v>
      </c>
      <c r="I93" s="28"/>
      <c r="J93" s="49"/>
      <c r="K93" s="50"/>
      <c r="L93" s="29"/>
      <c r="M93" s="28"/>
      <c r="N93" s="49"/>
      <c r="O93" s="50"/>
      <c r="P93" s="29"/>
      <c r="Q93" s="28"/>
      <c r="R93" s="151">
        <f>R$77</f>
        <v>4.07E-2</v>
      </c>
      <c r="S93" s="24"/>
      <c r="T93" s="13">
        <f>($H93+$L93+$P93)*R93</f>
        <v>1724.5404000000001</v>
      </c>
      <c r="U93" s="28"/>
      <c r="V93" s="151">
        <f>V$77</f>
        <v>3.7400000000000003E-2</v>
      </c>
      <c r="W93" s="24"/>
      <c r="X93" s="13">
        <f>($H93+$L93+$P93)*V93</f>
        <v>1584.7128</v>
      </c>
    </row>
    <row r="94" spans="1:24" s="51" customFormat="1">
      <c r="A94" s="26" t="s">
        <v>47</v>
      </c>
      <c r="B94" s="27"/>
      <c r="C94" s="57">
        <v>6224</v>
      </c>
      <c r="D94" s="217"/>
      <c r="E94" s="228">
        <v>14.62</v>
      </c>
      <c r="F94" s="229"/>
      <c r="G94" s="229"/>
      <c r="H94" s="230">
        <v>90995</v>
      </c>
      <c r="I94" s="28"/>
      <c r="J94" s="151">
        <f>J$79</f>
        <v>8.5000000000000006E-3</v>
      </c>
      <c r="K94" s="24"/>
      <c r="L94" s="13">
        <f t="shared" ref="L94:L95" si="16">$H94*J94</f>
        <v>773.4575000000001</v>
      </c>
      <c r="M94" s="28"/>
      <c r="N94" s="151">
        <f>N$79</f>
        <v>3.7000000000000002E-3</v>
      </c>
      <c r="O94" s="24"/>
      <c r="P94" s="13">
        <f t="shared" ref="P94:P95" si="17">$H94*N94</f>
        <v>336.68150000000003</v>
      </c>
      <c r="Q94" s="28"/>
      <c r="R94" s="151">
        <f>R$77</f>
        <v>4.07E-2</v>
      </c>
      <c r="S94" s="24"/>
      <c r="T94" s="13">
        <f>($H94+$L94+$P94)*R94</f>
        <v>3748.6791573000005</v>
      </c>
      <c r="U94" s="28"/>
      <c r="V94" s="151">
        <f>V$77</f>
        <v>3.7400000000000003E-2</v>
      </c>
      <c r="W94" s="24"/>
      <c r="X94" s="13">
        <f>($H94+$L94+$P94)*V94</f>
        <v>3444.7321986000006</v>
      </c>
    </row>
    <row r="95" spans="1:24" s="51" customFormat="1">
      <c r="A95" s="26" t="s">
        <v>48</v>
      </c>
      <c r="B95" s="27"/>
      <c r="C95" s="57">
        <v>4264</v>
      </c>
      <c r="D95" s="217"/>
      <c r="E95" s="228">
        <v>10.91</v>
      </c>
      <c r="F95" s="229"/>
      <c r="G95" s="229"/>
      <c r="H95" s="230">
        <v>46520</v>
      </c>
      <c r="I95" s="28"/>
      <c r="J95" s="151">
        <f>J$79</f>
        <v>8.5000000000000006E-3</v>
      </c>
      <c r="K95" s="24"/>
      <c r="L95" s="13">
        <f t="shared" si="16"/>
        <v>395.42</v>
      </c>
      <c r="M95" s="28"/>
      <c r="N95" s="151">
        <f>N$79</f>
        <v>3.7000000000000002E-3</v>
      </c>
      <c r="O95" s="24"/>
      <c r="P95" s="13">
        <f t="shared" si="17"/>
        <v>172.124</v>
      </c>
      <c r="Q95" s="28"/>
      <c r="R95" s="151">
        <f>R$77</f>
        <v>4.07E-2</v>
      </c>
      <c r="S95" s="24"/>
      <c r="T95" s="13">
        <f>($H95+$L95+$P95)*R95</f>
        <v>1916.4630408</v>
      </c>
      <c r="U95" s="28"/>
      <c r="V95" s="151">
        <f>V$77</f>
        <v>3.7400000000000003E-2</v>
      </c>
      <c r="W95" s="24"/>
      <c r="X95" s="13">
        <f>($H95+$L95+$P95)*V95</f>
        <v>1761.0741456000003</v>
      </c>
    </row>
    <row r="96" spans="1:24">
      <c r="A96" s="17" t="s">
        <v>40</v>
      </c>
      <c r="C96" s="54">
        <v>3907497</v>
      </c>
      <c r="E96" s="231"/>
      <c r="F96" s="215"/>
      <c r="G96" s="215"/>
      <c r="H96" s="213"/>
      <c r="J96" s="45"/>
      <c r="K96" s="24"/>
      <c r="L96" s="13"/>
      <c r="N96" s="45"/>
      <c r="O96" s="24"/>
      <c r="P96" s="13"/>
      <c r="R96" s="45"/>
      <c r="S96" s="24"/>
      <c r="T96" s="13"/>
      <c r="V96" s="45"/>
      <c r="W96" s="24"/>
      <c r="X96" s="13"/>
    </row>
    <row r="97" spans="1:24">
      <c r="A97" s="17" t="s">
        <v>44</v>
      </c>
      <c r="C97" s="54">
        <v>1628123.75</v>
      </c>
      <c r="E97" s="231">
        <v>3.8127</v>
      </c>
      <c r="F97" s="215" t="s">
        <v>16</v>
      </c>
      <c r="G97" s="215"/>
      <c r="H97" s="213">
        <v>62075</v>
      </c>
      <c r="J97" s="151">
        <f>J$79</f>
        <v>8.5000000000000006E-3</v>
      </c>
      <c r="K97" s="24"/>
      <c r="L97" s="13">
        <f t="shared" ref="L97:L98" si="18">$H97*J97</f>
        <v>527.63750000000005</v>
      </c>
      <c r="N97" s="151">
        <f>N$79</f>
        <v>3.7000000000000002E-3</v>
      </c>
      <c r="O97" s="24"/>
      <c r="P97" s="13">
        <f t="shared" ref="P97:P98" si="19">$H97*N97</f>
        <v>229.67750000000001</v>
      </c>
      <c r="R97" s="151">
        <f>R$77</f>
        <v>4.07E-2</v>
      </c>
      <c r="S97" s="24"/>
      <c r="T97" s="13">
        <f>($H97+$L97+$P97)*R97</f>
        <v>2557.2752204999997</v>
      </c>
      <c r="V97" s="151">
        <f>V$77</f>
        <v>3.7400000000000003E-2</v>
      </c>
      <c r="W97" s="24"/>
      <c r="X97" s="13">
        <f>($H97+$L97+$P97)*V97</f>
        <v>2349.9285810000001</v>
      </c>
    </row>
    <row r="98" spans="1:24">
      <c r="A98" s="17" t="s">
        <v>45</v>
      </c>
      <c r="C98" s="54">
        <v>2279373.25</v>
      </c>
      <c r="E98" s="231">
        <v>3.5143</v>
      </c>
      <c r="F98" s="215" t="s">
        <v>16</v>
      </c>
      <c r="G98" s="215"/>
      <c r="H98" s="213">
        <v>80104</v>
      </c>
      <c r="J98" s="151">
        <f>J$79</f>
        <v>8.5000000000000006E-3</v>
      </c>
      <c r="K98" s="24"/>
      <c r="L98" s="13">
        <f t="shared" si="18"/>
        <v>680.88400000000001</v>
      </c>
      <c r="N98" s="151">
        <f>N$79</f>
        <v>3.7000000000000002E-3</v>
      </c>
      <c r="O98" s="24"/>
      <c r="P98" s="13">
        <f t="shared" si="19"/>
        <v>296.38480000000004</v>
      </c>
      <c r="R98" s="151">
        <f>R$77</f>
        <v>4.07E-2</v>
      </c>
      <c r="S98" s="24"/>
      <c r="T98" s="13">
        <f>($H98+$L98+$P98)*R98</f>
        <v>3300.0076401600004</v>
      </c>
      <c r="V98" s="151">
        <f>V$77</f>
        <v>3.7400000000000003E-2</v>
      </c>
      <c r="W98" s="24"/>
      <c r="X98" s="13">
        <f>($H98+$L98+$P98)*V98</f>
        <v>3032.4394531200005</v>
      </c>
    </row>
    <row r="99" spans="1:24">
      <c r="A99" s="17" t="s">
        <v>43</v>
      </c>
      <c r="C99" s="54">
        <v>0</v>
      </c>
      <c r="D99" s="218"/>
      <c r="E99" s="166">
        <v>648</v>
      </c>
      <c r="F99" s="212"/>
      <c r="G99" s="212"/>
      <c r="H99" s="213">
        <v>0</v>
      </c>
      <c r="J99" s="18"/>
      <c r="K99" s="41"/>
      <c r="L99" s="13"/>
      <c r="N99" s="18"/>
      <c r="O99" s="41"/>
      <c r="P99" s="13"/>
      <c r="R99" s="18"/>
      <c r="S99" s="41"/>
      <c r="T99" s="13"/>
      <c r="V99" s="18"/>
      <c r="W99" s="41"/>
      <c r="X99" s="13"/>
    </row>
    <row r="100" spans="1:24">
      <c r="A100" s="17" t="s">
        <v>28</v>
      </c>
      <c r="C100" s="35">
        <v>0</v>
      </c>
      <c r="H100" s="220">
        <v>0</v>
      </c>
      <c r="L100" s="37"/>
      <c r="P100" s="37"/>
      <c r="T100" s="37"/>
      <c r="X100" s="37"/>
    </row>
    <row r="101" spans="1:24" ht="16.5" thickBot="1">
      <c r="A101" s="17" t="s">
        <v>29</v>
      </c>
      <c r="C101" s="93">
        <v>3907497</v>
      </c>
      <c r="E101" s="226"/>
      <c r="H101" s="227">
        <v>345718</v>
      </c>
      <c r="J101" s="47"/>
      <c r="L101" s="48">
        <f>SUM(L89:L100)</f>
        <v>2377.3990000000003</v>
      </c>
      <c r="N101" s="47"/>
      <c r="P101" s="48">
        <f>SUM(P89:P100)</f>
        <v>1034.8678</v>
      </c>
      <c r="R101" s="47"/>
      <c r="T101" s="48">
        <f>SUM(T89:T100)</f>
        <v>13246.96545876</v>
      </c>
      <c r="V101" s="47"/>
      <c r="X101" s="48">
        <f>SUM(X89:X100)</f>
        <v>12172.887178320001</v>
      </c>
    </row>
    <row r="102" spans="1:24" ht="16.5" thickTop="1">
      <c r="C102" s="54"/>
    </row>
    <row r="103" spans="1:24">
      <c r="A103" s="16" t="s">
        <v>49</v>
      </c>
      <c r="C103" s="54"/>
      <c r="E103" s="231"/>
      <c r="F103" s="232"/>
      <c r="G103" s="232"/>
      <c r="J103" s="52"/>
      <c r="K103" s="58"/>
      <c r="N103" s="52"/>
      <c r="O103" s="58"/>
      <c r="R103" s="52"/>
      <c r="S103" s="58"/>
      <c r="V103" s="52"/>
      <c r="W103" s="58"/>
    </row>
    <row r="104" spans="1:24">
      <c r="A104" s="17" t="s">
        <v>35</v>
      </c>
      <c r="C104" s="54">
        <v>27307</v>
      </c>
      <c r="E104" s="166">
        <v>54</v>
      </c>
      <c r="F104" s="212"/>
      <c r="G104" s="212"/>
      <c r="H104" s="213">
        <v>1474578</v>
      </c>
      <c r="J104" s="18"/>
      <c r="K104" s="41"/>
      <c r="L104" s="13"/>
      <c r="N104" s="18"/>
      <c r="O104" s="41"/>
      <c r="P104" s="13"/>
      <c r="R104" s="18"/>
      <c r="S104" s="41"/>
      <c r="T104" s="13"/>
      <c r="V104" s="18"/>
      <c r="W104" s="41"/>
      <c r="X104" s="13"/>
    </row>
    <row r="105" spans="1:24">
      <c r="A105" s="17" t="s">
        <v>50</v>
      </c>
      <c r="C105" s="54">
        <v>918610</v>
      </c>
      <c r="D105" s="218"/>
      <c r="E105" s="166">
        <v>6.52</v>
      </c>
      <c r="F105" s="212"/>
      <c r="G105" s="212"/>
      <c r="H105" s="213">
        <v>5989337</v>
      </c>
      <c r="I105" s="53"/>
      <c r="J105" s="18"/>
      <c r="K105" s="19"/>
      <c r="L105" s="13"/>
      <c r="M105" s="53"/>
      <c r="N105" s="18"/>
      <c r="O105" s="19"/>
      <c r="P105" s="13"/>
      <c r="Q105" s="53"/>
      <c r="R105" s="162">
        <v>4.1799999999999997E-2</v>
      </c>
      <c r="S105" s="24"/>
      <c r="T105" s="13">
        <f t="shared" ref="T105:T111" si="20">($H105+$L105+$P105)*R105</f>
        <v>250354.28659999999</v>
      </c>
      <c r="U105" s="53"/>
      <c r="V105" s="162">
        <f>ROUND(1/($H$113-$H$104+$L$113+$P$113)*'RateSpread-1'!P21*1000,4)</f>
        <v>3.8399999999999997E-2</v>
      </c>
      <c r="W105" s="24"/>
      <c r="X105" s="13">
        <f t="shared" ref="X105:X111" si="21">($H105+$L105+$P105)*V105</f>
        <v>229990.54079999999</v>
      </c>
    </row>
    <row r="106" spans="1:24">
      <c r="A106" s="17" t="s">
        <v>51</v>
      </c>
      <c r="C106" s="54">
        <v>1059783</v>
      </c>
      <c r="D106" s="218"/>
      <c r="E106" s="166">
        <v>5.47</v>
      </c>
      <c r="F106" s="212"/>
      <c r="G106" s="212"/>
      <c r="H106" s="213">
        <v>5797013</v>
      </c>
      <c r="I106" s="53"/>
      <c r="J106" s="18"/>
      <c r="K106" s="19"/>
      <c r="L106" s="13"/>
      <c r="M106" s="53"/>
      <c r="N106" s="18"/>
      <c r="O106" s="19"/>
      <c r="P106" s="13"/>
      <c r="Q106" s="53"/>
      <c r="R106" s="151">
        <f t="shared" ref="R106:R111" si="22">R$105</f>
        <v>4.1799999999999997E-2</v>
      </c>
      <c r="S106" s="24"/>
      <c r="T106" s="13">
        <f t="shared" si="20"/>
        <v>242315.14339999997</v>
      </c>
      <c r="U106" s="53"/>
      <c r="V106" s="151">
        <f t="shared" ref="V106:V108" si="23">V$105</f>
        <v>3.8399999999999997E-2</v>
      </c>
      <c r="W106" s="24"/>
      <c r="X106" s="13">
        <f t="shared" si="21"/>
        <v>222605.29919999998</v>
      </c>
    </row>
    <row r="107" spans="1:24">
      <c r="A107" s="17" t="s">
        <v>38</v>
      </c>
      <c r="C107" s="54">
        <v>39296</v>
      </c>
      <c r="D107" s="218"/>
      <c r="E107" s="166">
        <v>-0.61</v>
      </c>
      <c r="F107" s="212"/>
      <c r="G107" s="212"/>
      <c r="H107" s="213">
        <v>-23971</v>
      </c>
      <c r="I107" s="53"/>
      <c r="J107" s="18"/>
      <c r="K107" s="19"/>
      <c r="L107" s="13"/>
      <c r="M107" s="53"/>
      <c r="N107" s="18"/>
      <c r="O107" s="19"/>
      <c r="P107" s="13"/>
      <c r="Q107" s="53"/>
      <c r="R107" s="151">
        <f t="shared" si="22"/>
        <v>4.1799999999999997E-2</v>
      </c>
      <c r="S107" s="24"/>
      <c r="T107" s="13">
        <f t="shared" si="20"/>
        <v>-1001.9877999999999</v>
      </c>
      <c r="U107" s="53"/>
      <c r="V107" s="151">
        <f t="shared" si="23"/>
        <v>3.8399999999999997E-2</v>
      </c>
      <c r="W107" s="24"/>
      <c r="X107" s="13">
        <f t="shared" si="21"/>
        <v>-920.48639999999989</v>
      </c>
    </row>
    <row r="108" spans="1:24">
      <c r="A108" s="17" t="s">
        <v>32</v>
      </c>
      <c r="C108" s="54">
        <v>62251233</v>
      </c>
      <c r="D108" s="218"/>
      <c r="E108" s="225">
        <v>11.926600000000001</v>
      </c>
      <c r="F108" s="215" t="s">
        <v>16</v>
      </c>
      <c r="G108" s="215"/>
      <c r="H108" s="213">
        <v>7424456</v>
      </c>
      <c r="J108" s="162">
        <v>1.18E-2</v>
      </c>
      <c r="K108" s="24"/>
      <c r="L108" s="13">
        <f t="shared" ref="L108:L111" si="24">$H108*J108</f>
        <v>87608.580799999996</v>
      </c>
      <c r="N108" s="162">
        <v>4.8999999999999998E-3</v>
      </c>
      <c r="O108" s="24"/>
      <c r="P108" s="13">
        <f t="shared" ref="P108:P111" si="25">$H108*N108</f>
        <v>36379.8344</v>
      </c>
      <c r="R108" s="151">
        <f t="shared" si="22"/>
        <v>4.1799999999999997E-2</v>
      </c>
      <c r="S108" s="24"/>
      <c r="T108" s="13">
        <f t="shared" si="20"/>
        <v>315524.97655535996</v>
      </c>
      <c r="V108" s="151">
        <f t="shared" si="23"/>
        <v>3.8399999999999997E-2</v>
      </c>
      <c r="W108" s="24"/>
      <c r="X108" s="13">
        <f t="shared" si="21"/>
        <v>289860.26554367994</v>
      </c>
    </row>
    <row r="109" spans="1:24">
      <c r="A109" s="17" t="s">
        <v>33</v>
      </c>
      <c r="C109" s="54">
        <v>59556790.452555798</v>
      </c>
      <c r="D109" s="218"/>
      <c r="E109" s="225">
        <v>3.5908000000000002</v>
      </c>
      <c r="F109" s="215" t="s">
        <v>16</v>
      </c>
      <c r="G109" s="215"/>
      <c r="H109" s="213">
        <v>2138565</v>
      </c>
      <c r="I109" s="53"/>
      <c r="J109" s="151">
        <f>J$108</f>
        <v>1.18E-2</v>
      </c>
      <c r="K109" s="24"/>
      <c r="L109" s="13">
        <f t="shared" si="24"/>
        <v>25235.066999999999</v>
      </c>
      <c r="M109" s="53"/>
      <c r="N109" s="151">
        <f>N$108</f>
        <v>4.8999999999999998E-3</v>
      </c>
      <c r="O109" s="24"/>
      <c r="P109" s="13">
        <f t="shared" si="25"/>
        <v>10478.968499999999</v>
      </c>
      <c r="Q109" s="53"/>
      <c r="R109" s="151">
        <f t="shared" si="22"/>
        <v>4.1799999999999997E-2</v>
      </c>
      <c r="S109" s="24"/>
      <c r="T109" s="13">
        <f t="shared" si="20"/>
        <v>90884.863683899981</v>
      </c>
      <c r="U109" s="53"/>
      <c r="V109" s="151">
        <f>V$105</f>
        <v>3.8399999999999997E-2</v>
      </c>
      <c r="W109" s="24"/>
      <c r="X109" s="13">
        <f t="shared" si="21"/>
        <v>83492.314963199984</v>
      </c>
    </row>
    <row r="110" spans="1:24">
      <c r="A110" s="17" t="s">
        <v>52</v>
      </c>
      <c r="C110" s="54">
        <v>90625426</v>
      </c>
      <c r="D110" s="218"/>
      <c r="E110" s="225">
        <v>9.9693000000000005</v>
      </c>
      <c r="F110" s="215" t="s">
        <v>16</v>
      </c>
      <c r="G110" s="215"/>
      <c r="H110" s="213">
        <v>9034721</v>
      </c>
      <c r="I110" s="53"/>
      <c r="J110" s="151">
        <f>J$108</f>
        <v>1.18E-2</v>
      </c>
      <c r="K110" s="24"/>
      <c r="L110" s="13">
        <f t="shared" si="24"/>
        <v>106609.7078</v>
      </c>
      <c r="M110" s="53"/>
      <c r="N110" s="151">
        <f>N$108</f>
        <v>4.8999999999999998E-3</v>
      </c>
      <c r="O110" s="24"/>
      <c r="P110" s="13">
        <f t="shared" si="25"/>
        <v>44270.132899999997</v>
      </c>
      <c r="Q110" s="53"/>
      <c r="R110" s="151">
        <f t="shared" si="22"/>
        <v>4.1799999999999997E-2</v>
      </c>
      <c r="S110" s="24"/>
      <c r="T110" s="13">
        <f t="shared" si="20"/>
        <v>383958.11514125997</v>
      </c>
      <c r="U110" s="53"/>
      <c r="V110" s="151">
        <f>V$105</f>
        <v>3.8399999999999997E-2</v>
      </c>
      <c r="W110" s="24"/>
      <c r="X110" s="13">
        <f t="shared" si="21"/>
        <v>352727.07228287996</v>
      </c>
    </row>
    <row r="111" spans="1:24">
      <c r="A111" s="17" t="s">
        <v>53</v>
      </c>
      <c r="C111" s="54">
        <v>79597650.39760986</v>
      </c>
      <c r="D111" s="218"/>
      <c r="E111" s="225">
        <v>3.0059999999999998</v>
      </c>
      <c r="F111" s="215" t="s">
        <v>16</v>
      </c>
      <c r="G111" s="215"/>
      <c r="H111" s="213">
        <v>2392705</v>
      </c>
      <c r="I111" s="53"/>
      <c r="J111" s="151">
        <f>J$108</f>
        <v>1.18E-2</v>
      </c>
      <c r="K111" s="24"/>
      <c r="L111" s="13">
        <f t="shared" si="24"/>
        <v>28233.918999999998</v>
      </c>
      <c r="M111" s="53"/>
      <c r="N111" s="151">
        <f>N$108</f>
        <v>4.8999999999999998E-3</v>
      </c>
      <c r="O111" s="24"/>
      <c r="P111" s="13">
        <f t="shared" si="25"/>
        <v>11724.254499999999</v>
      </c>
      <c r="Q111" s="53"/>
      <c r="R111" s="151">
        <f t="shared" si="22"/>
        <v>4.1799999999999997E-2</v>
      </c>
      <c r="S111" s="24"/>
      <c r="T111" s="13">
        <f t="shared" si="20"/>
        <v>101685.3206523</v>
      </c>
      <c r="U111" s="53"/>
      <c r="V111" s="151">
        <f>V$105</f>
        <v>3.8399999999999997E-2</v>
      </c>
      <c r="W111" s="24"/>
      <c r="X111" s="13">
        <f t="shared" si="21"/>
        <v>93414.265862399989</v>
      </c>
    </row>
    <row r="112" spans="1:24">
      <c r="A112" s="17" t="s">
        <v>28</v>
      </c>
      <c r="C112" s="35">
        <v>0</v>
      </c>
      <c r="H112" s="220">
        <v>0</v>
      </c>
      <c r="L112" s="37"/>
      <c r="P112" s="37"/>
      <c r="T112" s="37"/>
      <c r="X112" s="37"/>
    </row>
    <row r="113" spans="1:24" ht="16.5" thickBot="1">
      <c r="A113" s="17" t="s">
        <v>29</v>
      </c>
      <c r="C113" s="93">
        <v>292031099.85016567</v>
      </c>
      <c r="E113" s="226"/>
      <c r="H113" s="227">
        <v>34227404</v>
      </c>
      <c r="J113" s="47"/>
      <c r="L113" s="48">
        <f>SUM(L104:L112)</f>
        <v>247687.2746</v>
      </c>
      <c r="N113" s="47"/>
      <c r="P113" s="48">
        <f>SUM(P104:P112)</f>
        <v>102853.19029999999</v>
      </c>
      <c r="R113" s="47"/>
      <c r="T113" s="48">
        <f>SUM(T104:T112)</f>
        <v>1383720.7182328198</v>
      </c>
      <c r="V113" s="47"/>
      <c r="X113" s="48">
        <f>SUM(X104:X112)</f>
        <v>1271169.2722521599</v>
      </c>
    </row>
    <row r="114" spans="1:24" ht="16.5" thickTop="1">
      <c r="C114" s="54"/>
    </row>
    <row r="115" spans="1:24">
      <c r="A115" s="16" t="s">
        <v>54</v>
      </c>
      <c r="C115" s="54"/>
    </row>
    <row r="116" spans="1:24">
      <c r="A116" s="26" t="s">
        <v>55</v>
      </c>
      <c r="C116" s="54"/>
      <c r="H116" s="213"/>
      <c r="L116" s="13"/>
      <c r="P116" s="13"/>
      <c r="T116" s="13"/>
      <c r="X116" s="13"/>
    </row>
    <row r="117" spans="1:24">
      <c r="A117" s="17" t="s">
        <v>56</v>
      </c>
      <c r="B117" s="8">
        <v>29</v>
      </c>
      <c r="C117" s="54">
        <v>24</v>
      </c>
      <c r="E117" s="166">
        <v>5.68</v>
      </c>
      <c r="F117" s="212"/>
      <c r="G117" s="212"/>
      <c r="H117" s="213">
        <v>136</v>
      </c>
      <c r="J117" s="18"/>
      <c r="K117" s="19"/>
      <c r="L117" s="13"/>
      <c r="N117" s="18"/>
      <c r="O117" s="19"/>
      <c r="P117" s="13"/>
      <c r="R117" s="18"/>
      <c r="S117" s="19"/>
      <c r="T117" s="13"/>
      <c r="V117" s="18"/>
      <c r="W117" s="19"/>
      <c r="X117" s="13"/>
    </row>
    <row r="118" spans="1:24">
      <c r="A118" s="17" t="s">
        <v>57</v>
      </c>
      <c r="B118" s="8">
        <v>1</v>
      </c>
      <c r="C118" s="54">
        <v>45001</v>
      </c>
      <c r="E118" s="166">
        <v>16.38</v>
      </c>
      <c r="F118" s="212"/>
      <c r="G118" s="212"/>
      <c r="H118" s="213">
        <v>737116</v>
      </c>
      <c r="J118" s="18"/>
      <c r="K118" s="19"/>
      <c r="L118" s="13"/>
      <c r="N118" s="18"/>
      <c r="O118" s="19"/>
      <c r="P118" s="13"/>
      <c r="R118" s="18"/>
      <c r="S118" s="19"/>
      <c r="T118" s="13"/>
      <c r="V118" s="18"/>
      <c r="W118" s="19"/>
      <c r="X118" s="13"/>
    </row>
    <row r="119" spans="1:24">
      <c r="A119" s="17" t="s">
        <v>58</v>
      </c>
      <c r="B119" s="8">
        <v>28</v>
      </c>
      <c r="C119" s="54">
        <v>0</v>
      </c>
      <c r="E119" s="166">
        <v>8.0500000000000007</v>
      </c>
      <c r="F119" s="212"/>
      <c r="G119" s="212"/>
      <c r="H119" s="213">
        <v>0</v>
      </c>
      <c r="J119" s="18"/>
      <c r="K119" s="19"/>
      <c r="L119" s="13"/>
      <c r="N119" s="18"/>
      <c r="O119" s="19"/>
      <c r="P119" s="13"/>
      <c r="R119" s="18"/>
      <c r="S119" s="19"/>
      <c r="T119" s="13"/>
      <c r="V119" s="18"/>
      <c r="W119" s="19"/>
      <c r="X119" s="13"/>
    </row>
    <row r="120" spans="1:24">
      <c r="A120" s="17" t="s">
        <v>59</v>
      </c>
      <c r="B120" s="8">
        <v>2</v>
      </c>
      <c r="C120" s="54">
        <v>10830</v>
      </c>
      <c r="E120" s="166">
        <v>26.78</v>
      </c>
      <c r="F120" s="212"/>
      <c r="G120" s="212"/>
      <c r="H120" s="213">
        <v>290027</v>
      </c>
      <c r="J120" s="18"/>
      <c r="K120" s="19"/>
      <c r="L120" s="13"/>
      <c r="N120" s="18"/>
      <c r="O120" s="19"/>
      <c r="P120" s="13"/>
      <c r="R120" s="18"/>
      <c r="S120" s="19"/>
      <c r="T120" s="13"/>
      <c r="V120" s="18"/>
      <c r="W120" s="19"/>
      <c r="X120" s="13"/>
    </row>
    <row r="121" spans="1:24">
      <c r="A121" s="26" t="s">
        <v>60</v>
      </c>
      <c r="C121" s="54"/>
      <c r="H121" s="213"/>
      <c r="L121" s="13"/>
      <c r="P121" s="13"/>
      <c r="T121" s="13"/>
      <c r="X121" s="13"/>
    </row>
    <row r="122" spans="1:24">
      <c r="A122" s="17" t="s">
        <v>61</v>
      </c>
      <c r="B122" s="8">
        <v>3</v>
      </c>
      <c r="C122" s="54">
        <v>3563</v>
      </c>
      <c r="E122" s="166">
        <v>14.6</v>
      </c>
      <c r="F122" s="212"/>
      <c r="G122" s="212"/>
      <c r="H122" s="213">
        <v>52020</v>
      </c>
      <c r="J122" s="18"/>
      <c r="K122" s="19"/>
      <c r="L122" s="13"/>
      <c r="N122" s="18"/>
      <c r="O122" s="19"/>
      <c r="P122" s="13"/>
      <c r="R122" s="18"/>
      <c r="S122" s="19"/>
      <c r="T122" s="13"/>
      <c r="V122" s="18"/>
      <c r="W122" s="19"/>
      <c r="X122" s="13"/>
    </row>
    <row r="123" spans="1:24">
      <c r="A123" s="17" t="s">
        <v>62</v>
      </c>
      <c r="B123" s="8">
        <v>4</v>
      </c>
      <c r="C123" s="54">
        <v>1746</v>
      </c>
      <c r="E123" s="166">
        <v>12.23</v>
      </c>
      <c r="F123" s="212"/>
      <c r="G123" s="212"/>
      <c r="H123" s="213">
        <v>21354</v>
      </c>
      <c r="J123" s="18"/>
      <c r="K123" s="19"/>
      <c r="L123" s="13"/>
      <c r="N123" s="18"/>
      <c r="O123" s="19"/>
      <c r="P123" s="13"/>
      <c r="R123" s="18"/>
      <c r="S123" s="19"/>
      <c r="T123" s="13"/>
      <c r="V123" s="18"/>
      <c r="W123" s="19"/>
      <c r="X123" s="13"/>
    </row>
    <row r="124" spans="1:24">
      <c r="A124" s="17" t="s">
        <v>63</v>
      </c>
      <c r="B124" s="8">
        <v>5</v>
      </c>
      <c r="C124" s="54">
        <v>23403</v>
      </c>
      <c r="E124" s="166">
        <v>15.47</v>
      </c>
      <c r="F124" s="212"/>
      <c r="G124" s="212"/>
      <c r="H124" s="213">
        <v>362044</v>
      </c>
      <c r="J124" s="18"/>
      <c r="K124" s="19"/>
      <c r="L124" s="13"/>
      <c r="N124" s="18"/>
      <c r="O124" s="19"/>
      <c r="P124" s="13"/>
      <c r="R124" s="18"/>
      <c r="S124" s="19"/>
      <c r="T124" s="13"/>
      <c r="V124" s="18"/>
      <c r="W124" s="19"/>
      <c r="X124" s="13"/>
    </row>
    <row r="125" spans="1:24">
      <c r="A125" s="17" t="s">
        <v>64</v>
      </c>
      <c r="B125" s="8">
        <v>6</v>
      </c>
      <c r="C125" s="54">
        <v>23123</v>
      </c>
      <c r="E125" s="166">
        <v>13.31</v>
      </c>
      <c r="F125" s="212"/>
      <c r="G125" s="212"/>
      <c r="H125" s="213">
        <v>307767</v>
      </c>
      <c r="J125" s="18"/>
      <c r="K125" s="19"/>
      <c r="L125" s="13"/>
      <c r="N125" s="18"/>
      <c r="O125" s="19"/>
      <c r="P125" s="13"/>
      <c r="R125" s="18"/>
      <c r="S125" s="19"/>
      <c r="T125" s="13"/>
      <c r="V125" s="18"/>
      <c r="W125" s="19"/>
      <c r="X125" s="13"/>
    </row>
    <row r="126" spans="1:24">
      <c r="A126" s="17" t="s">
        <v>65</v>
      </c>
      <c r="B126" s="8">
        <v>7</v>
      </c>
      <c r="C126" s="54">
        <v>2646</v>
      </c>
      <c r="E126" s="166">
        <v>19.46</v>
      </c>
      <c r="F126" s="212"/>
      <c r="G126" s="212"/>
      <c r="H126" s="213">
        <v>51491</v>
      </c>
      <c r="J126" s="18"/>
      <c r="K126" s="19"/>
      <c r="L126" s="13"/>
      <c r="N126" s="18"/>
      <c r="O126" s="19"/>
      <c r="P126" s="13"/>
      <c r="R126" s="18"/>
      <c r="S126" s="19"/>
      <c r="T126" s="13"/>
      <c r="V126" s="18"/>
      <c r="W126" s="19"/>
      <c r="X126" s="13"/>
    </row>
    <row r="127" spans="1:24">
      <c r="A127" s="17" t="s">
        <v>66</v>
      </c>
      <c r="B127" s="8">
        <v>8</v>
      </c>
      <c r="C127" s="54">
        <v>2564</v>
      </c>
      <c r="E127" s="166">
        <v>17.13</v>
      </c>
      <c r="F127" s="212"/>
      <c r="G127" s="212"/>
      <c r="H127" s="213">
        <v>43921</v>
      </c>
      <c r="J127" s="18"/>
      <c r="K127" s="19"/>
      <c r="L127" s="13"/>
      <c r="N127" s="18"/>
      <c r="O127" s="19"/>
      <c r="P127" s="13"/>
      <c r="R127" s="18"/>
      <c r="S127" s="19"/>
      <c r="T127" s="13"/>
      <c r="V127" s="18"/>
      <c r="W127" s="19"/>
      <c r="X127" s="13"/>
    </row>
    <row r="128" spans="1:24">
      <c r="A128" s="17" t="s">
        <v>67</v>
      </c>
      <c r="B128" s="8">
        <v>9</v>
      </c>
      <c r="C128" s="54">
        <v>114</v>
      </c>
      <c r="E128" s="166">
        <v>21.07</v>
      </c>
      <c r="F128" s="212"/>
      <c r="G128" s="212"/>
      <c r="H128" s="213">
        <v>2402</v>
      </c>
      <c r="J128" s="18"/>
      <c r="K128" s="19"/>
      <c r="L128" s="13"/>
      <c r="N128" s="18"/>
      <c r="O128" s="19"/>
      <c r="P128" s="13"/>
      <c r="R128" s="18"/>
      <c r="S128" s="19"/>
      <c r="T128" s="13"/>
      <c r="V128" s="18"/>
      <c r="W128" s="19"/>
      <c r="X128" s="13"/>
    </row>
    <row r="129" spans="1:24">
      <c r="A129" s="17" t="s">
        <v>68</v>
      </c>
      <c r="B129" s="8">
        <v>10</v>
      </c>
      <c r="C129" s="54">
        <v>3134</v>
      </c>
      <c r="E129" s="166">
        <v>23.51</v>
      </c>
      <c r="F129" s="212"/>
      <c r="G129" s="212"/>
      <c r="H129" s="213">
        <v>73680</v>
      </c>
      <c r="J129" s="18"/>
      <c r="K129" s="19"/>
      <c r="L129" s="13"/>
      <c r="N129" s="18"/>
      <c r="O129" s="19"/>
      <c r="P129" s="13"/>
      <c r="R129" s="18"/>
      <c r="S129" s="19"/>
      <c r="T129" s="13"/>
      <c r="V129" s="18"/>
      <c r="W129" s="19"/>
      <c r="X129" s="13"/>
    </row>
    <row r="130" spans="1:24">
      <c r="A130" s="17" t="s">
        <v>69</v>
      </c>
      <c r="B130" s="8">
        <v>11</v>
      </c>
      <c r="C130" s="54">
        <v>4178</v>
      </c>
      <c r="E130" s="166">
        <v>21.23</v>
      </c>
      <c r="F130" s="212"/>
      <c r="G130" s="212"/>
      <c r="H130" s="213">
        <v>88699</v>
      </c>
      <c r="J130" s="18"/>
      <c r="K130" s="19"/>
      <c r="L130" s="13"/>
      <c r="N130" s="18"/>
      <c r="O130" s="19"/>
      <c r="P130" s="13"/>
      <c r="R130" s="18"/>
      <c r="S130" s="19"/>
      <c r="T130" s="13"/>
      <c r="V130" s="18"/>
      <c r="W130" s="19"/>
      <c r="X130" s="13"/>
    </row>
    <row r="131" spans="1:24">
      <c r="A131" s="17" t="s">
        <v>70</v>
      </c>
      <c r="B131" s="8">
        <v>12</v>
      </c>
      <c r="C131" s="54">
        <v>1248</v>
      </c>
      <c r="E131" s="166">
        <v>28.3</v>
      </c>
      <c r="F131" s="212"/>
      <c r="G131" s="212"/>
      <c r="H131" s="213">
        <v>35318</v>
      </c>
      <c r="J131" s="18"/>
      <c r="K131" s="19"/>
      <c r="L131" s="13"/>
      <c r="N131" s="18"/>
      <c r="O131" s="19"/>
      <c r="P131" s="13"/>
      <c r="R131" s="18"/>
      <c r="S131" s="19"/>
      <c r="T131" s="13"/>
      <c r="V131" s="18"/>
      <c r="W131" s="19"/>
      <c r="X131" s="13"/>
    </row>
    <row r="132" spans="1:24">
      <c r="A132" s="17" t="s">
        <v>71</v>
      </c>
      <c r="B132" s="8">
        <v>13</v>
      </c>
      <c r="C132" s="54">
        <v>2456</v>
      </c>
      <c r="E132" s="166">
        <v>25.99</v>
      </c>
      <c r="F132" s="212"/>
      <c r="G132" s="212"/>
      <c r="H132" s="213">
        <v>63831</v>
      </c>
      <c r="J132" s="18"/>
      <c r="K132" s="19"/>
      <c r="L132" s="13"/>
      <c r="N132" s="18"/>
      <c r="O132" s="19"/>
      <c r="P132" s="13"/>
      <c r="R132" s="18"/>
      <c r="S132" s="19"/>
      <c r="T132" s="13"/>
      <c r="V132" s="18"/>
      <c r="W132" s="19"/>
      <c r="X132" s="13"/>
    </row>
    <row r="133" spans="1:24">
      <c r="A133" s="26" t="s">
        <v>72</v>
      </c>
      <c r="C133" s="54"/>
      <c r="H133" s="213"/>
      <c r="L133" s="13"/>
      <c r="P133" s="13"/>
      <c r="T133" s="13"/>
      <c r="X133" s="13"/>
    </row>
    <row r="134" spans="1:24">
      <c r="A134" s="17" t="s">
        <v>65</v>
      </c>
      <c r="B134" s="8">
        <v>14</v>
      </c>
      <c r="C134" s="54">
        <v>4670</v>
      </c>
      <c r="E134" s="166">
        <v>19.46</v>
      </c>
      <c r="F134" s="212"/>
      <c r="G134" s="212"/>
      <c r="H134" s="213">
        <v>90878</v>
      </c>
      <c r="J134" s="18"/>
      <c r="K134" s="19"/>
      <c r="L134" s="13"/>
      <c r="N134" s="18"/>
      <c r="O134" s="19"/>
      <c r="P134" s="13"/>
      <c r="R134" s="18"/>
      <c r="S134" s="19"/>
      <c r="T134" s="13"/>
      <c r="V134" s="18"/>
      <c r="W134" s="19"/>
      <c r="X134" s="13"/>
    </row>
    <row r="135" spans="1:24">
      <c r="A135" s="17" t="s">
        <v>66</v>
      </c>
      <c r="B135" s="8">
        <v>15</v>
      </c>
      <c r="C135" s="54">
        <v>4976</v>
      </c>
      <c r="E135" s="166">
        <v>17.13</v>
      </c>
      <c r="F135" s="212"/>
      <c r="G135" s="212"/>
      <c r="H135" s="213">
        <v>85239</v>
      </c>
      <c r="J135" s="18"/>
      <c r="K135" s="19"/>
      <c r="L135" s="13"/>
      <c r="N135" s="18"/>
      <c r="O135" s="19"/>
      <c r="P135" s="13"/>
      <c r="R135" s="18"/>
      <c r="S135" s="19"/>
      <c r="T135" s="13"/>
      <c r="V135" s="18"/>
      <c r="W135" s="19"/>
      <c r="X135" s="13"/>
    </row>
    <row r="136" spans="1:24">
      <c r="A136" s="17" t="s">
        <v>68</v>
      </c>
      <c r="B136" s="8">
        <v>16</v>
      </c>
      <c r="C136" s="54">
        <v>1102</v>
      </c>
      <c r="E136" s="166">
        <v>23.51</v>
      </c>
      <c r="F136" s="212"/>
      <c r="G136" s="212"/>
      <c r="H136" s="213">
        <v>25908</v>
      </c>
      <c r="J136" s="18"/>
      <c r="K136" s="19"/>
      <c r="L136" s="13"/>
      <c r="N136" s="18"/>
      <c r="O136" s="19"/>
      <c r="P136" s="13"/>
      <c r="R136" s="18"/>
      <c r="S136" s="19"/>
      <c r="T136" s="13"/>
      <c r="V136" s="18"/>
      <c r="W136" s="19"/>
      <c r="X136" s="13"/>
    </row>
    <row r="137" spans="1:24">
      <c r="A137" s="17" t="s">
        <v>69</v>
      </c>
      <c r="B137" s="8">
        <v>17</v>
      </c>
      <c r="C137" s="54">
        <v>1570</v>
      </c>
      <c r="E137" s="166">
        <v>21.23</v>
      </c>
      <c r="F137" s="212"/>
      <c r="G137" s="212"/>
      <c r="H137" s="213">
        <v>33331</v>
      </c>
      <c r="J137" s="18"/>
      <c r="K137" s="19"/>
      <c r="L137" s="13"/>
      <c r="N137" s="18"/>
      <c r="O137" s="19"/>
      <c r="P137" s="13"/>
      <c r="R137" s="18"/>
      <c r="S137" s="19"/>
      <c r="T137" s="13"/>
      <c r="V137" s="18"/>
      <c r="W137" s="19"/>
      <c r="X137" s="13"/>
    </row>
    <row r="138" spans="1:24">
      <c r="A138" s="17" t="s">
        <v>70</v>
      </c>
      <c r="B138" s="8">
        <v>18</v>
      </c>
      <c r="C138" s="54">
        <v>9734</v>
      </c>
      <c r="E138" s="166">
        <v>28.3</v>
      </c>
      <c r="F138" s="212"/>
      <c r="G138" s="212"/>
      <c r="H138" s="213">
        <v>275472</v>
      </c>
      <c r="J138" s="18"/>
      <c r="K138" s="19"/>
      <c r="L138" s="13"/>
      <c r="N138" s="18"/>
      <c r="O138" s="19"/>
      <c r="P138" s="13"/>
      <c r="R138" s="18"/>
      <c r="S138" s="19"/>
      <c r="T138" s="13"/>
      <c r="V138" s="18"/>
      <c r="W138" s="19"/>
      <c r="X138" s="13"/>
    </row>
    <row r="139" spans="1:24">
      <c r="A139" s="17" t="s">
        <v>71</v>
      </c>
      <c r="B139" s="8">
        <v>19</v>
      </c>
      <c r="C139" s="54">
        <v>11772</v>
      </c>
      <c r="E139" s="166">
        <v>25.99</v>
      </c>
      <c r="F139" s="212"/>
      <c r="G139" s="212"/>
      <c r="H139" s="213">
        <v>305954</v>
      </c>
      <c r="J139" s="18"/>
      <c r="K139" s="19"/>
      <c r="L139" s="13"/>
      <c r="N139" s="18"/>
      <c r="O139" s="19"/>
      <c r="P139" s="13"/>
      <c r="R139" s="18"/>
      <c r="S139" s="19"/>
      <c r="T139" s="13"/>
      <c r="V139" s="18"/>
      <c r="W139" s="19"/>
      <c r="X139" s="13"/>
    </row>
    <row r="140" spans="1:24">
      <c r="A140" s="26" t="s">
        <v>73</v>
      </c>
      <c r="C140" s="54"/>
    </row>
    <row r="141" spans="1:24">
      <c r="A141" s="17" t="s">
        <v>74</v>
      </c>
      <c r="B141" s="8">
        <v>20</v>
      </c>
      <c r="C141" s="54">
        <v>0</v>
      </c>
      <c r="E141" s="166">
        <v>29.4</v>
      </c>
      <c r="F141" s="212"/>
      <c r="G141" s="212"/>
      <c r="H141" s="213">
        <v>0</v>
      </c>
      <c r="J141" s="18"/>
      <c r="K141" s="19"/>
      <c r="L141" s="13"/>
      <c r="N141" s="18"/>
      <c r="O141" s="19"/>
      <c r="P141" s="13"/>
      <c r="R141" s="18"/>
      <c r="S141" s="19"/>
      <c r="T141" s="13"/>
      <c r="V141" s="18"/>
      <c r="W141" s="19"/>
      <c r="X141" s="13"/>
    </row>
    <row r="142" spans="1:24">
      <c r="A142" s="17" t="s">
        <v>75</v>
      </c>
      <c r="B142" s="8">
        <v>21</v>
      </c>
      <c r="C142" s="54">
        <v>265</v>
      </c>
      <c r="E142" s="166">
        <v>21.79</v>
      </c>
      <c r="F142" s="212"/>
      <c r="G142" s="212"/>
      <c r="H142" s="213">
        <v>5774</v>
      </c>
      <c r="J142" s="18"/>
      <c r="K142" s="19"/>
      <c r="L142" s="13"/>
      <c r="N142" s="18"/>
      <c r="O142" s="19"/>
      <c r="P142" s="13"/>
      <c r="R142" s="18"/>
      <c r="S142" s="19"/>
      <c r="T142" s="13"/>
      <c r="V142" s="18"/>
      <c r="W142" s="19"/>
      <c r="X142" s="13"/>
    </row>
    <row r="143" spans="1:24">
      <c r="A143" s="17" t="s">
        <v>76</v>
      </c>
      <c r="B143" s="8">
        <v>22</v>
      </c>
      <c r="C143" s="54">
        <v>110</v>
      </c>
      <c r="E143" s="166">
        <v>34.340000000000003</v>
      </c>
      <c r="F143" s="212"/>
      <c r="G143" s="212"/>
      <c r="H143" s="213">
        <v>3777</v>
      </c>
      <c r="J143" s="18"/>
      <c r="K143" s="19"/>
      <c r="L143" s="13"/>
      <c r="N143" s="18"/>
      <c r="O143" s="19"/>
      <c r="P143" s="13"/>
      <c r="R143" s="18"/>
      <c r="S143" s="19"/>
      <c r="T143" s="13"/>
      <c r="V143" s="18"/>
      <c r="W143" s="19"/>
      <c r="X143" s="13"/>
    </row>
    <row r="144" spans="1:24">
      <c r="A144" s="17" t="s">
        <v>77</v>
      </c>
      <c r="B144" s="8">
        <v>23</v>
      </c>
      <c r="C144" s="54">
        <v>97</v>
      </c>
      <c r="E144" s="166">
        <v>27.43</v>
      </c>
      <c r="F144" s="212"/>
      <c r="G144" s="212"/>
      <c r="H144" s="213">
        <v>2661</v>
      </c>
      <c r="J144" s="18"/>
      <c r="K144" s="19"/>
      <c r="L144" s="13"/>
      <c r="N144" s="18"/>
      <c r="O144" s="19"/>
      <c r="P144" s="13"/>
      <c r="R144" s="18"/>
      <c r="S144" s="19"/>
      <c r="T144" s="13"/>
      <c r="V144" s="18"/>
      <c r="W144" s="19"/>
      <c r="X144" s="13"/>
    </row>
    <row r="145" spans="1:24" s="20" customFormat="1">
      <c r="A145" s="17" t="s">
        <v>78</v>
      </c>
      <c r="B145" s="8">
        <v>24</v>
      </c>
      <c r="C145" s="54">
        <v>469</v>
      </c>
      <c r="D145" s="55"/>
      <c r="E145" s="166">
        <v>36.69</v>
      </c>
      <c r="F145" s="212"/>
      <c r="G145" s="212"/>
      <c r="H145" s="213">
        <v>17208</v>
      </c>
      <c r="I145" s="9"/>
      <c r="J145" s="18"/>
      <c r="K145" s="19"/>
      <c r="L145" s="13"/>
      <c r="M145" s="9"/>
      <c r="N145" s="18"/>
      <c r="O145" s="19"/>
      <c r="P145" s="13"/>
      <c r="Q145" s="9"/>
      <c r="R145" s="18"/>
      <c r="S145" s="19"/>
      <c r="T145" s="13"/>
      <c r="U145" s="9"/>
      <c r="V145" s="18"/>
      <c r="W145" s="19"/>
      <c r="X145" s="13"/>
    </row>
    <row r="146" spans="1:24">
      <c r="A146" s="17" t="s">
        <v>79</v>
      </c>
      <c r="B146" s="8">
        <v>25</v>
      </c>
      <c r="C146" s="54">
        <v>630</v>
      </c>
      <c r="E146" s="166">
        <v>29.72</v>
      </c>
      <c r="F146" s="212"/>
      <c r="G146" s="212"/>
      <c r="H146" s="213">
        <v>18724</v>
      </c>
      <c r="J146" s="18"/>
      <c r="K146" s="19"/>
      <c r="L146" s="13"/>
      <c r="N146" s="18"/>
      <c r="O146" s="19"/>
      <c r="P146" s="13"/>
      <c r="R146" s="18"/>
      <c r="S146" s="19"/>
      <c r="T146" s="13"/>
      <c r="V146" s="18"/>
      <c r="W146" s="19"/>
      <c r="X146" s="13"/>
    </row>
    <row r="147" spans="1:24">
      <c r="A147" s="17" t="s">
        <v>80</v>
      </c>
      <c r="B147" s="8">
        <v>26</v>
      </c>
      <c r="C147" s="54">
        <v>24</v>
      </c>
      <c r="E147" s="166">
        <v>57.58</v>
      </c>
      <c r="F147" s="212"/>
      <c r="G147" s="212"/>
      <c r="H147" s="213">
        <v>1382</v>
      </c>
      <c r="J147" s="18"/>
      <c r="K147" s="19"/>
      <c r="L147" s="13"/>
      <c r="N147" s="18"/>
      <c r="O147" s="19"/>
      <c r="P147" s="13"/>
      <c r="R147" s="18"/>
      <c r="S147" s="19"/>
      <c r="T147" s="13"/>
      <c r="V147" s="18"/>
      <c r="W147" s="19"/>
      <c r="X147" s="13"/>
    </row>
    <row r="148" spans="1:24">
      <c r="A148" s="17" t="s">
        <v>81</v>
      </c>
      <c r="B148" s="8">
        <v>27</v>
      </c>
      <c r="C148" s="54">
        <v>60</v>
      </c>
      <c r="E148" s="166">
        <v>49.1</v>
      </c>
      <c r="F148" s="212"/>
      <c r="G148" s="212"/>
      <c r="H148" s="213">
        <v>2946</v>
      </c>
      <c r="J148" s="18"/>
      <c r="K148" s="19"/>
      <c r="L148" s="13"/>
      <c r="N148" s="18"/>
      <c r="O148" s="19"/>
      <c r="P148" s="13"/>
      <c r="R148" s="18"/>
      <c r="S148" s="19"/>
      <c r="T148" s="13"/>
      <c r="V148" s="18"/>
      <c r="W148" s="19"/>
      <c r="X148" s="13"/>
    </row>
    <row r="149" spans="1:24">
      <c r="A149" s="17" t="s">
        <v>82</v>
      </c>
      <c r="B149" s="12"/>
      <c r="C149" s="54">
        <v>159509</v>
      </c>
      <c r="H149" s="213">
        <v>2999060</v>
      </c>
      <c r="I149" s="42"/>
      <c r="K149" s="42"/>
      <c r="L149" s="46"/>
      <c r="M149" s="42"/>
      <c r="O149" s="42"/>
      <c r="P149" s="46"/>
      <c r="Q149" s="42"/>
      <c r="S149" s="42"/>
      <c r="T149" s="46"/>
      <c r="U149" s="42"/>
      <c r="W149" s="42"/>
      <c r="X149" s="46"/>
    </row>
    <row r="150" spans="1:24">
      <c r="A150" s="17" t="s">
        <v>83</v>
      </c>
      <c r="C150" s="23">
        <v>12440930.563737754</v>
      </c>
      <c r="H150" s="213"/>
      <c r="L150" s="46"/>
      <c r="P150" s="46"/>
      <c r="T150" s="46"/>
      <c r="X150" s="46"/>
    </row>
    <row r="151" spans="1:24">
      <c r="A151" s="17" t="s">
        <v>84</v>
      </c>
      <c r="C151" s="60">
        <v>0</v>
      </c>
      <c r="E151" s="233"/>
      <c r="H151" s="234">
        <v>0</v>
      </c>
      <c r="J151" s="61"/>
      <c r="L151" s="62"/>
      <c r="N151" s="61"/>
      <c r="P151" s="62"/>
      <c r="R151" s="61"/>
      <c r="T151" s="62"/>
      <c r="V151" s="61"/>
      <c r="X151" s="62"/>
    </row>
    <row r="152" spans="1:24">
      <c r="A152" s="17" t="s">
        <v>85</v>
      </c>
      <c r="C152" s="54">
        <v>8046</v>
      </c>
    </row>
    <row r="153" spans="1:24" ht="16.5" thickBot="1">
      <c r="A153" s="17" t="s">
        <v>86</v>
      </c>
      <c r="C153" s="63">
        <v>12440930.563737754</v>
      </c>
      <c r="E153" s="200"/>
      <c r="H153" s="222">
        <v>2999060</v>
      </c>
      <c r="J153" s="162">
        <v>4.0000000000000001E-3</v>
      </c>
      <c r="K153" s="24"/>
      <c r="L153" s="39">
        <f>$H153*J153</f>
        <v>11996.24</v>
      </c>
      <c r="N153" s="162">
        <v>1.1000000000000001E-3</v>
      </c>
      <c r="O153" s="24"/>
      <c r="P153" s="39">
        <f>$H153*N153</f>
        <v>3298.9660000000003</v>
      </c>
      <c r="R153" s="162">
        <v>0.04</v>
      </c>
      <c r="S153" s="24"/>
      <c r="T153" s="39">
        <f>($H153+$L153+$P153)*R153</f>
        <v>120574.20824000001</v>
      </c>
      <c r="V153" s="162">
        <f>ROUND(1/($H$153+$L$153+$P$153+$H$268+$L$268+$P$268+$H$351+$L$351+$P$351)*SUM('RateSpread-1'!P40+'RateSpread-1'!P41+'RateSpread-1'!P42)*1000,4)</f>
        <v>3.6799999999999999E-2</v>
      </c>
      <c r="W153" s="24"/>
      <c r="X153" s="39">
        <f>($H153+$L153+$P153)*V153</f>
        <v>110928.27158080001</v>
      </c>
    </row>
    <row r="154" spans="1:24" ht="16.5" thickTop="1">
      <c r="D154" s="218"/>
      <c r="I154" s="53"/>
      <c r="M154" s="53"/>
      <c r="Q154" s="53"/>
      <c r="U154" s="53"/>
    </row>
    <row r="155" spans="1:24">
      <c r="A155" s="16" t="s">
        <v>87</v>
      </c>
      <c r="C155" s="54"/>
    </row>
    <row r="156" spans="1:24">
      <c r="A156" s="17" t="s">
        <v>35</v>
      </c>
      <c r="C156" s="54">
        <v>3282</v>
      </c>
      <c r="E156" s="166">
        <v>70</v>
      </c>
      <c r="F156" s="212"/>
      <c r="G156" s="212"/>
      <c r="H156" s="213">
        <v>229740</v>
      </c>
      <c r="J156" s="18"/>
      <c r="K156" s="41"/>
      <c r="L156" s="13"/>
      <c r="N156" s="18"/>
      <c r="O156" s="41"/>
      <c r="P156" s="13"/>
      <c r="R156" s="18"/>
      <c r="S156" s="41"/>
      <c r="T156" s="13"/>
      <c r="V156" s="18"/>
      <c r="W156" s="41"/>
      <c r="X156" s="13"/>
    </row>
    <row r="157" spans="1:24">
      <c r="A157" s="17" t="s">
        <v>39</v>
      </c>
      <c r="C157" s="54">
        <v>5010201</v>
      </c>
      <c r="E157" s="166">
        <v>4.76</v>
      </c>
      <c r="F157" s="212"/>
      <c r="G157" s="212"/>
      <c r="H157" s="213">
        <v>23848557</v>
      </c>
      <c r="J157" s="18"/>
      <c r="K157" s="41"/>
      <c r="L157" s="13"/>
      <c r="N157" s="18"/>
      <c r="O157" s="41"/>
      <c r="P157" s="13"/>
      <c r="R157" s="162">
        <v>4.0099999999999997E-2</v>
      </c>
      <c r="S157" s="19"/>
      <c r="T157" s="13">
        <f t="shared" ref="T157:T163" si="26">($H157+$L157+$P157)*R157</f>
        <v>956327.13569999987</v>
      </c>
      <c r="V157" s="162">
        <f>ROUND(1/($H$165-$H$156+$L$165+$P$165)*'RateSpread-1'!P24*1000,4)</f>
        <v>3.6900000000000002E-2</v>
      </c>
      <c r="W157" s="19"/>
      <c r="X157" s="13">
        <f t="shared" ref="X157:X163" si="27">($H157+$L157+$P157)*V157</f>
        <v>880011.7533000001</v>
      </c>
    </row>
    <row r="158" spans="1:24">
      <c r="A158" s="17" t="s">
        <v>88</v>
      </c>
      <c r="C158" s="54">
        <v>2097818</v>
      </c>
      <c r="E158" s="166">
        <v>15.56</v>
      </c>
      <c r="F158" s="212"/>
      <c r="G158" s="212"/>
      <c r="H158" s="213">
        <v>32642048</v>
      </c>
      <c r="J158" s="162">
        <v>9.1999999999999998E-3</v>
      </c>
      <c r="K158" s="19"/>
      <c r="L158" s="13">
        <f t="shared" ref="L158:L159" si="28">$H158*J158</f>
        <v>300306.84159999999</v>
      </c>
      <c r="N158" s="162">
        <v>4.4000000000000003E-3</v>
      </c>
      <c r="O158" s="19"/>
      <c r="P158" s="13">
        <f t="shared" ref="P158:P159" si="29">$H158*N158</f>
        <v>143625.01120000001</v>
      </c>
      <c r="R158" s="163">
        <f t="shared" ref="R158:R163" si="30">R$157</f>
        <v>4.0099999999999997E-2</v>
      </c>
      <c r="S158" s="19"/>
      <c r="T158" s="13">
        <f t="shared" si="26"/>
        <v>1326747.7920972798</v>
      </c>
      <c r="V158" s="163">
        <f t="shared" ref="V158:V163" si="31">V$157</f>
        <v>3.6900000000000002E-2</v>
      </c>
      <c r="W158" s="19"/>
      <c r="X158" s="13">
        <f t="shared" si="27"/>
        <v>1220872.65656832</v>
      </c>
    </row>
    <row r="159" spans="1:24">
      <c r="A159" s="17" t="s">
        <v>89</v>
      </c>
      <c r="C159" s="54">
        <v>2761958</v>
      </c>
      <c r="E159" s="166">
        <v>11.19</v>
      </c>
      <c r="F159" s="212"/>
      <c r="G159" s="212"/>
      <c r="H159" s="213">
        <v>30906310</v>
      </c>
      <c r="J159" s="163">
        <f>J$158</f>
        <v>9.1999999999999998E-3</v>
      </c>
      <c r="K159" s="19"/>
      <c r="L159" s="13">
        <f t="shared" si="28"/>
        <v>284338.05199999997</v>
      </c>
      <c r="N159" s="163">
        <f>N$158</f>
        <v>4.4000000000000003E-3</v>
      </c>
      <c r="O159" s="19"/>
      <c r="P159" s="13">
        <f t="shared" si="29"/>
        <v>135987.764</v>
      </c>
      <c r="R159" s="163">
        <f t="shared" si="30"/>
        <v>4.0099999999999997E-2</v>
      </c>
      <c r="S159" s="19"/>
      <c r="T159" s="13">
        <f t="shared" si="26"/>
        <v>1256198.0962216</v>
      </c>
      <c r="V159" s="163">
        <f t="shared" si="31"/>
        <v>3.6900000000000002E-2</v>
      </c>
      <c r="W159" s="19"/>
      <c r="X159" s="13">
        <f t="shared" si="27"/>
        <v>1155952.8616104</v>
      </c>
    </row>
    <row r="160" spans="1:24">
      <c r="A160" s="17" t="s">
        <v>38</v>
      </c>
      <c r="C160" s="54">
        <v>2132830</v>
      </c>
      <c r="E160" s="166">
        <v>-1.1299999999999999</v>
      </c>
      <c r="F160" s="212"/>
      <c r="G160" s="212"/>
      <c r="H160" s="213">
        <v>-2410098</v>
      </c>
      <c r="J160" s="18"/>
      <c r="K160" s="19"/>
      <c r="L160" s="13"/>
      <c r="N160" s="18"/>
      <c r="O160" s="19"/>
      <c r="P160" s="13"/>
      <c r="R160" s="163">
        <f t="shared" si="30"/>
        <v>4.0099999999999997E-2</v>
      </c>
      <c r="S160" s="19"/>
      <c r="T160" s="13">
        <f t="shared" si="26"/>
        <v>-96644.929799999998</v>
      </c>
      <c r="V160" s="163">
        <f t="shared" si="31"/>
        <v>3.6900000000000002E-2</v>
      </c>
      <c r="W160" s="19"/>
      <c r="X160" s="13">
        <f t="shared" si="27"/>
        <v>-88932.616200000004</v>
      </c>
    </row>
    <row r="161" spans="1:24">
      <c r="A161" s="17" t="s">
        <v>32</v>
      </c>
      <c r="C161" s="54">
        <v>260094535</v>
      </c>
      <c r="E161" s="235">
        <v>5.0473999999999997</v>
      </c>
      <c r="F161" s="215" t="s">
        <v>16</v>
      </c>
      <c r="G161" s="215"/>
      <c r="H161" s="213">
        <v>13128012</v>
      </c>
      <c r="J161" s="163">
        <f>J$158</f>
        <v>9.1999999999999998E-3</v>
      </c>
      <c r="K161" s="24"/>
      <c r="L161" s="13">
        <f t="shared" ref="L161:L163" si="32">$H161*J161</f>
        <v>120777.7104</v>
      </c>
      <c r="N161" s="163">
        <f>N$158</f>
        <v>4.4000000000000003E-3</v>
      </c>
      <c r="O161" s="24"/>
      <c r="P161" s="13">
        <f t="shared" ref="P161:P163" si="33">$H161*N161</f>
        <v>57763.252800000002</v>
      </c>
      <c r="R161" s="163">
        <f t="shared" si="30"/>
        <v>4.0099999999999997E-2</v>
      </c>
      <c r="S161" s="24"/>
      <c r="T161" s="13">
        <f t="shared" si="26"/>
        <v>533592.77382431994</v>
      </c>
      <c r="V161" s="163">
        <f t="shared" si="31"/>
        <v>3.6900000000000002E-2</v>
      </c>
      <c r="W161" s="24"/>
      <c r="X161" s="13">
        <f t="shared" si="27"/>
        <v>491011.80434208008</v>
      </c>
    </row>
    <row r="162" spans="1:24">
      <c r="A162" s="17" t="s">
        <v>52</v>
      </c>
      <c r="C162" s="54">
        <v>625992212</v>
      </c>
      <c r="E162" s="235">
        <v>3.9510999999999998</v>
      </c>
      <c r="F162" s="215" t="s">
        <v>16</v>
      </c>
      <c r="G162" s="215"/>
      <c r="H162" s="213">
        <v>24733578</v>
      </c>
      <c r="J162" s="163">
        <f>J$158</f>
        <v>9.1999999999999998E-3</v>
      </c>
      <c r="K162" s="24"/>
      <c r="L162" s="13">
        <f t="shared" si="32"/>
        <v>227548.91759999999</v>
      </c>
      <c r="N162" s="163">
        <f>N$158</f>
        <v>4.4000000000000003E-3</v>
      </c>
      <c r="O162" s="24"/>
      <c r="P162" s="13">
        <f t="shared" si="33"/>
        <v>108827.74320000001</v>
      </c>
      <c r="R162" s="163">
        <f t="shared" si="30"/>
        <v>4.0099999999999997E-2</v>
      </c>
      <c r="S162" s="24"/>
      <c r="T162" s="13">
        <f t="shared" si="26"/>
        <v>1005305.1818980798</v>
      </c>
      <c r="V162" s="163">
        <f t="shared" si="31"/>
        <v>3.6900000000000002E-2</v>
      </c>
      <c r="W162" s="24"/>
      <c r="X162" s="13">
        <f t="shared" si="27"/>
        <v>925081.32698352006</v>
      </c>
    </row>
    <row r="163" spans="1:24">
      <c r="A163" s="17" t="s">
        <v>90</v>
      </c>
      <c r="C163" s="54">
        <v>1300960578.5884075</v>
      </c>
      <c r="E163" s="235">
        <v>3.4001999999999999</v>
      </c>
      <c r="F163" s="215" t="s">
        <v>16</v>
      </c>
      <c r="G163" s="215"/>
      <c r="H163" s="213">
        <v>44235262</v>
      </c>
      <c r="J163" s="163">
        <f>J$158</f>
        <v>9.1999999999999998E-3</v>
      </c>
      <c r="K163" s="24"/>
      <c r="L163" s="13">
        <f t="shared" si="32"/>
        <v>406964.41039999999</v>
      </c>
      <c r="N163" s="163">
        <f>N$158</f>
        <v>4.4000000000000003E-3</v>
      </c>
      <c r="O163" s="24"/>
      <c r="P163" s="13">
        <f t="shared" si="33"/>
        <v>194635.15280000001</v>
      </c>
      <c r="R163" s="163">
        <f t="shared" si="30"/>
        <v>4.0099999999999997E-2</v>
      </c>
      <c r="S163" s="24"/>
      <c r="T163" s="13">
        <f t="shared" si="26"/>
        <v>1797958.14868432</v>
      </c>
      <c r="V163" s="163">
        <f t="shared" si="31"/>
        <v>3.6900000000000002E-2</v>
      </c>
      <c r="W163" s="24"/>
      <c r="X163" s="13">
        <f t="shared" si="27"/>
        <v>1654480.1916820803</v>
      </c>
    </row>
    <row r="164" spans="1:24">
      <c r="A164" s="17" t="s">
        <v>28</v>
      </c>
      <c r="C164" s="35">
        <v>0</v>
      </c>
      <c r="H164" s="220">
        <v>0</v>
      </c>
      <c r="L164" s="36"/>
      <c r="P164" s="36"/>
      <c r="T164" s="36"/>
      <c r="X164" s="36"/>
    </row>
    <row r="165" spans="1:24" ht="16.5" thickBot="1">
      <c r="A165" s="17" t="s">
        <v>29</v>
      </c>
      <c r="C165" s="93">
        <v>2187047325.5884075</v>
      </c>
      <c r="E165" s="226"/>
      <c r="H165" s="227">
        <v>167313409</v>
      </c>
      <c r="J165" s="47"/>
      <c r="L165" s="48">
        <f>SUM(L156:L164)</f>
        <v>1339935.9319999998</v>
      </c>
      <c r="N165" s="47"/>
      <c r="P165" s="48">
        <f>SUM(P156:P164)</f>
        <v>640838.92400000012</v>
      </c>
      <c r="R165" s="47"/>
      <c r="T165" s="48">
        <f>SUM(T156:T164)</f>
        <v>6779484.1986256</v>
      </c>
      <c r="V165" s="47"/>
      <c r="X165" s="48">
        <f>SUM(X156:X164)</f>
        <v>6238477.9782864004</v>
      </c>
    </row>
    <row r="166" spans="1:24" ht="16.5" thickTop="1"/>
    <row r="167" spans="1:24">
      <c r="A167" s="16" t="s">
        <v>91</v>
      </c>
      <c r="C167" s="54"/>
    </row>
    <row r="168" spans="1:24">
      <c r="A168" s="17" t="s">
        <v>35</v>
      </c>
      <c r="C168" s="54">
        <v>1791</v>
      </c>
      <c r="E168" s="166">
        <v>259</v>
      </c>
      <c r="F168" s="212"/>
      <c r="G168" s="212"/>
      <c r="H168" s="213">
        <v>463869</v>
      </c>
      <c r="J168" s="18"/>
      <c r="K168" s="19"/>
      <c r="L168" s="13"/>
      <c r="N168" s="18"/>
      <c r="O168" s="19"/>
      <c r="P168" s="13"/>
      <c r="R168" s="18"/>
      <c r="S168" s="19"/>
      <c r="T168" s="13"/>
      <c r="V168" s="18"/>
      <c r="W168" s="19"/>
      <c r="X168" s="13"/>
    </row>
    <row r="169" spans="1:24">
      <c r="A169" s="17" t="s">
        <v>39</v>
      </c>
      <c r="C169" s="54">
        <v>9053509</v>
      </c>
      <c r="E169" s="166">
        <v>2.2200000000000002</v>
      </c>
      <c r="F169" s="212"/>
      <c r="G169" s="212"/>
      <c r="H169" s="213">
        <v>20098790</v>
      </c>
      <c r="J169" s="18"/>
      <c r="K169" s="19"/>
      <c r="L169" s="13"/>
      <c r="N169" s="18"/>
      <c r="O169" s="19"/>
      <c r="P169" s="13"/>
      <c r="R169" s="162">
        <v>4.0099999999999997E-2</v>
      </c>
      <c r="S169" s="19"/>
      <c r="T169" s="13">
        <f t="shared" ref="T169:T174" si="34">($H169+$L169+$P169)*R169</f>
        <v>805961.47899999993</v>
      </c>
      <c r="V169" s="162">
        <f>ROUND(1/($H$176-$H$168+$L$176+$P$176)*'RateSpread-1'!P25*1000,4)</f>
        <v>3.6900000000000002E-2</v>
      </c>
      <c r="W169" s="19"/>
      <c r="X169" s="13">
        <f t="shared" ref="X169:X174" si="35">($H169+$L169+$P169)*V169</f>
        <v>741645.35100000002</v>
      </c>
    </row>
    <row r="170" spans="1:24">
      <c r="A170" s="17" t="s">
        <v>88</v>
      </c>
      <c r="C170" s="54">
        <v>3715246</v>
      </c>
      <c r="E170" s="166">
        <v>13.96</v>
      </c>
      <c r="F170" s="212"/>
      <c r="G170" s="212"/>
      <c r="H170" s="213">
        <v>51864834</v>
      </c>
      <c r="J170" s="162">
        <v>1.12E-2</v>
      </c>
      <c r="K170" s="19"/>
      <c r="L170" s="13">
        <f t="shared" ref="L170:L174" si="36">$H170*J170</f>
        <v>580886.14080000005</v>
      </c>
      <c r="N170" s="162">
        <v>4.3E-3</v>
      </c>
      <c r="O170" s="19"/>
      <c r="P170" s="13">
        <f t="shared" ref="P170:P174" si="37">$H170*N170</f>
        <v>223018.7862</v>
      </c>
      <c r="R170" s="163">
        <f>R$169</f>
        <v>4.0099999999999997E-2</v>
      </c>
      <c r="S170" s="19"/>
      <c r="T170" s="13">
        <f t="shared" si="34"/>
        <v>2112016.4309727</v>
      </c>
      <c r="V170" s="163">
        <f>V$169</f>
        <v>3.6900000000000002E-2</v>
      </c>
      <c r="W170" s="19"/>
      <c r="X170" s="13">
        <f t="shared" si="35"/>
        <v>1943476.4664063002</v>
      </c>
    </row>
    <row r="171" spans="1:24">
      <c r="A171" s="17" t="s">
        <v>89</v>
      </c>
      <c r="C171" s="54">
        <v>5150021</v>
      </c>
      <c r="E171" s="166">
        <v>9.4700000000000006</v>
      </c>
      <c r="F171" s="212"/>
      <c r="G171" s="212"/>
      <c r="H171" s="213">
        <v>48770699</v>
      </c>
      <c r="J171" s="163">
        <f>J$170</f>
        <v>1.12E-2</v>
      </c>
      <c r="K171" s="19"/>
      <c r="L171" s="13">
        <f t="shared" si="36"/>
        <v>546231.82880000002</v>
      </c>
      <c r="N171" s="163">
        <f>N$170</f>
        <v>4.3E-3</v>
      </c>
      <c r="O171" s="19"/>
      <c r="P171" s="13">
        <f t="shared" si="37"/>
        <v>209714.00570000001</v>
      </c>
      <c r="R171" s="163">
        <f>R$169</f>
        <v>4.0099999999999997E-2</v>
      </c>
      <c r="S171" s="19"/>
      <c r="T171" s="13">
        <f t="shared" si="34"/>
        <v>1986018.4578634498</v>
      </c>
      <c r="V171" s="163">
        <f>V$169</f>
        <v>3.6900000000000002E-2</v>
      </c>
      <c r="W171" s="19"/>
      <c r="X171" s="13">
        <f t="shared" si="35"/>
        <v>1827533.1943930502</v>
      </c>
    </row>
    <row r="172" spans="1:24">
      <c r="A172" s="17" t="s">
        <v>92</v>
      </c>
      <c r="C172" s="54">
        <v>507349132</v>
      </c>
      <c r="E172" s="236">
        <v>4.6531000000000002</v>
      </c>
      <c r="F172" s="215" t="s">
        <v>16</v>
      </c>
      <c r="G172" s="215"/>
      <c r="H172" s="213">
        <v>23607462</v>
      </c>
      <c r="J172" s="163">
        <f>J$170</f>
        <v>1.12E-2</v>
      </c>
      <c r="K172" s="24"/>
      <c r="L172" s="13">
        <f t="shared" si="36"/>
        <v>264403.57439999998</v>
      </c>
      <c r="N172" s="163">
        <f>N$170</f>
        <v>4.3E-3</v>
      </c>
      <c r="O172" s="24"/>
      <c r="P172" s="13">
        <f t="shared" si="37"/>
        <v>101512.0866</v>
      </c>
      <c r="R172" s="163">
        <f>R$169</f>
        <v>4.0099999999999997E-2</v>
      </c>
      <c r="S172" s="24"/>
      <c r="T172" s="13">
        <f t="shared" si="34"/>
        <v>961332.44420609984</v>
      </c>
      <c r="V172" s="163">
        <f>V$169</f>
        <v>3.6900000000000002E-2</v>
      </c>
      <c r="W172" s="24"/>
      <c r="X172" s="13">
        <f t="shared" si="35"/>
        <v>884617.63569090003</v>
      </c>
    </row>
    <row r="173" spans="1:24">
      <c r="A173" s="17" t="s">
        <v>93</v>
      </c>
      <c r="C173" s="54">
        <v>1382941034</v>
      </c>
      <c r="E173" s="236">
        <v>3.4988999999999999</v>
      </c>
      <c r="F173" s="215" t="s">
        <v>16</v>
      </c>
      <c r="G173" s="215"/>
      <c r="H173" s="213">
        <v>48387724</v>
      </c>
      <c r="J173" s="163">
        <f>J$170</f>
        <v>1.12E-2</v>
      </c>
      <c r="K173" s="24"/>
      <c r="L173" s="13">
        <f t="shared" si="36"/>
        <v>541942.50879999995</v>
      </c>
      <c r="N173" s="163">
        <f>N$170</f>
        <v>4.3E-3</v>
      </c>
      <c r="O173" s="24"/>
      <c r="P173" s="13">
        <f t="shared" si="37"/>
        <v>208067.2132</v>
      </c>
      <c r="R173" s="163">
        <f>R$169</f>
        <v>4.0099999999999997E-2</v>
      </c>
      <c r="S173" s="24"/>
      <c r="T173" s="13">
        <f t="shared" si="34"/>
        <v>1970423.1222522</v>
      </c>
      <c r="V173" s="163">
        <f>V$169</f>
        <v>3.6900000000000002E-2</v>
      </c>
      <c r="W173" s="24"/>
      <c r="X173" s="13">
        <f t="shared" si="35"/>
        <v>1813182.3743418001</v>
      </c>
    </row>
    <row r="174" spans="1:24">
      <c r="A174" s="17" t="s">
        <v>90</v>
      </c>
      <c r="C174" s="54">
        <v>3137145374.7653074</v>
      </c>
      <c r="E174" s="237">
        <v>2.9224999999999999</v>
      </c>
      <c r="F174" s="215" t="s">
        <v>16</v>
      </c>
      <c r="G174" s="215"/>
      <c r="H174" s="213">
        <v>91683074</v>
      </c>
      <c r="J174" s="163">
        <f>J$170</f>
        <v>1.12E-2</v>
      </c>
      <c r="K174" s="24"/>
      <c r="L174" s="13">
        <f t="shared" si="36"/>
        <v>1026850.4288</v>
      </c>
      <c r="N174" s="163">
        <f>N$170</f>
        <v>4.3E-3</v>
      </c>
      <c r="O174" s="24"/>
      <c r="P174" s="13">
        <f t="shared" si="37"/>
        <v>394237.2182</v>
      </c>
      <c r="R174" s="163">
        <f>R$169</f>
        <v>4.0099999999999997E-2</v>
      </c>
      <c r="S174" s="24"/>
      <c r="T174" s="13">
        <f t="shared" si="34"/>
        <v>3733476.8820446995</v>
      </c>
      <c r="V174" s="163">
        <f>V$169</f>
        <v>3.6900000000000002E-2</v>
      </c>
      <c r="W174" s="24"/>
      <c r="X174" s="13">
        <f t="shared" si="35"/>
        <v>3435543.5647743</v>
      </c>
    </row>
    <row r="175" spans="1:24">
      <c r="A175" s="17" t="s">
        <v>28</v>
      </c>
      <c r="C175" s="35">
        <v>0</v>
      </c>
      <c r="H175" s="220">
        <v>0</v>
      </c>
      <c r="L175" s="36"/>
      <c r="P175" s="36"/>
      <c r="T175" s="36"/>
      <c r="X175" s="36"/>
    </row>
    <row r="176" spans="1:24" ht="16.5" thickBot="1">
      <c r="A176" s="17" t="s">
        <v>29</v>
      </c>
      <c r="C176" s="93">
        <v>5027435540.7653065</v>
      </c>
      <c r="E176" s="226"/>
      <c r="H176" s="227">
        <v>284876452</v>
      </c>
      <c r="J176" s="47"/>
      <c r="L176" s="48">
        <f>SUM(L168:L175)</f>
        <v>2960314.4816000001</v>
      </c>
      <c r="N176" s="47"/>
      <c r="P176" s="48">
        <f>SUM(P168:P175)</f>
        <v>1136549.3099</v>
      </c>
      <c r="R176" s="47"/>
      <c r="T176" s="48">
        <f>SUM(T168:T175)</f>
        <v>11569228.816339148</v>
      </c>
      <c r="V176" s="47"/>
      <c r="X176" s="48">
        <f>SUM(X168:X175)</f>
        <v>10645998.58660635</v>
      </c>
    </row>
    <row r="177" spans="1:24" ht="16.5" thickTop="1">
      <c r="C177" s="54"/>
    </row>
    <row r="178" spans="1:24">
      <c r="A178" s="16" t="s">
        <v>94</v>
      </c>
      <c r="C178" s="54"/>
      <c r="E178" s="231"/>
      <c r="F178" s="232"/>
      <c r="G178" s="232"/>
      <c r="J178" s="52"/>
      <c r="K178" s="58"/>
      <c r="N178" s="52"/>
      <c r="O178" s="58"/>
      <c r="R178" s="52"/>
      <c r="S178" s="58"/>
      <c r="V178" s="52"/>
      <c r="W178" s="58"/>
    </row>
    <row r="179" spans="1:24">
      <c r="A179" s="17" t="s">
        <v>35</v>
      </c>
      <c r="C179" s="54">
        <v>108</v>
      </c>
      <c r="E179" s="166">
        <v>259</v>
      </c>
      <c r="F179" s="212"/>
      <c r="G179" s="212"/>
      <c r="H179" s="213">
        <v>27972</v>
      </c>
      <c r="J179" s="18"/>
      <c r="K179" s="41"/>
      <c r="L179" s="13"/>
      <c r="N179" s="18"/>
      <c r="O179" s="41"/>
      <c r="P179" s="13"/>
      <c r="R179" s="18"/>
      <c r="S179" s="41"/>
      <c r="T179" s="13"/>
      <c r="V179" s="18"/>
      <c r="W179" s="41"/>
      <c r="X179" s="13"/>
    </row>
    <row r="180" spans="1:24">
      <c r="A180" s="17" t="s">
        <v>95</v>
      </c>
      <c r="C180" s="54">
        <v>235118</v>
      </c>
      <c r="E180" s="166">
        <v>2.2200000000000002</v>
      </c>
      <c r="F180" s="212"/>
      <c r="G180" s="212"/>
      <c r="H180" s="213">
        <v>521962</v>
      </c>
      <c r="J180" s="18"/>
      <c r="K180" s="41"/>
      <c r="L180" s="13"/>
      <c r="N180" s="18"/>
      <c r="O180" s="41"/>
      <c r="P180" s="13"/>
      <c r="R180" s="162">
        <v>4.0300000000000002E-2</v>
      </c>
      <c r="S180" s="24"/>
      <c r="T180" s="13">
        <f>($H180+$L180+$P180)*R180</f>
        <v>21035.068600000002</v>
      </c>
      <c r="V180" s="162">
        <f>ROUND(1/($H$184-$H$179+$L$184+$P$184)*'RateSpread-1'!P26*1000,4)</f>
        <v>3.7100000000000001E-2</v>
      </c>
      <c r="W180" s="24"/>
      <c r="X180" s="13">
        <f>($H180+$L180+$P180)*V180</f>
        <v>19364.790199999999</v>
      </c>
    </row>
    <row r="181" spans="1:24">
      <c r="A181" s="17" t="s">
        <v>96</v>
      </c>
      <c r="C181" s="54">
        <v>23805248</v>
      </c>
      <c r="E181" s="225">
        <v>8.6029</v>
      </c>
      <c r="F181" s="215" t="s">
        <v>16</v>
      </c>
      <c r="G181" s="215"/>
      <c r="H181" s="213">
        <v>2047942</v>
      </c>
      <c r="J181" s="162">
        <v>1.24E-2</v>
      </c>
      <c r="K181" s="19"/>
      <c r="L181" s="13">
        <f t="shared" ref="L181:L182" si="38">$H181*J181</f>
        <v>25394.480799999998</v>
      </c>
      <c r="N181" s="162">
        <v>4.7000000000000002E-3</v>
      </c>
      <c r="O181" s="19"/>
      <c r="P181" s="13">
        <f t="shared" ref="P181:P182" si="39">$H181*N181</f>
        <v>9625.3274000000001</v>
      </c>
      <c r="R181" s="151">
        <f>R$180</f>
        <v>4.0300000000000002E-2</v>
      </c>
      <c r="S181" s="24"/>
      <c r="T181" s="13">
        <f>($H181+$L181+$P181)*R181</f>
        <v>83943.360870460005</v>
      </c>
      <c r="V181" s="151">
        <f>V$180</f>
        <v>3.7100000000000001E-2</v>
      </c>
      <c r="W181" s="24"/>
      <c r="X181" s="13">
        <f>($H181+$L181+$P181)*V181</f>
        <v>77277.883084220011</v>
      </c>
    </row>
    <row r="182" spans="1:24">
      <c r="A182" s="17" t="s">
        <v>90</v>
      </c>
      <c r="C182" s="54">
        <v>18785533.425473027</v>
      </c>
      <c r="E182" s="225">
        <v>3.6981000000000002</v>
      </c>
      <c r="F182" s="215" t="s">
        <v>16</v>
      </c>
      <c r="G182" s="215"/>
      <c r="H182" s="213">
        <v>694708</v>
      </c>
      <c r="J182" s="151">
        <f>J181</f>
        <v>1.24E-2</v>
      </c>
      <c r="K182" s="24"/>
      <c r="L182" s="13">
        <f t="shared" si="38"/>
        <v>8614.3791999999994</v>
      </c>
      <c r="N182" s="151">
        <f>N181</f>
        <v>4.7000000000000002E-3</v>
      </c>
      <c r="O182" s="24"/>
      <c r="P182" s="13">
        <f t="shared" si="39"/>
        <v>3265.1276000000003</v>
      </c>
      <c r="R182" s="151">
        <f>R$180</f>
        <v>4.0300000000000002E-2</v>
      </c>
      <c r="S182" s="24"/>
      <c r="T182" s="13">
        <f>($H182+$L182+$P182)*R182</f>
        <v>28475.476524040001</v>
      </c>
      <c r="V182" s="151">
        <f>V$180</f>
        <v>3.7100000000000001E-2</v>
      </c>
      <c r="W182" s="24"/>
      <c r="X182" s="13">
        <f>($H182+$L182+$P182)*V182</f>
        <v>26214.39650228</v>
      </c>
    </row>
    <row r="183" spans="1:24">
      <c r="A183" s="17" t="s">
        <v>28</v>
      </c>
      <c r="C183" s="35">
        <v>0</v>
      </c>
      <c r="H183" s="220">
        <v>0</v>
      </c>
      <c r="L183" s="37"/>
      <c r="P183" s="37"/>
      <c r="T183" s="37"/>
      <c r="X183" s="37"/>
    </row>
    <row r="184" spans="1:24" ht="16.5" thickBot="1">
      <c r="A184" s="17" t="s">
        <v>29</v>
      </c>
      <c r="C184" s="93">
        <v>42590781.425473027</v>
      </c>
      <c r="E184" s="226"/>
      <c r="H184" s="227">
        <v>3292584</v>
      </c>
      <c r="J184" s="47"/>
      <c r="L184" s="48">
        <f>SUM(L179:L183)</f>
        <v>34008.86</v>
      </c>
      <c r="N184" s="47"/>
      <c r="P184" s="48">
        <f>SUM(P179:P183)</f>
        <v>12890.455</v>
      </c>
      <c r="R184" s="47"/>
      <c r="T184" s="48">
        <f>SUM(T179:T183)</f>
        <v>133453.9059945</v>
      </c>
      <c r="V184" s="47"/>
      <c r="X184" s="48">
        <f>SUM(X179:X183)</f>
        <v>122857.06978650001</v>
      </c>
    </row>
    <row r="185" spans="1:24" ht="16.5" thickTop="1">
      <c r="C185" s="54"/>
    </row>
    <row r="186" spans="1:24">
      <c r="A186" s="16" t="s">
        <v>97</v>
      </c>
    </row>
    <row r="187" spans="1:24">
      <c r="A187" s="17" t="s">
        <v>98</v>
      </c>
      <c r="C187" s="54">
        <v>6</v>
      </c>
      <c r="E187" s="238">
        <v>125</v>
      </c>
      <c r="F187" s="218"/>
      <c r="G187" s="218"/>
      <c r="H187" s="213">
        <v>750</v>
      </c>
      <c r="J187" s="32"/>
      <c r="K187" s="31"/>
      <c r="L187" s="13"/>
      <c r="N187" s="32"/>
      <c r="O187" s="31"/>
      <c r="P187" s="13"/>
      <c r="R187" s="32"/>
      <c r="S187" s="31"/>
      <c r="T187" s="13"/>
      <c r="V187" s="32"/>
      <c r="W187" s="31"/>
      <c r="X187" s="13"/>
    </row>
    <row r="188" spans="1:24">
      <c r="A188" s="17" t="s">
        <v>99</v>
      </c>
      <c r="C188" s="54">
        <v>2778.3333333333335</v>
      </c>
      <c r="E188" s="238">
        <v>38</v>
      </c>
      <c r="F188" s="218"/>
      <c r="G188" s="218"/>
      <c r="H188" s="213">
        <v>105577</v>
      </c>
      <c r="J188" s="32"/>
      <c r="K188" s="31"/>
      <c r="L188" s="13"/>
      <c r="N188" s="32"/>
      <c r="O188" s="31"/>
      <c r="P188" s="13"/>
      <c r="R188" s="32"/>
      <c r="S188" s="31"/>
      <c r="T188" s="13"/>
      <c r="V188" s="32"/>
      <c r="W188" s="31"/>
      <c r="X188" s="13"/>
    </row>
    <row r="189" spans="1:24">
      <c r="A189" s="17" t="s">
        <v>100</v>
      </c>
      <c r="C189" s="54">
        <v>12565</v>
      </c>
      <c r="E189" s="238">
        <v>14</v>
      </c>
      <c r="F189" s="218"/>
      <c r="G189" s="218"/>
      <c r="H189" s="213">
        <v>175910</v>
      </c>
      <c r="J189" s="32"/>
      <c r="K189" s="31"/>
      <c r="L189" s="13"/>
      <c r="N189" s="32"/>
      <c r="O189" s="31"/>
      <c r="P189" s="13"/>
      <c r="R189" s="32"/>
      <c r="S189" s="31"/>
      <c r="T189" s="13"/>
      <c r="V189" s="32"/>
      <c r="W189" s="31"/>
      <c r="X189" s="13"/>
    </row>
    <row r="190" spans="1:24">
      <c r="A190" s="17" t="s">
        <v>101</v>
      </c>
      <c r="C190" s="54">
        <v>323633</v>
      </c>
      <c r="E190" s="238">
        <v>7.33</v>
      </c>
      <c r="F190" s="218"/>
      <c r="G190" s="218"/>
      <c r="H190" s="213">
        <v>2372230</v>
      </c>
      <c r="J190" s="162">
        <v>8.2000000000000007E-3</v>
      </c>
      <c r="K190" s="19"/>
      <c r="L190" s="13">
        <f t="shared" ref="L190" si="40">$H190*J190</f>
        <v>19452.286</v>
      </c>
      <c r="N190" s="162">
        <v>4.1999999999999997E-3</v>
      </c>
      <c r="O190" s="19"/>
      <c r="P190" s="13">
        <f t="shared" ref="P190" si="41">$H190*N190</f>
        <v>9963.366</v>
      </c>
      <c r="R190" s="162">
        <v>4.1099999999999998E-2</v>
      </c>
      <c r="S190" s="19"/>
      <c r="T190" s="13">
        <f>($H190+$L190+$P190)*R190</f>
        <v>98707.636297199992</v>
      </c>
      <c r="V190" s="162">
        <f>ROUND(1/($H$200-$H$187-$H$188-$H$189-$H$196+$L$200+$P$200+$H$216-$H$203-$H$204-$H$205-$H$212+$L$216+$P$216)*'RateSpread-1'!P30*1000,4)</f>
        <v>3.78E-2</v>
      </c>
      <c r="W190" s="19"/>
      <c r="X190" s="13">
        <f>($H190+$L190+$P190)*V190</f>
        <v>90782.205645599999</v>
      </c>
    </row>
    <row r="191" spans="1:24">
      <c r="A191" s="17" t="s">
        <v>38</v>
      </c>
      <c r="C191" s="54">
        <v>10067</v>
      </c>
      <c r="E191" s="238">
        <v>-2.0499999999999998</v>
      </c>
      <c r="F191" s="218"/>
      <c r="G191" s="218"/>
      <c r="H191" s="213">
        <v>-20637</v>
      </c>
      <c r="J191" s="32"/>
      <c r="K191" s="31"/>
      <c r="L191" s="13"/>
      <c r="N191" s="32"/>
      <c r="O191" s="31"/>
      <c r="P191" s="13"/>
      <c r="R191" s="151">
        <f>R$190</f>
        <v>4.1099999999999998E-2</v>
      </c>
      <c r="S191" s="24"/>
      <c r="T191" s="13">
        <f>($H191+$L191+$P191)*R191</f>
        <v>-848.1807</v>
      </c>
      <c r="V191" s="151">
        <f>V$190</f>
        <v>3.78E-2</v>
      </c>
      <c r="W191" s="24"/>
      <c r="X191" s="13">
        <f>($H191+$L191+$P191)*V191</f>
        <v>-780.07860000000005</v>
      </c>
    </row>
    <row r="192" spans="1:24">
      <c r="A192" s="17" t="s">
        <v>102</v>
      </c>
      <c r="C192" s="54">
        <v>71130178</v>
      </c>
      <c r="E192" s="225">
        <v>7.2971000000000004</v>
      </c>
      <c r="F192" s="215" t="s">
        <v>16</v>
      </c>
      <c r="G192" s="215"/>
      <c r="H192" s="213">
        <v>5190440</v>
      </c>
      <c r="J192" s="151">
        <f>J$190</f>
        <v>8.2000000000000007E-3</v>
      </c>
      <c r="K192" s="24"/>
      <c r="L192" s="13">
        <f t="shared" ref="L192:L193" si="42">$H192*J192</f>
        <v>42561.608</v>
      </c>
      <c r="N192" s="151">
        <f>N$190</f>
        <v>4.1999999999999997E-3</v>
      </c>
      <c r="O192" s="24"/>
      <c r="P192" s="13">
        <f t="shared" ref="P192:P193" si="43">$H192*N192</f>
        <v>21799.847999999998</v>
      </c>
      <c r="R192" s="151">
        <f>R$190</f>
        <v>4.1099999999999998E-2</v>
      </c>
      <c r="S192" s="24"/>
      <c r="T192" s="13">
        <f>($H192+$L192+$P192)*R192</f>
        <v>215972.33984159998</v>
      </c>
      <c r="V192" s="151">
        <f>V$190</f>
        <v>3.78E-2</v>
      </c>
      <c r="W192" s="24"/>
      <c r="X192" s="13">
        <f>($H192+$L192+$P192)*V192</f>
        <v>198631.49503680001</v>
      </c>
    </row>
    <row r="193" spans="1:24">
      <c r="A193" s="17" t="s">
        <v>103</v>
      </c>
      <c r="C193" s="35">
        <v>51830436</v>
      </c>
      <c r="E193" s="225">
        <v>5.3936000000000002</v>
      </c>
      <c r="F193" s="215" t="s">
        <v>16</v>
      </c>
      <c r="G193" s="215"/>
      <c r="H193" s="220">
        <v>2795526</v>
      </c>
      <c r="J193" s="151">
        <f>J$190</f>
        <v>8.2000000000000007E-3</v>
      </c>
      <c r="K193" s="24"/>
      <c r="L193" s="36">
        <f t="shared" si="42"/>
        <v>22923.313200000001</v>
      </c>
      <c r="N193" s="151">
        <f>N$190</f>
        <v>4.1999999999999997E-3</v>
      </c>
      <c r="O193" s="24"/>
      <c r="P193" s="36">
        <f t="shared" si="43"/>
        <v>11741.209199999999</v>
      </c>
      <c r="R193" s="151">
        <f>R$190</f>
        <v>4.1099999999999998E-2</v>
      </c>
      <c r="S193" s="24"/>
      <c r="T193" s="36">
        <f>($H193+$L193+$P193)*R193</f>
        <v>116320.83047063999</v>
      </c>
      <c r="V193" s="151">
        <f>V$190</f>
        <v>3.78E-2</v>
      </c>
      <c r="W193" s="24"/>
      <c r="X193" s="36">
        <f>($H193+$L193+$P193)*V193</f>
        <v>106981.20174672001</v>
      </c>
    </row>
    <row r="194" spans="1:24">
      <c r="A194" s="17" t="s">
        <v>104</v>
      </c>
      <c r="C194" s="239">
        <v>122960614</v>
      </c>
      <c r="E194" s="240"/>
      <c r="H194" s="220">
        <v>10619796</v>
      </c>
      <c r="J194" s="66"/>
      <c r="L194" s="36">
        <f>SUM(L187:L193)</f>
        <v>84937.207200000004</v>
      </c>
      <c r="N194" s="66"/>
      <c r="P194" s="36">
        <f>SUM(P187:P193)</f>
        <v>43504.423199999997</v>
      </c>
      <c r="R194" s="66"/>
      <c r="T194" s="36">
        <f>SUM(T187:T193)</f>
        <v>430152.62590943999</v>
      </c>
      <c r="V194" s="66"/>
      <c r="X194" s="36">
        <f>SUM(X187:X193)</f>
        <v>395614.82382912003</v>
      </c>
    </row>
    <row r="195" spans="1:24">
      <c r="A195" s="17" t="s">
        <v>105</v>
      </c>
      <c r="C195" s="54"/>
    </row>
    <row r="196" spans="1:24">
      <c r="A196" s="17" t="s">
        <v>106</v>
      </c>
      <c r="C196" s="21">
        <v>5886</v>
      </c>
      <c r="E196" s="218">
        <v>14</v>
      </c>
      <c r="F196" s="218"/>
      <c r="G196" s="218"/>
      <c r="H196" s="219">
        <v>82404</v>
      </c>
      <c r="J196" s="67"/>
      <c r="K196" s="30"/>
      <c r="L196" s="33"/>
      <c r="N196" s="67"/>
      <c r="O196" s="30"/>
      <c r="P196" s="33"/>
      <c r="R196" s="67"/>
      <c r="S196" s="30"/>
      <c r="T196" s="33"/>
      <c r="V196" s="67"/>
      <c r="W196" s="30"/>
      <c r="X196" s="33"/>
    </row>
    <row r="197" spans="1:24">
      <c r="A197" s="17" t="s">
        <v>107</v>
      </c>
      <c r="C197" s="35">
        <v>50172778</v>
      </c>
      <c r="E197" s="231">
        <v>4.9983000000000004</v>
      </c>
      <c r="F197" s="215" t="s">
        <v>16</v>
      </c>
      <c r="G197" s="215"/>
      <c r="H197" s="234">
        <v>2507786</v>
      </c>
      <c r="J197" s="151">
        <f>J$190</f>
        <v>8.2000000000000007E-3</v>
      </c>
      <c r="K197" s="24"/>
      <c r="L197" s="68">
        <f t="shared" ref="L197" si="44">$H197*J197</f>
        <v>20563.845200000003</v>
      </c>
      <c r="N197" s="151">
        <f>N$190</f>
        <v>4.1999999999999997E-3</v>
      </c>
      <c r="O197" s="24"/>
      <c r="P197" s="68">
        <f t="shared" ref="P197" si="45">$H197*N197</f>
        <v>10532.7012</v>
      </c>
      <c r="R197" s="151">
        <f>R$190</f>
        <v>4.1099999999999998E-2</v>
      </c>
      <c r="S197" s="24"/>
      <c r="T197" s="68">
        <f>($H197+$L197+$P197)*R197</f>
        <v>104348.07265703999</v>
      </c>
      <c r="V197" s="151">
        <f>V$190</f>
        <v>3.78E-2</v>
      </c>
      <c r="W197" s="24"/>
      <c r="X197" s="68">
        <f>($H197+$L197+$P197)*V197</f>
        <v>95969.760253920002</v>
      </c>
    </row>
    <row r="198" spans="1:24">
      <c r="A198" s="17" t="s">
        <v>108</v>
      </c>
      <c r="C198" s="35">
        <v>50172778</v>
      </c>
      <c r="E198" s="240"/>
      <c r="H198" s="220">
        <v>2590190</v>
      </c>
      <c r="J198" s="66"/>
      <c r="L198" s="36">
        <f>SUM(L196:L197)</f>
        <v>20563.845200000003</v>
      </c>
      <c r="N198" s="66"/>
      <c r="P198" s="36">
        <f>SUM(P196:P197)</f>
        <v>10532.7012</v>
      </c>
      <c r="R198" s="66"/>
      <c r="T198" s="36">
        <f>SUM(T196:T197)</f>
        <v>104348.07265703999</v>
      </c>
      <c r="V198" s="66"/>
      <c r="X198" s="36">
        <f>SUM(X196:X197)</f>
        <v>95969.760253920002</v>
      </c>
    </row>
    <row r="199" spans="1:24">
      <c r="A199" s="17" t="s">
        <v>28</v>
      </c>
      <c r="C199" s="35">
        <v>0</v>
      </c>
      <c r="H199" s="220">
        <v>0</v>
      </c>
      <c r="L199" s="37"/>
      <c r="P199" s="37"/>
      <c r="T199" s="37"/>
      <c r="X199" s="37"/>
    </row>
    <row r="200" spans="1:24" ht="16.5" thickBot="1">
      <c r="A200" s="17" t="s">
        <v>109</v>
      </c>
      <c r="C200" s="93">
        <v>173133392</v>
      </c>
      <c r="E200" s="226"/>
      <c r="H200" s="227">
        <v>13209986</v>
      </c>
      <c r="J200" s="47"/>
      <c r="L200" s="48">
        <f>L194+L198</f>
        <v>105501.05240000002</v>
      </c>
      <c r="N200" s="47"/>
      <c r="P200" s="48">
        <f>P194+P198</f>
        <v>54037.124400000001</v>
      </c>
      <c r="R200" s="47"/>
      <c r="T200" s="48">
        <f>T194+T198</f>
        <v>534500.69856647996</v>
      </c>
      <c r="V200" s="47"/>
      <c r="X200" s="48">
        <f>X194+X198</f>
        <v>491584.58408304001</v>
      </c>
    </row>
    <row r="201" spans="1:24" ht="16.5" thickTop="1">
      <c r="C201" s="54"/>
    </row>
    <row r="202" spans="1:24">
      <c r="A202" s="16" t="s">
        <v>110</v>
      </c>
      <c r="C202" s="54"/>
    </row>
    <row r="203" spans="1:24">
      <c r="A203" s="17" t="s">
        <v>98</v>
      </c>
      <c r="C203" s="54">
        <v>5</v>
      </c>
      <c r="E203" s="238">
        <v>125</v>
      </c>
      <c r="F203" s="218"/>
      <c r="G203" s="218"/>
      <c r="H203" s="213">
        <v>625</v>
      </c>
      <c r="J203" s="32"/>
      <c r="K203" s="53"/>
      <c r="L203" s="13"/>
      <c r="N203" s="32"/>
      <c r="O203" s="53"/>
      <c r="P203" s="13"/>
      <c r="R203" s="32"/>
      <c r="S203" s="53"/>
      <c r="T203" s="13"/>
      <c r="V203" s="32"/>
      <c r="W203" s="53"/>
      <c r="X203" s="13"/>
    </row>
    <row r="204" spans="1:24">
      <c r="A204" s="17" t="s">
        <v>99</v>
      </c>
      <c r="C204" s="54">
        <v>256</v>
      </c>
      <c r="E204" s="238">
        <v>38</v>
      </c>
      <c r="F204" s="218"/>
      <c r="G204" s="218"/>
      <c r="H204" s="213">
        <v>9728</v>
      </c>
      <c r="J204" s="32"/>
      <c r="K204" s="53"/>
      <c r="L204" s="13"/>
      <c r="N204" s="32"/>
      <c r="O204" s="53"/>
      <c r="P204" s="13"/>
      <c r="R204" s="32"/>
      <c r="S204" s="53"/>
      <c r="T204" s="13"/>
      <c r="V204" s="32"/>
      <c r="W204" s="53"/>
      <c r="X204" s="13"/>
    </row>
    <row r="205" spans="1:24">
      <c r="A205" s="17" t="s">
        <v>111</v>
      </c>
      <c r="C205" s="21">
        <v>1143</v>
      </c>
      <c r="E205" s="238">
        <v>14</v>
      </c>
      <c r="F205" s="218"/>
      <c r="G205" s="218"/>
      <c r="H205" s="213">
        <v>16002</v>
      </c>
      <c r="J205" s="32"/>
      <c r="K205" s="53"/>
      <c r="L205" s="13"/>
      <c r="N205" s="32"/>
      <c r="O205" s="53"/>
      <c r="P205" s="13"/>
      <c r="R205" s="32"/>
      <c r="S205" s="53"/>
      <c r="T205" s="13"/>
      <c r="V205" s="32"/>
      <c r="W205" s="53"/>
      <c r="X205" s="13"/>
    </row>
    <row r="206" spans="1:24">
      <c r="A206" s="17" t="s">
        <v>101</v>
      </c>
      <c r="C206" s="21">
        <v>37541</v>
      </c>
      <c r="E206" s="238">
        <v>7.33</v>
      </c>
      <c r="F206" s="218"/>
      <c r="G206" s="218"/>
      <c r="H206" s="213">
        <v>275176</v>
      </c>
      <c r="J206" s="151">
        <f>J$190</f>
        <v>8.2000000000000007E-3</v>
      </c>
      <c r="K206" s="53"/>
      <c r="L206" s="13">
        <f t="shared" ref="L206" si="46">$H206*J206</f>
        <v>2256.4432000000002</v>
      </c>
      <c r="N206" s="151">
        <f>N$190</f>
        <v>4.1999999999999997E-3</v>
      </c>
      <c r="O206" s="53"/>
      <c r="P206" s="13">
        <f t="shared" ref="P206" si="47">$H206*N206</f>
        <v>1155.7392</v>
      </c>
      <c r="R206" s="151">
        <f>R$190</f>
        <v>4.1099999999999998E-2</v>
      </c>
      <c r="S206" s="53"/>
      <c r="T206" s="13">
        <f>($H206+$L206+$P206)*R206</f>
        <v>11449.974296639999</v>
      </c>
      <c r="V206" s="151">
        <f>V$190</f>
        <v>3.78E-2</v>
      </c>
      <c r="W206" s="53"/>
      <c r="X206" s="13">
        <f>($H206+$L206+$P206)*V206</f>
        <v>10530.633294719999</v>
      </c>
    </row>
    <row r="207" spans="1:24">
      <c r="A207" s="17" t="s">
        <v>112</v>
      </c>
      <c r="C207" s="21">
        <v>1037</v>
      </c>
      <c r="E207" s="238">
        <v>-2.0499999999999998</v>
      </c>
      <c r="F207" s="218"/>
      <c r="G207" s="218"/>
      <c r="H207" s="213">
        <v>-2126</v>
      </c>
      <c r="J207" s="32"/>
      <c r="K207" s="53"/>
      <c r="L207" s="13"/>
      <c r="N207" s="32"/>
      <c r="O207" s="53"/>
      <c r="P207" s="13"/>
      <c r="R207" s="151">
        <f>R$190</f>
        <v>4.1099999999999998E-2</v>
      </c>
      <c r="S207" s="53"/>
      <c r="T207" s="13">
        <f>($H207+$L207+$P207)*R207</f>
        <v>-87.378599999999992</v>
      </c>
      <c r="V207" s="151">
        <f>V$190</f>
        <v>3.78E-2</v>
      </c>
      <c r="W207" s="53"/>
      <c r="X207" s="13">
        <f>($H207+$L207+$P207)*V207</f>
        <v>-80.362800000000007</v>
      </c>
    </row>
    <row r="208" spans="1:24">
      <c r="A208" s="17" t="s">
        <v>96</v>
      </c>
      <c r="C208" s="21">
        <v>2262299</v>
      </c>
      <c r="E208" s="225">
        <v>14.416399999999999</v>
      </c>
      <c r="F208" s="215" t="s">
        <v>16</v>
      </c>
      <c r="G208" s="215"/>
      <c r="H208" s="213">
        <v>326142</v>
      </c>
      <c r="J208" s="151">
        <f>J$190</f>
        <v>8.2000000000000007E-3</v>
      </c>
      <c r="K208" s="24"/>
      <c r="L208" s="13">
        <f t="shared" ref="L208:L209" si="48">$H208*J208</f>
        <v>2674.3644000000004</v>
      </c>
      <c r="N208" s="151">
        <f>N$190</f>
        <v>4.1999999999999997E-3</v>
      </c>
      <c r="O208" s="24"/>
      <c r="P208" s="13">
        <f t="shared" ref="P208:P209" si="49">$H208*N208</f>
        <v>1369.7963999999999</v>
      </c>
      <c r="R208" s="151">
        <f>R$190</f>
        <v>4.1099999999999998E-2</v>
      </c>
      <c r="S208" s="24"/>
      <c r="T208" s="13">
        <f>($H208+$L208+$P208)*R208</f>
        <v>13570.651208879999</v>
      </c>
      <c r="V208" s="151">
        <f>V$190</f>
        <v>3.78E-2</v>
      </c>
      <c r="W208" s="24"/>
      <c r="X208" s="13">
        <f>($H208+$L208+$P208)*V208</f>
        <v>12481.03687824</v>
      </c>
    </row>
    <row r="209" spans="1:24">
      <c r="A209" s="17" t="s">
        <v>90</v>
      </c>
      <c r="C209" s="35">
        <v>8574215</v>
      </c>
      <c r="E209" s="231">
        <v>4.1542000000000003</v>
      </c>
      <c r="F209" s="215" t="s">
        <v>16</v>
      </c>
      <c r="G209" s="215"/>
      <c r="H209" s="234">
        <v>356190</v>
      </c>
      <c r="J209" s="151">
        <f>J$190</f>
        <v>8.2000000000000007E-3</v>
      </c>
      <c r="K209" s="24"/>
      <c r="L209" s="68">
        <f t="shared" si="48"/>
        <v>2920.7580000000003</v>
      </c>
      <c r="N209" s="151">
        <f>N$190</f>
        <v>4.1999999999999997E-3</v>
      </c>
      <c r="O209" s="24"/>
      <c r="P209" s="68">
        <f t="shared" si="49"/>
        <v>1495.9979999999998</v>
      </c>
      <c r="R209" s="151">
        <f>R$190</f>
        <v>4.1099999999999998E-2</v>
      </c>
      <c r="S209" s="24"/>
      <c r="T209" s="68">
        <f>($H209+$L209+$P209)*R209</f>
        <v>14820.937671599999</v>
      </c>
      <c r="V209" s="151">
        <f>V$190</f>
        <v>3.78E-2</v>
      </c>
      <c r="W209" s="24"/>
      <c r="X209" s="68">
        <f>($H209+$L209+$P209)*V209</f>
        <v>13630.9353768</v>
      </c>
    </row>
    <row r="210" spans="1:24">
      <c r="A210" s="17" t="s">
        <v>104</v>
      </c>
      <c r="C210" s="35">
        <v>10836514</v>
      </c>
      <c r="E210" s="240"/>
      <c r="H210" s="220">
        <v>981737</v>
      </c>
      <c r="J210" s="66"/>
      <c r="L210" s="36">
        <f>SUM(L203:L209)</f>
        <v>7851.5655999999999</v>
      </c>
      <c r="N210" s="66"/>
      <c r="P210" s="36">
        <f>SUM(P203:P209)</f>
        <v>4021.5335999999998</v>
      </c>
      <c r="R210" s="66"/>
      <c r="T210" s="36">
        <f>SUM(T203:T209)</f>
        <v>39754.184577119995</v>
      </c>
      <c r="V210" s="66"/>
      <c r="X210" s="36">
        <f>SUM(X203:X209)</f>
        <v>36562.24274976</v>
      </c>
    </row>
    <row r="211" spans="1:24">
      <c r="A211" s="17" t="s">
        <v>105</v>
      </c>
      <c r="C211" s="54"/>
    </row>
    <row r="212" spans="1:24">
      <c r="A212" s="17" t="s">
        <v>106</v>
      </c>
      <c r="C212" s="21">
        <v>570</v>
      </c>
      <c r="E212" s="218">
        <v>14</v>
      </c>
      <c r="F212" s="218"/>
      <c r="G212" s="218"/>
      <c r="H212" s="219">
        <v>7980</v>
      </c>
      <c r="J212" s="67"/>
      <c r="K212" s="53"/>
      <c r="L212" s="33"/>
      <c r="N212" s="67"/>
      <c r="O212" s="53"/>
      <c r="P212" s="33"/>
      <c r="R212" s="67"/>
      <c r="S212" s="53"/>
      <c r="T212" s="33"/>
      <c r="V212" s="67"/>
      <c r="W212" s="53"/>
      <c r="X212" s="33"/>
    </row>
    <row r="213" spans="1:24">
      <c r="A213" s="17" t="s">
        <v>107</v>
      </c>
      <c r="C213" s="35">
        <v>5920094</v>
      </c>
      <c r="E213" s="231">
        <v>4.9983000000000004</v>
      </c>
      <c r="F213" s="215" t="s">
        <v>16</v>
      </c>
      <c r="G213" s="215"/>
      <c r="H213" s="234">
        <v>295904</v>
      </c>
      <c r="J213" s="151">
        <f>J$190</f>
        <v>8.2000000000000007E-3</v>
      </c>
      <c r="K213" s="24"/>
      <c r="L213" s="68">
        <f t="shared" ref="L213" si="50">$H213*J213</f>
        <v>2426.4128000000001</v>
      </c>
      <c r="N213" s="151">
        <f>N$190</f>
        <v>4.1999999999999997E-3</v>
      </c>
      <c r="O213" s="24"/>
      <c r="P213" s="68">
        <f t="shared" ref="P213" si="51">$H213*N213</f>
        <v>1242.7967999999998</v>
      </c>
      <c r="R213" s="151">
        <f>R$190</f>
        <v>4.1099999999999998E-2</v>
      </c>
      <c r="S213" s="24"/>
      <c r="T213" s="68">
        <f>($H213+$L213+$P213)*R213</f>
        <v>12312.45891456</v>
      </c>
      <c r="V213" s="151">
        <f>V$190</f>
        <v>3.78E-2</v>
      </c>
      <c r="W213" s="24"/>
      <c r="X213" s="68">
        <f>($H213+$L213+$P213)*V213</f>
        <v>11323.86732288</v>
      </c>
    </row>
    <row r="214" spans="1:24">
      <c r="A214" s="17" t="s">
        <v>108</v>
      </c>
      <c r="C214" s="35">
        <v>5920094</v>
      </c>
      <c r="E214" s="240"/>
      <c r="H214" s="220">
        <v>303884</v>
      </c>
      <c r="J214" s="66"/>
      <c r="L214" s="36">
        <f>SUM(L212:L213)</f>
        <v>2426.4128000000001</v>
      </c>
      <c r="N214" s="66"/>
      <c r="P214" s="36">
        <f>SUM(P212:P213)</f>
        <v>1242.7967999999998</v>
      </c>
      <c r="R214" s="66"/>
      <c r="T214" s="36">
        <f>SUM(T212:T213)</f>
        <v>12312.45891456</v>
      </c>
      <c r="V214" s="66"/>
      <c r="X214" s="36">
        <f>SUM(X212:X213)</f>
        <v>11323.86732288</v>
      </c>
    </row>
    <row r="215" spans="1:24">
      <c r="A215" s="17" t="s">
        <v>28</v>
      </c>
      <c r="C215" s="35">
        <v>0</v>
      </c>
      <c r="H215" s="220">
        <v>0</v>
      </c>
      <c r="L215" s="37"/>
      <c r="P215" s="37"/>
      <c r="T215" s="37"/>
      <c r="X215" s="37"/>
    </row>
    <row r="216" spans="1:24" ht="16.5" thickBot="1">
      <c r="A216" s="17" t="s">
        <v>113</v>
      </c>
      <c r="C216" s="93">
        <v>16756608</v>
      </c>
      <c r="E216" s="226"/>
      <c r="H216" s="227">
        <v>1285621</v>
      </c>
      <c r="J216" s="47"/>
      <c r="L216" s="48">
        <f>L210+L214</f>
        <v>10277.9784</v>
      </c>
      <c r="N216" s="47"/>
      <c r="P216" s="48">
        <f>P210+P214</f>
        <v>5264.3303999999998</v>
      </c>
      <c r="R216" s="47"/>
      <c r="T216" s="48">
        <f>T210+T214</f>
        <v>52066.643491679992</v>
      </c>
      <c r="V216" s="47"/>
      <c r="X216" s="48">
        <f>X210+X214</f>
        <v>47886.110072640004</v>
      </c>
    </row>
    <row r="217" spans="1:24" ht="16.5" thickTop="1">
      <c r="C217" s="54"/>
    </row>
    <row r="218" spans="1:24">
      <c r="A218" s="16" t="s">
        <v>114</v>
      </c>
      <c r="B218" s="7"/>
      <c r="C218" s="54"/>
      <c r="I218" s="43"/>
      <c r="K218" s="43"/>
      <c r="L218" s="7"/>
      <c r="M218" s="43"/>
      <c r="O218" s="43"/>
      <c r="P218" s="7"/>
      <c r="Q218" s="43"/>
      <c r="S218" s="43"/>
      <c r="T218" s="7"/>
      <c r="U218" s="43"/>
      <c r="W218" s="43"/>
      <c r="X218" s="7"/>
    </row>
    <row r="219" spans="1:24">
      <c r="A219" s="26" t="s">
        <v>115</v>
      </c>
      <c r="B219" s="7"/>
      <c r="C219" s="21"/>
      <c r="E219" s="212"/>
      <c r="F219" s="212"/>
      <c r="G219" s="212"/>
      <c r="H219" s="219"/>
      <c r="I219" s="43"/>
      <c r="J219" s="56"/>
      <c r="K219" s="56"/>
      <c r="L219" s="70"/>
      <c r="M219" s="43"/>
      <c r="N219" s="56"/>
      <c r="O219" s="56"/>
      <c r="P219" s="70"/>
      <c r="Q219" s="43"/>
      <c r="R219" s="56"/>
      <c r="S219" s="56"/>
      <c r="T219" s="70"/>
      <c r="U219" s="43"/>
      <c r="V219" s="56"/>
      <c r="W219" s="56"/>
      <c r="X219" s="70"/>
    </row>
    <row r="220" spans="1:24">
      <c r="A220" s="17" t="s">
        <v>116</v>
      </c>
      <c r="B220" s="7"/>
      <c r="C220" s="54">
        <v>34757</v>
      </c>
      <c r="E220" s="166">
        <v>11.8</v>
      </c>
      <c r="F220" s="212"/>
      <c r="G220" s="212"/>
      <c r="H220" s="213">
        <v>410133</v>
      </c>
      <c r="I220" s="43"/>
      <c r="J220" s="18"/>
      <c r="K220" s="56"/>
      <c r="L220" s="71"/>
      <c r="M220" s="43"/>
      <c r="N220" s="18"/>
      <c r="O220" s="56"/>
      <c r="P220" s="71"/>
      <c r="Q220" s="43"/>
      <c r="R220" s="18"/>
      <c r="S220" s="56"/>
      <c r="T220" s="71"/>
      <c r="U220" s="43"/>
      <c r="V220" s="18"/>
      <c r="W220" s="56"/>
      <c r="X220" s="71"/>
    </row>
    <row r="221" spans="1:24" s="69" customFormat="1">
      <c r="A221" s="17" t="s">
        <v>117</v>
      </c>
      <c r="B221" s="7"/>
      <c r="C221" s="54">
        <v>218738</v>
      </c>
      <c r="D221" s="55"/>
      <c r="E221" s="166">
        <v>12.78</v>
      </c>
      <c r="F221" s="212"/>
      <c r="G221" s="212"/>
      <c r="H221" s="213">
        <v>2795472</v>
      </c>
      <c r="I221" s="43"/>
      <c r="J221" s="18"/>
      <c r="K221" s="56"/>
      <c r="L221" s="71"/>
      <c r="M221" s="43"/>
      <c r="N221" s="18"/>
      <c r="O221" s="56"/>
      <c r="P221" s="71"/>
      <c r="Q221" s="43"/>
      <c r="R221" s="18"/>
      <c r="S221" s="56"/>
      <c r="T221" s="71"/>
      <c r="U221" s="43"/>
      <c r="V221" s="18"/>
      <c r="W221" s="56"/>
      <c r="X221" s="71"/>
    </row>
    <row r="222" spans="1:24" s="69" customFormat="1">
      <c r="A222" s="17" t="s">
        <v>118</v>
      </c>
      <c r="B222" s="7"/>
      <c r="C222" s="54">
        <v>132</v>
      </c>
      <c r="D222" s="55"/>
      <c r="E222" s="166">
        <v>11.5</v>
      </c>
      <c r="F222" s="212"/>
      <c r="G222" s="212"/>
      <c r="H222" s="213">
        <v>1518</v>
      </c>
      <c r="I222" s="43"/>
      <c r="J222" s="18"/>
      <c r="K222" s="56"/>
      <c r="L222" s="71"/>
      <c r="M222" s="43"/>
      <c r="N222" s="18"/>
      <c r="O222" s="56"/>
      <c r="P222" s="71"/>
      <c r="Q222" s="43"/>
      <c r="R222" s="18"/>
      <c r="S222" s="56"/>
      <c r="T222" s="71"/>
      <c r="U222" s="43"/>
      <c r="V222" s="18"/>
      <c r="W222" s="56"/>
      <c r="X222" s="71"/>
    </row>
    <row r="223" spans="1:24" s="69" customFormat="1">
      <c r="A223" s="17" t="s">
        <v>119</v>
      </c>
      <c r="B223" s="7"/>
      <c r="C223" s="54">
        <v>409</v>
      </c>
      <c r="D223" s="55"/>
      <c r="E223" s="166">
        <v>46.54</v>
      </c>
      <c r="F223" s="212"/>
      <c r="G223" s="212"/>
      <c r="H223" s="213">
        <v>19035</v>
      </c>
      <c r="I223" s="43"/>
      <c r="J223" s="18"/>
      <c r="K223" s="56"/>
      <c r="L223" s="71"/>
      <c r="M223" s="43"/>
      <c r="N223" s="18"/>
      <c r="O223" s="56"/>
      <c r="P223" s="71"/>
      <c r="Q223" s="43"/>
      <c r="R223" s="18"/>
      <c r="S223" s="56"/>
      <c r="T223" s="71"/>
      <c r="U223" s="43"/>
      <c r="V223" s="18"/>
      <c r="W223" s="56"/>
      <c r="X223" s="71"/>
    </row>
    <row r="224" spans="1:24" s="69" customFormat="1">
      <c r="A224" s="17" t="s">
        <v>120</v>
      </c>
      <c r="B224" s="7"/>
      <c r="C224" s="54">
        <v>60</v>
      </c>
      <c r="D224" s="55"/>
      <c r="E224" s="166">
        <v>38.049999999999997</v>
      </c>
      <c r="F224" s="212"/>
      <c r="G224" s="212"/>
      <c r="H224" s="213">
        <v>2283</v>
      </c>
      <c r="I224" s="43"/>
      <c r="J224" s="18"/>
      <c r="K224" s="56"/>
      <c r="L224" s="71"/>
      <c r="M224" s="43"/>
      <c r="N224" s="18"/>
      <c r="O224" s="56"/>
      <c r="P224" s="71"/>
      <c r="Q224" s="43"/>
      <c r="R224" s="18"/>
      <c r="S224" s="56"/>
      <c r="T224" s="71"/>
      <c r="U224" s="43"/>
      <c r="V224" s="18"/>
      <c r="W224" s="56"/>
      <c r="X224" s="71"/>
    </row>
    <row r="225" spans="1:24" s="69" customFormat="1">
      <c r="A225" s="17" t="s">
        <v>121</v>
      </c>
      <c r="B225" s="7"/>
      <c r="C225" s="54">
        <v>21158</v>
      </c>
      <c r="D225" s="55"/>
      <c r="E225" s="166">
        <v>16.940000000000001</v>
      </c>
      <c r="F225" s="212"/>
      <c r="G225" s="212"/>
      <c r="H225" s="213">
        <v>358417</v>
      </c>
      <c r="I225" s="43"/>
      <c r="J225" s="18"/>
      <c r="K225" s="56"/>
      <c r="L225" s="71"/>
      <c r="M225" s="43"/>
      <c r="N225" s="18"/>
      <c r="O225" s="56"/>
      <c r="P225" s="71"/>
      <c r="Q225" s="43"/>
      <c r="R225" s="18"/>
      <c r="S225" s="56"/>
      <c r="T225" s="71"/>
      <c r="U225" s="43"/>
      <c r="V225" s="18"/>
      <c r="W225" s="56"/>
      <c r="X225" s="71"/>
    </row>
    <row r="226" spans="1:24" s="69" customFormat="1">
      <c r="A226" s="17" t="s">
        <v>122</v>
      </c>
      <c r="B226" s="7"/>
      <c r="C226" s="54">
        <v>96</v>
      </c>
      <c r="D226" s="55"/>
      <c r="E226" s="166">
        <v>15.25</v>
      </c>
      <c r="F226" s="212"/>
      <c r="G226" s="212"/>
      <c r="H226" s="213">
        <v>1464</v>
      </c>
      <c r="I226" s="43"/>
      <c r="J226" s="18"/>
      <c r="K226" s="56"/>
      <c r="L226" s="71"/>
      <c r="M226" s="43"/>
      <c r="N226" s="18"/>
      <c r="O226" s="56"/>
      <c r="P226" s="71"/>
      <c r="Q226" s="43"/>
      <c r="R226" s="18"/>
      <c r="S226" s="56"/>
      <c r="T226" s="71"/>
      <c r="U226" s="43"/>
      <c r="V226" s="18"/>
      <c r="W226" s="56"/>
      <c r="X226" s="71"/>
    </row>
    <row r="227" spans="1:24" s="69" customFormat="1">
      <c r="A227" s="17" t="s">
        <v>123</v>
      </c>
      <c r="B227" s="7"/>
      <c r="C227" s="54">
        <v>2421</v>
      </c>
      <c r="D227" s="55"/>
      <c r="E227" s="166">
        <v>47.83</v>
      </c>
      <c r="F227" s="212"/>
      <c r="G227" s="212"/>
      <c r="H227" s="213">
        <v>115796</v>
      </c>
      <c r="I227" s="43"/>
      <c r="J227" s="18"/>
      <c r="K227" s="56"/>
      <c r="L227" s="71"/>
      <c r="M227" s="43"/>
      <c r="N227" s="18"/>
      <c r="O227" s="56"/>
      <c r="P227" s="71"/>
      <c r="Q227" s="43"/>
      <c r="R227" s="18"/>
      <c r="S227" s="56"/>
      <c r="T227" s="71"/>
      <c r="U227" s="43"/>
      <c r="V227" s="18"/>
      <c r="W227" s="56"/>
      <c r="X227" s="71"/>
    </row>
    <row r="228" spans="1:24" s="69" customFormat="1">
      <c r="A228" s="17" t="s">
        <v>124</v>
      </c>
      <c r="B228" s="7"/>
      <c r="C228" s="54">
        <v>886</v>
      </c>
      <c r="D228" s="55"/>
      <c r="E228" s="166">
        <v>39.340000000000003</v>
      </c>
      <c r="F228" s="212"/>
      <c r="G228" s="212"/>
      <c r="H228" s="213">
        <v>34855</v>
      </c>
      <c r="I228" s="43"/>
      <c r="J228" s="18"/>
      <c r="K228" s="56"/>
      <c r="L228" s="71"/>
      <c r="M228" s="43"/>
      <c r="N228" s="18"/>
      <c r="O228" s="56"/>
      <c r="P228" s="71"/>
      <c r="Q228" s="43"/>
      <c r="R228" s="18"/>
      <c r="S228" s="56"/>
      <c r="T228" s="71"/>
      <c r="U228" s="43"/>
      <c r="V228" s="18"/>
      <c r="W228" s="56"/>
      <c r="X228" s="71"/>
    </row>
    <row r="229" spans="1:24" s="69" customFormat="1">
      <c r="A229" s="17" t="s">
        <v>125</v>
      </c>
      <c r="B229" s="7"/>
      <c r="C229" s="54">
        <v>26178</v>
      </c>
      <c r="D229" s="55"/>
      <c r="E229" s="166">
        <v>21.14</v>
      </c>
      <c r="F229" s="212"/>
      <c r="G229" s="212"/>
      <c r="H229" s="213">
        <v>553403</v>
      </c>
      <c r="I229" s="43"/>
      <c r="J229" s="18"/>
      <c r="K229" s="56"/>
      <c r="L229" s="71"/>
      <c r="M229" s="43"/>
      <c r="N229" s="18"/>
      <c r="O229" s="56"/>
      <c r="P229" s="71"/>
      <c r="Q229" s="43"/>
      <c r="R229" s="18"/>
      <c r="S229" s="56"/>
      <c r="T229" s="71"/>
      <c r="U229" s="43"/>
      <c r="V229" s="18"/>
      <c r="W229" s="56"/>
      <c r="X229" s="71"/>
    </row>
    <row r="230" spans="1:24" s="69" customFormat="1">
      <c r="A230" s="17" t="s">
        <v>126</v>
      </c>
      <c r="B230" s="7"/>
      <c r="C230" s="54">
        <v>12</v>
      </c>
      <c r="D230" s="55"/>
      <c r="E230" s="166">
        <v>19.03</v>
      </c>
      <c r="F230" s="212"/>
      <c r="G230" s="212"/>
      <c r="H230" s="213">
        <v>228</v>
      </c>
      <c r="I230" s="43"/>
      <c r="J230" s="18"/>
      <c r="K230" s="56"/>
      <c r="L230" s="71"/>
      <c r="M230" s="43"/>
      <c r="N230" s="18"/>
      <c r="O230" s="56"/>
      <c r="P230" s="71"/>
      <c r="Q230" s="43"/>
      <c r="R230" s="18"/>
      <c r="S230" s="56"/>
      <c r="T230" s="71"/>
      <c r="U230" s="43"/>
      <c r="V230" s="18"/>
      <c r="W230" s="56"/>
      <c r="X230" s="71"/>
    </row>
    <row r="231" spans="1:24" s="69" customFormat="1">
      <c r="A231" s="17" t="s">
        <v>127</v>
      </c>
      <c r="B231" s="7"/>
      <c r="C231" s="54">
        <v>1253</v>
      </c>
      <c r="D231" s="55"/>
      <c r="E231" s="166">
        <v>51.48</v>
      </c>
      <c r="F231" s="212"/>
      <c r="G231" s="212"/>
      <c r="H231" s="213">
        <v>64504</v>
      </c>
      <c r="I231" s="43"/>
      <c r="J231" s="18"/>
      <c r="K231" s="56"/>
      <c r="L231" s="71"/>
      <c r="M231" s="43"/>
      <c r="N231" s="18"/>
      <c r="O231" s="56"/>
      <c r="P231" s="71"/>
      <c r="Q231" s="43"/>
      <c r="R231" s="18"/>
      <c r="S231" s="56"/>
      <c r="T231" s="71"/>
      <c r="U231" s="43"/>
      <c r="V231" s="18"/>
      <c r="W231" s="56"/>
      <c r="X231" s="71"/>
    </row>
    <row r="232" spans="1:24" s="69" customFormat="1">
      <c r="A232" s="17" t="s">
        <v>128</v>
      </c>
      <c r="B232" s="7"/>
      <c r="C232" s="54">
        <v>0</v>
      </c>
      <c r="D232" s="55"/>
      <c r="E232" s="166">
        <v>43.01</v>
      </c>
      <c r="F232" s="212"/>
      <c r="G232" s="212"/>
      <c r="H232" s="213">
        <v>0</v>
      </c>
      <c r="I232" s="43"/>
      <c r="J232" s="18"/>
      <c r="K232" s="56"/>
      <c r="L232" s="71"/>
      <c r="M232" s="43"/>
      <c r="N232" s="18"/>
      <c r="O232" s="56"/>
      <c r="P232" s="71"/>
      <c r="Q232" s="43"/>
      <c r="R232" s="18"/>
      <c r="S232" s="56"/>
      <c r="T232" s="71"/>
      <c r="U232" s="43"/>
      <c r="V232" s="18"/>
      <c r="W232" s="56"/>
      <c r="X232" s="71"/>
    </row>
    <row r="233" spans="1:24" s="69" customFormat="1">
      <c r="A233" s="17" t="s">
        <v>129</v>
      </c>
      <c r="B233" s="7"/>
      <c r="C233" s="54">
        <v>11406</v>
      </c>
      <c r="D233" s="55"/>
      <c r="E233" s="166">
        <v>26.02</v>
      </c>
      <c r="F233" s="212"/>
      <c r="G233" s="212"/>
      <c r="H233" s="213">
        <v>296784</v>
      </c>
      <c r="I233" s="43"/>
      <c r="J233" s="18"/>
      <c r="K233" s="56"/>
      <c r="L233" s="71"/>
      <c r="M233" s="43"/>
      <c r="N233" s="18"/>
      <c r="O233" s="56"/>
      <c r="P233" s="71"/>
      <c r="Q233" s="43"/>
      <c r="R233" s="18"/>
      <c r="S233" s="56"/>
      <c r="T233" s="71"/>
      <c r="U233" s="43"/>
      <c r="V233" s="18"/>
      <c r="W233" s="56"/>
      <c r="X233" s="71"/>
    </row>
    <row r="234" spans="1:24" s="69" customFormat="1">
      <c r="A234" s="17" t="s">
        <v>130</v>
      </c>
      <c r="B234" s="7"/>
      <c r="C234" s="54">
        <v>0</v>
      </c>
      <c r="D234" s="55"/>
      <c r="E234" s="166">
        <v>51.54</v>
      </c>
      <c r="F234" s="212"/>
      <c r="G234" s="212"/>
      <c r="H234" s="213">
        <v>0</v>
      </c>
      <c r="I234" s="43"/>
      <c r="J234" s="18"/>
      <c r="K234" s="56"/>
      <c r="L234" s="71"/>
      <c r="M234" s="43"/>
      <c r="N234" s="18"/>
      <c r="O234" s="56"/>
      <c r="P234" s="71"/>
      <c r="Q234" s="43"/>
      <c r="R234" s="18"/>
      <c r="S234" s="56"/>
      <c r="T234" s="71"/>
      <c r="U234" s="43"/>
      <c r="V234" s="18"/>
      <c r="W234" s="56"/>
      <c r="X234" s="71"/>
    </row>
    <row r="235" spans="1:24" s="69" customFormat="1">
      <c r="A235" s="26" t="s">
        <v>131</v>
      </c>
      <c r="B235" s="7"/>
      <c r="C235" s="54"/>
      <c r="D235" s="55"/>
      <c r="E235" s="238"/>
      <c r="F235" s="218"/>
      <c r="G235" s="218"/>
      <c r="H235" s="213"/>
      <c r="I235" s="43"/>
      <c r="J235" s="32"/>
      <c r="K235" s="67"/>
      <c r="L235" s="71"/>
      <c r="M235" s="43"/>
      <c r="N235" s="32"/>
      <c r="O235" s="67"/>
      <c r="P235" s="71"/>
      <c r="Q235" s="43"/>
      <c r="R235" s="32"/>
      <c r="S235" s="67"/>
      <c r="T235" s="71"/>
      <c r="U235" s="43"/>
      <c r="V235" s="32"/>
      <c r="W235" s="67"/>
      <c r="X235" s="71"/>
    </row>
    <row r="236" spans="1:24" s="7" customFormat="1">
      <c r="A236" s="17" t="s">
        <v>132</v>
      </c>
      <c r="C236" s="54">
        <v>36</v>
      </c>
      <c r="D236" s="55"/>
      <c r="E236" s="166">
        <v>48.74</v>
      </c>
      <c r="F236" s="212"/>
      <c r="G236" s="212"/>
      <c r="H236" s="213">
        <v>1755</v>
      </c>
      <c r="I236" s="43"/>
      <c r="J236" s="18"/>
      <c r="K236" s="56"/>
      <c r="L236" s="71"/>
      <c r="M236" s="43"/>
      <c r="N236" s="18"/>
      <c r="O236" s="56"/>
      <c r="P236" s="71"/>
      <c r="Q236" s="43"/>
      <c r="R236" s="18"/>
      <c r="S236" s="56"/>
      <c r="T236" s="71"/>
      <c r="U236" s="43"/>
      <c r="V236" s="18"/>
      <c r="W236" s="56"/>
      <c r="X236" s="71"/>
    </row>
    <row r="237" spans="1:24" s="69" customFormat="1">
      <c r="A237" s="17" t="s">
        <v>133</v>
      </c>
      <c r="B237" s="7"/>
      <c r="C237" s="54">
        <v>602</v>
      </c>
      <c r="D237" s="55"/>
      <c r="E237" s="166">
        <v>40.270000000000003</v>
      </c>
      <c r="F237" s="212"/>
      <c r="G237" s="212"/>
      <c r="H237" s="213">
        <v>24243</v>
      </c>
      <c r="I237" s="43"/>
      <c r="J237" s="18"/>
      <c r="K237" s="56"/>
      <c r="L237" s="71"/>
      <c r="M237" s="43"/>
      <c r="N237" s="18"/>
      <c r="O237" s="56"/>
      <c r="P237" s="71"/>
      <c r="Q237" s="43"/>
      <c r="R237" s="18"/>
      <c r="S237" s="56"/>
      <c r="T237" s="71"/>
      <c r="U237" s="43"/>
      <c r="V237" s="18"/>
      <c r="W237" s="56"/>
      <c r="X237" s="71"/>
    </row>
    <row r="238" spans="1:24" s="69" customFormat="1">
      <c r="A238" s="17" t="s">
        <v>134</v>
      </c>
      <c r="B238" s="7"/>
      <c r="C238" s="54">
        <v>127</v>
      </c>
      <c r="D238" s="55"/>
      <c r="E238" s="166">
        <v>20.13</v>
      </c>
      <c r="F238" s="212"/>
      <c r="G238" s="212"/>
      <c r="H238" s="213">
        <v>2557</v>
      </c>
      <c r="I238" s="43"/>
      <c r="J238" s="18"/>
      <c r="K238" s="56"/>
      <c r="L238" s="71"/>
      <c r="M238" s="43"/>
      <c r="N238" s="18"/>
      <c r="O238" s="56"/>
      <c r="P238" s="71"/>
      <c r="Q238" s="43"/>
      <c r="R238" s="18"/>
      <c r="S238" s="56"/>
      <c r="T238" s="71"/>
      <c r="U238" s="43"/>
      <c r="V238" s="18"/>
      <c r="W238" s="56"/>
      <c r="X238" s="71"/>
    </row>
    <row r="239" spans="1:24" s="69" customFormat="1">
      <c r="A239" s="17" t="s">
        <v>135</v>
      </c>
      <c r="B239" s="7"/>
      <c r="C239" s="54">
        <v>0</v>
      </c>
      <c r="D239" s="55"/>
      <c r="E239" s="166">
        <v>50.65</v>
      </c>
      <c r="F239" s="212"/>
      <c r="G239" s="212"/>
      <c r="H239" s="213">
        <v>0</v>
      </c>
      <c r="I239" s="43"/>
      <c r="J239" s="18"/>
      <c r="K239" s="56"/>
      <c r="L239" s="71"/>
      <c r="M239" s="43"/>
      <c r="N239" s="18"/>
      <c r="O239" s="56"/>
      <c r="P239" s="71"/>
      <c r="Q239" s="43"/>
      <c r="R239" s="18"/>
      <c r="S239" s="56"/>
      <c r="T239" s="71"/>
      <c r="U239" s="43"/>
      <c r="V239" s="18"/>
      <c r="W239" s="56"/>
      <c r="X239" s="71"/>
    </row>
    <row r="240" spans="1:24" s="69" customFormat="1">
      <c r="A240" s="17" t="s">
        <v>136</v>
      </c>
      <c r="B240" s="7"/>
      <c r="C240" s="54">
        <v>1598</v>
      </c>
      <c r="D240" s="55"/>
      <c r="E240" s="166">
        <v>42.17</v>
      </c>
      <c r="F240" s="212"/>
      <c r="G240" s="212"/>
      <c r="H240" s="213">
        <v>67388</v>
      </c>
      <c r="I240" s="43"/>
      <c r="J240" s="18"/>
      <c r="K240" s="56"/>
      <c r="L240" s="71"/>
      <c r="M240" s="43"/>
      <c r="N240" s="18"/>
      <c r="O240" s="56"/>
      <c r="P240" s="71"/>
      <c r="Q240" s="43"/>
      <c r="R240" s="18"/>
      <c r="S240" s="56"/>
      <c r="T240" s="71"/>
      <c r="U240" s="43"/>
      <c r="V240" s="18"/>
      <c r="W240" s="56"/>
      <c r="X240" s="71"/>
    </row>
    <row r="241" spans="1:24" s="7" customFormat="1">
      <c r="A241" s="17" t="s">
        <v>137</v>
      </c>
      <c r="C241" s="54">
        <v>386</v>
      </c>
      <c r="D241" s="55"/>
      <c r="E241" s="166">
        <v>22.13</v>
      </c>
      <c r="F241" s="212"/>
      <c r="G241" s="212"/>
      <c r="H241" s="213">
        <v>8542</v>
      </c>
      <c r="I241" s="43"/>
      <c r="J241" s="18"/>
      <c r="K241" s="56"/>
      <c r="L241" s="71"/>
      <c r="M241" s="43"/>
      <c r="N241" s="18"/>
      <c r="O241" s="56"/>
      <c r="P241" s="71"/>
      <c r="Q241" s="43"/>
      <c r="R241" s="18"/>
      <c r="S241" s="56"/>
      <c r="T241" s="71"/>
      <c r="U241" s="43"/>
      <c r="V241" s="18"/>
      <c r="W241" s="56"/>
      <c r="X241" s="71"/>
    </row>
    <row r="242" spans="1:24" s="69" customFormat="1">
      <c r="A242" s="17" t="s">
        <v>138</v>
      </c>
      <c r="B242" s="7"/>
      <c r="C242" s="54">
        <v>41</v>
      </c>
      <c r="D242" s="55"/>
      <c r="E242" s="166">
        <v>53.69</v>
      </c>
      <c r="F242" s="212"/>
      <c r="G242" s="212"/>
      <c r="H242" s="213">
        <v>2201</v>
      </c>
      <c r="I242" s="43"/>
      <c r="J242" s="18"/>
      <c r="K242" s="56"/>
      <c r="L242" s="71"/>
      <c r="M242" s="43"/>
      <c r="N242" s="18"/>
      <c r="O242" s="56"/>
      <c r="P242" s="71"/>
      <c r="Q242" s="43"/>
      <c r="R242" s="18"/>
      <c r="S242" s="56"/>
      <c r="T242" s="71"/>
      <c r="U242" s="43"/>
      <c r="V242" s="18"/>
      <c r="W242" s="56"/>
      <c r="X242" s="71"/>
    </row>
    <row r="243" spans="1:24" s="69" customFormat="1">
      <c r="A243" s="17" t="s">
        <v>139</v>
      </c>
      <c r="B243" s="7"/>
      <c r="C243" s="54">
        <v>365</v>
      </c>
      <c r="D243" s="55"/>
      <c r="E243" s="166">
        <v>45.2</v>
      </c>
      <c r="F243" s="212"/>
      <c r="G243" s="212"/>
      <c r="H243" s="213">
        <v>16498</v>
      </c>
      <c r="I243" s="43"/>
      <c r="J243" s="18"/>
      <c r="K243" s="56"/>
      <c r="L243" s="71"/>
      <c r="M243" s="43"/>
      <c r="N243" s="18"/>
      <c r="O243" s="56"/>
      <c r="P243" s="71"/>
      <c r="Q243" s="43"/>
      <c r="R243" s="18"/>
      <c r="S243" s="56"/>
      <c r="T243" s="71"/>
      <c r="U243" s="43"/>
      <c r="V243" s="18"/>
      <c r="W243" s="56"/>
      <c r="X243" s="71"/>
    </row>
    <row r="244" spans="1:24" s="7" customFormat="1">
      <c r="A244" s="17" t="s">
        <v>140</v>
      </c>
      <c r="C244" s="54">
        <v>61</v>
      </c>
      <c r="D244" s="55"/>
      <c r="E244" s="212">
        <v>25.78</v>
      </c>
      <c r="F244" s="212"/>
      <c r="G244" s="212"/>
      <c r="H244" s="213">
        <v>1573</v>
      </c>
      <c r="I244" s="43"/>
      <c r="J244" s="56"/>
      <c r="K244" s="56"/>
      <c r="L244" s="71"/>
      <c r="M244" s="43"/>
      <c r="N244" s="56"/>
      <c r="O244" s="56"/>
      <c r="P244" s="71"/>
      <c r="Q244" s="43"/>
      <c r="R244" s="56"/>
      <c r="S244" s="56"/>
      <c r="T244" s="71"/>
      <c r="U244" s="43"/>
      <c r="V244" s="56"/>
      <c r="W244" s="56"/>
      <c r="X244" s="71"/>
    </row>
    <row r="245" spans="1:24" s="69" customFormat="1">
      <c r="A245" s="17" t="s">
        <v>141</v>
      </c>
      <c r="B245" s="7"/>
      <c r="C245" s="54">
        <v>0</v>
      </c>
      <c r="D245" s="55"/>
      <c r="E245" s="212">
        <v>55.33</v>
      </c>
      <c r="F245" s="212"/>
      <c r="G245" s="212"/>
      <c r="H245" s="213">
        <v>0</v>
      </c>
      <c r="I245" s="43"/>
      <c r="J245" s="56"/>
      <c r="K245" s="56"/>
      <c r="L245" s="71"/>
      <c r="M245" s="43"/>
      <c r="N245" s="56"/>
      <c r="O245" s="56"/>
      <c r="P245" s="71"/>
      <c r="Q245" s="43"/>
      <c r="R245" s="56"/>
      <c r="S245" s="56"/>
      <c r="T245" s="71"/>
      <c r="U245" s="43"/>
      <c r="V245" s="56"/>
      <c r="W245" s="56"/>
      <c r="X245" s="71"/>
    </row>
    <row r="246" spans="1:24" s="69" customFormat="1">
      <c r="A246" s="17" t="s">
        <v>142</v>
      </c>
      <c r="B246" s="7"/>
      <c r="C246" s="54">
        <v>0</v>
      </c>
      <c r="D246" s="55"/>
      <c r="E246" s="212">
        <v>46.86</v>
      </c>
      <c r="F246" s="212"/>
      <c r="G246" s="212"/>
      <c r="H246" s="213">
        <v>0</v>
      </c>
      <c r="I246" s="43"/>
      <c r="J246" s="56"/>
      <c r="K246" s="56"/>
      <c r="L246" s="71"/>
      <c r="M246" s="43"/>
      <c r="N246" s="56"/>
      <c r="O246" s="56"/>
      <c r="P246" s="71"/>
      <c r="Q246" s="43"/>
      <c r="R246" s="56"/>
      <c r="S246" s="56"/>
      <c r="T246" s="71"/>
      <c r="U246" s="43"/>
      <c r="V246" s="56"/>
      <c r="W246" s="56"/>
      <c r="X246" s="71"/>
    </row>
    <row r="247" spans="1:24" s="7" customFormat="1">
      <c r="A247" s="26" t="s">
        <v>143</v>
      </c>
      <c r="C247" s="21"/>
      <c r="D247" s="55"/>
      <c r="E247" s="212"/>
      <c r="F247" s="212"/>
      <c r="G247" s="212"/>
      <c r="H247" s="219"/>
      <c r="I247" s="43"/>
      <c r="J247" s="56"/>
      <c r="K247" s="56"/>
      <c r="L247" s="70"/>
      <c r="M247" s="43"/>
      <c r="N247" s="56"/>
      <c r="O247" s="56"/>
      <c r="P247" s="70"/>
      <c r="Q247" s="43"/>
      <c r="R247" s="56"/>
      <c r="S247" s="56"/>
      <c r="T247" s="70"/>
      <c r="U247" s="43"/>
      <c r="V247" s="56"/>
      <c r="W247" s="56"/>
      <c r="X247" s="70"/>
    </row>
    <row r="248" spans="1:24" s="69" customFormat="1">
      <c r="A248" s="17" t="s">
        <v>144</v>
      </c>
      <c r="B248" s="7"/>
      <c r="C248" s="54">
        <v>3279</v>
      </c>
      <c r="D248" s="55"/>
      <c r="E248" s="166">
        <v>11.09</v>
      </c>
      <c r="F248" s="212"/>
      <c r="G248" s="212"/>
      <c r="H248" s="213">
        <v>36364</v>
      </c>
      <c r="I248" s="43"/>
      <c r="J248" s="18"/>
      <c r="K248" s="56"/>
      <c r="L248" s="71"/>
      <c r="M248" s="43"/>
      <c r="N248" s="18"/>
      <c r="O248" s="56"/>
      <c r="P248" s="71"/>
      <c r="Q248" s="43"/>
      <c r="R248" s="18"/>
      <c r="S248" s="56"/>
      <c r="T248" s="71"/>
      <c r="U248" s="43"/>
      <c r="V248" s="18"/>
      <c r="W248" s="56"/>
      <c r="X248" s="71"/>
    </row>
    <row r="249" spans="1:24" s="69" customFormat="1">
      <c r="A249" s="17" t="s">
        <v>57</v>
      </c>
      <c r="B249" s="7"/>
      <c r="C249" s="54">
        <v>9152</v>
      </c>
      <c r="D249" s="55"/>
      <c r="E249" s="166">
        <v>13.83</v>
      </c>
      <c r="F249" s="212"/>
      <c r="G249" s="212"/>
      <c r="H249" s="213">
        <v>126572</v>
      </c>
      <c r="I249" s="43"/>
      <c r="J249" s="18"/>
      <c r="K249" s="56"/>
      <c r="L249" s="71"/>
      <c r="M249" s="43"/>
      <c r="N249" s="18"/>
      <c r="O249" s="56"/>
      <c r="P249" s="71"/>
      <c r="Q249" s="43"/>
      <c r="R249" s="18"/>
      <c r="S249" s="56"/>
      <c r="T249" s="71"/>
      <c r="U249" s="43"/>
      <c r="V249" s="18"/>
      <c r="W249" s="56"/>
      <c r="X249" s="71"/>
    </row>
    <row r="250" spans="1:24" s="69" customFormat="1">
      <c r="A250" s="17" t="s">
        <v>145</v>
      </c>
      <c r="B250" s="7"/>
      <c r="C250" s="54">
        <v>186</v>
      </c>
      <c r="D250" s="55"/>
      <c r="E250" s="166">
        <v>19.399999999999999</v>
      </c>
      <c r="F250" s="212"/>
      <c r="G250" s="212"/>
      <c r="H250" s="213">
        <v>3608</v>
      </c>
      <c r="I250" s="43"/>
      <c r="J250" s="18"/>
      <c r="K250" s="56"/>
      <c r="L250" s="71"/>
      <c r="M250" s="43"/>
      <c r="N250" s="18"/>
      <c r="O250" s="56"/>
      <c r="P250" s="71"/>
      <c r="Q250" s="43"/>
      <c r="R250" s="18"/>
      <c r="S250" s="56"/>
      <c r="T250" s="71"/>
      <c r="U250" s="43"/>
      <c r="V250" s="18"/>
      <c r="W250" s="56"/>
      <c r="X250" s="71"/>
    </row>
    <row r="251" spans="1:24" s="69" customFormat="1">
      <c r="A251" s="17" t="s">
        <v>146</v>
      </c>
      <c r="B251" s="7"/>
      <c r="C251" s="54">
        <v>0</v>
      </c>
      <c r="D251" s="55"/>
      <c r="E251" s="166">
        <v>17.46</v>
      </c>
      <c r="F251" s="212"/>
      <c r="G251" s="212"/>
      <c r="H251" s="213">
        <v>0</v>
      </c>
      <c r="I251" s="43"/>
      <c r="J251" s="18"/>
      <c r="K251" s="56"/>
      <c r="L251" s="71"/>
      <c r="M251" s="43"/>
      <c r="N251" s="18"/>
      <c r="O251" s="56"/>
      <c r="P251" s="71"/>
      <c r="Q251" s="43"/>
      <c r="R251" s="18"/>
      <c r="S251" s="56"/>
      <c r="T251" s="71"/>
      <c r="U251" s="43"/>
      <c r="V251" s="18"/>
      <c r="W251" s="56"/>
      <c r="X251" s="71"/>
    </row>
    <row r="252" spans="1:24" s="69" customFormat="1">
      <c r="A252" s="17" t="s">
        <v>59</v>
      </c>
      <c r="B252" s="7"/>
      <c r="C252" s="54">
        <v>996</v>
      </c>
      <c r="D252" s="55"/>
      <c r="E252" s="166">
        <v>24.43</v>
      </c>
      <c r="F252" s="212"/>
      <c r="G252" s="212"/>
      <c r="H252" s="213">
        <v>24332</v>
      </c>
      <c r="I252" s="43"/>
      <c r="J252" s="18"/>
      <c r="K252" s="56"/>
      <c r="L252" s="71"/>
      <c r="M252" s="43"/>
      <c r="N252" s="18"/>
      <c r="O252" s="56"/>
      <c r="P252" s="71"/>
      <c r="Q252" s="43"/>
      <c r="R252" s="18"/>
      <c r="S252" s="56"/>
      <c r="T252" s="71"/>
      <c r="U252" s="43"/>
      <c r="V252" s="18"/>
      <c r="W252" s="56"/>
      <c r="X252" s="71"/>
    </row>
    <row r="253" spans="1:24" s="69" customFormat="1">
      <c r="A253" s="26" t="s">
        <v>147</v>
      </c>
      <c r="B253" s="7"/>
      <c r="C253" s="54"/>
      <c r="D253" s="55"/>
      <c r="E253" s="89"/>
      <c r="F253" s="55"/>
      <c r="G253" s="55"/>
      <c r="H253" s="213"/>
      <c r="I253" s="43"/>
      <c r="J253" s="7"/>
      <c r="K253" s="43"/>
      <c r="L253" s="71"/>
      <c r="M253" s="43"/>
      <c r="N253" s="7"/>
      <c r="O253" s="43"/>
      <c r="P253" s="71"/>
      <c r="Q253" s="43"/>
      <c r="R253" s="7"/>
      <c r="S253" s="43"/>
      <c r="T253" s="71"/>
      <c r="U253" s="43"/>
      <c r="V253" s="7"/>
      <c r="W253" s="43"/>
      <c r="X253" s="71"/>
    </row>
    <row r="254" spans="1:24" s="69" customFormat="1">
      <c r="A254" s="17" t="s">
        <v>148</v>
      </c>
      <c r="B254" s="7"/>
      <c r="C254" s="54">
        <v>0</v>
      </c>
      <c r="D254" s="55"/>
      <c r="E254" s="166">
        <v>11.99</v>
      </c>
      <c r="F254" s="212"/>
      <c r="G254" s="212"/>
      <c r="H254" s="213">
        <v>0</v>
      </c>
      <c r="I254" s="43"/>
      <c r="J254" s="18"/>
      <c r="K254" s="56"/>
      <c r="L254" s="71"/>
      <c r="M254" s="43"/>
      <c r="N254" s="18"/>
      <c r="O254" s="56"/>
      <c r="P254" s="71"/>
      <c r="Q254" s="43"/>
      <c r="R254" s="18"/>
      <c r="S254" s="56"/>
      <c r="T254" s="71"/>
      <c r="U254" s="43"/>
      <c r="V254" s="18"/>
      <c r="W254" s="56"/>
      <c r="X254" s="71"/>
    </row>
    <row r="255" spans="1:24" s="69" customFormat="1">
      <c r="A255" s="17" t="s">
        <v>149</v>
      </c>
      <c r="B255" s="7"/>
      <c r="C255" s="54">
        <v>145</v>
      </c>
      <c r="D255" s="55"/>
      <c r="E255" s="166">
        <v>4.24</v>
      </c>
      <c r="F255" s="212"/>
      <c r="G255" s="212"/>
      <c r="H255" s="213">
        <v>615</v>
      </c>
      <c r="I255" s="43"/>
      <c r="J255" s="18"/>
      <c r="K255" s="56"/>
      <c r="L255" s="71"/>
      <c r="M255" s="43"/>
      <c r="N255" s="18"/>
      <c r="O255" s="56"/>
      <c r="P255" s="71"/>
      <c r="Q255" s="43"/>
      <c r="R255" s="18"/>
      <c r="S255" s="56"/>
      <c r="T255" s="71"/>
      <c r="U255" s="43"/>
      <c r="V255" s="18"/>
      <c r="W255" s="56"/>
      <c r="X255" s="71"/>
    </row>
    <row r="256" spans="1:24" s="69" customFormat="1">
      <c r="A256" s="17" t="s">
        <v>150</v>
      </c>
      <c r="B256" s="7"/>
      <c r="C256" s="54">
        <v>32</v>
      </c>
      <c r="D256" s="55"/>
      <c r="E256" s="166">
        <v>17.11</v>
      </c>
      <c r="F256" s="212"/>
      <c r="G256" s="212"/>
      <c r="H256" s="213">
        <v>548</v>
      </c>
      <c r="I256" s="43"/>
      <c r="J256" s="18"/>
      <c r="K256" s="56"/>
      <c r="L256" s="71"/>
      <c r="M256" s="43"/>
      <c r="N256" s="18"/>
      <c r="O256" s="56"/>
      <c r="P256" s="71"/>
      <c r="Q256" s="43"/>
      <c r="R256" s="18"/>
      <c r="S256" s="56"/>
      <c r="T256" s="71"/>
      <c r="U256" s="43"/>
      <c r="V256" s="18"/>
      <c r="W256" s="56"/>
      <c r="X256" s="71"/>
    </row>
    <row r="257" spans="1:24" s="69" customFormat="1">
      <c r="A257" s="17" t="s">
        <v>144</v>
      </c>
      <c r="B257" s="7"/>
      <c r="C257" s="54">
        <v>162</v>
      </c>
      <c r="D257" s="55"/>
      <c r="E257" s="166">
        <v>20.43</v>
      </c>
      <c r="F257" s="212"/>
      <c r="G257" s="212"/>
      <c r="H257" s="213">
        <v>3310</v>
      </c>
      <c r="I257" s="43"/>
      <c r="J257" s="18"/>
      <c r="K257" s="56"/>
      <c r="L257" s="71"/>
      <c r="M257" s="43"/>
      <c r="N257" s="18"/>
      <c r="O257" s="56"/>
      <c r="P257" s="71"/>
      <c r="Q257" s="43"/>
      <c r="R257" s="18"/>
      <c r="S257" s="56"/>
      <c r="T257" s="71"/>
      <c r="U257" s="43"/>
      <c r="V257" s="18"/>
      <c r="W257" s="56"/>
      <c r="X257" s="71"/>
    </row>
    <row r="258" spans="1:24" s="69" customFormat="1">
      <c r="A258" s="17" t="s">
        <v>151</v>
      </c>
      <c r="B258" s="7"/>
      <c r="C258" s="54">
        <v>161</v>
      </c>
      <c r="D258" s="55"/>
      <c r="E258" s="166">
        <v>23.82</v>
      </c>
      <c r="F258" s="212"/>
      <c r="G258" s="212"/>
      <c r="H258" s="213">
        <v>3835</v>
      </c>
      <c r="I258" s="43"/>
      <c r="J258" s="18"/>
      <c r="K258" s="56"/>
      <c r="L258" s="71"/>
      <c r="M258" s="43"/>
      <c r="N258" s="18"/>
      <c r="O258" s="56"/>
      <c r="P258" s="71"/>
      <c r="Q258" s="43"/>
      <c r="R258" s="18"/>
      <c r="S258" s="56"/>
      <c r="T258" s="71"/>
      <c r="U258" s="43"/>
      <c r="V258" s="18"/>
      <c r="W258" s="56"/>
      <c r="X258" s="71"/>
    </row>
    <row r="259" spans="1:24" s="69" customFormat="1">
      <c r="A259" s="17" t="s">
        <v>145</v>
      </c>
      <c r="B259" s="7"/>
      <c r="C259" s="54">
        <v>24</v>
      </c>
      <c r="D259" s="55"/>
      <c r="E259" s="166">
        <v>31.47</v>
      </c>
      <c r="F259" s="212"/>
      <c r="G259" s="212"/>
      <c r="H259" s="213">
        <v>755</v>
      </c>
      <c r="I259" s="43"/>
      <c r="J259" s="18"/>
      <c r="K259" s="56"/>
      <c r="L259" s="71"/>
      <c r="M259" s="43"/>
      <c r="N259" s="18"/>
      <c r="O259" s="56"/>
      <c r="P259" s="71"/>
      <c r="Q259" s="43"/>
      <c r="R259" s="18"/>
      <c r="S259" s="56"/>
      <c r="T259" s="71"/>
      <c r="U259" s="43"/>
      <c r="V259" s="18"/>
      <c r="W259" s="56"/>
      <c r="X259" s="71"/>
    </row>
    <row r="260" spans="1:24" s="69" customFormat="1">
      <c r="A260" s="26" t="s">
        <v>152</v>
      </c>
      <c r="B260" s="7"/>
      <c r="C260" s="21"/>
      <c r="D260" s="55"/>
      <c r="E260" s="212"/>
      <c r="F260" s="212"/>
      <c r="G260" s="212"/>
      <c r="H260" s="219"/>
      <c r="I260" s="43"/>
      <c r="J260" s="56"/>
      <c r="K260" s="56"/>
      <c r="L260" s="70"/>
      <c r="M260" s="43"/>
      <c r="N260" s="56"/>
      <c r="O260" s="56"/>
      <c r="P260" s="70"/>
      <c r="Q260" s="43"/>
      <c r="R260" s="56"/>
      <c r="S260" s="56"/>
      <c r="T260" s="70"/>
      <c r="U260" s="43"/>
      <c r="V260" s="56"/>
      <c r="W260" s="56"/>
      <c r="X260" s="70"/>
    </row>
    <row r="261" spans="1:24" s="69" customFormat="1">
      <c r="A261" s="17" t="s">
        <v>153</v>
      </c>
      <c r="B261" s="7"/>
      <c r="C261" s="54">
        <v>12</v>
      </c>
      <c r="D261" s="55"/>
      <c r="E261" s="166">
        <v>27.85</v>
      </c>
      <c r="F261" s="212"/>
      <c r="G261" s="212"/>
      <c r="H261" s="213">
        <v>334</v>
      </c>
      <c r="I261" s="43"/>
      <c r="J261" s="18"/>
      <c r="K261" s="56"/>
      <c r="L261" s="71"/>
      <c r="M261" s="43"/>
      <c r="N261" s="18"/>
      <c r="O261" s="56"/>
      <c r="P261" s="71"/>
      <c r="Q261" s="43"/>
      <c r="R261" s="18"/>
      <c r="S261" s="56"/>
      <c r="T261" s="71"/>
      <c r="U261" s="43"/>
      <c r="V261" s="18"/>
      <c r="W261" s="56"/>
      <c r="X261" s="71"/>
    </row>
    <row r="262" spans="1:24" s="69" customFormat="1">
      <c r="A262" s="26" t="s">
        <v>154</v>
      </c>
      <c r="B262" s="7"/>
      <c r="C262" s="54"/>
      <c r="D262" s="55"/>
      <c r="E262" s="166"/>
      <c r="F262" s="212"/>
      <c r="G262" s="212"/>
      <c r="H262" s="213"/>
      <c r="I262" s="43"/>
      <c r="J262" s="18"/>
      <c r="K262" s="56"/>
      <c r="L262" s="71"/>
      <c r="M262" s="43"/>
      <c r="N262" s="18"/>
      <c r="O262" s="56"/>
      <c r="P262" s="71"/>
      <c r="Q262" s="43"/>
      <c r="R262" s="18"/>
      <c r="S262" s="56"/>
      <c r="T262" s="71"/>
      <c r="U262" s="43"/>
      <c r="V262" s="18"/>
      <c r="W262" s="56"/>
      <c r="X262" s="71"/>
    </row>
    <row r="263" spans="1:24" s="69" customFormat="1">
      <c r="A263" s="17" t="s">
        <v>155</v>
      </c>
      <c r="B263" s="7"/>
      <c r="C263" s="54">
        <v>12</v>
      </c>
      <c r="D263" s="55"/>
      <c r="E263" s="166">
        <v>39.04</v>
      </c>
      <c r="F263" s="212"/>
      <c r="G263" s="212"/>
      <c r="H263" s="213">
        <v>468</v>
      </c>
      <c r="I263" s="43"/>
      <c r="J263" s="18"/>
      <c r="K263" s="56"/>
      <c r="L263" s="71"/>
      <c r="M263" s="43"/>
      <c r="N263" s="18"/>
      <c r="O263" s="56"/>
      <c r="P263" s="71"/>
      <c r="Q263" s="43"/>
      <c r="R263" s="18"/>
      <c r="S263" s="56"/>
      <c r="T263" s="71"/>
      <c r="U263" s="43"/>
      <c r="V263" s="18"/>
      <c r="W263" s="56"/>
      <c r="X263" s="71"/>
    </row>
    <row r="264" spans="1:24" s="69" customFormat="1">
      <c r="A264" s="17" t="s">
        <v>156</v>
      </c>
      <c r="B264" s="7"/>
      <c r="C264" s="35">
        <v>334883</v>
      </c>
      <c r="D264" s="55"/>
      <c r="E264" s="240"/>
      <c r="F264" s="55"/>
      <c r="G264" s="55"/>
      <c r="H264" s="220">
        <v>4979390</v>
      </c>
      <c r="I264" s="43"/>
      <c r="J264" s="66"/>
      <c r="K264" s="43"/>
      <c r="L264" s="72"/>
      <c r="M264" s="43"/>
      <c r="N264" s="66"/>
      <c r="O264" s="43"/>
      <c r="P264" s="72"/>
      <c r="Q264" s="43"/>
      <c r="R264" s="66"/>
      <c r="S264" s="43"/>
      <c r="T264" s="72"/>
      <c r="U264" s="43"/>
      <c r="V264" s="66"/>
      <c r="W264" s="43"/>
      <c r="X264" s="72"/>
    </row>
    <row r="265" spans="1:24" s="69" customFormat="1" ht="16.5" thickBot="1">
      <c r="A265" s="17" t="s">
        <v>83</v>
      </c>
      <c r="B265" s="7"/>
      <c r="C265" s="241">
        <v>16496197.391013095</v>
      </c>
      <c r="D265" s="55"/>
      <c r="E265" s="226"/>
      <c r="F265" s="55"/>
      <c r="G265" s="55"/>
      <c r="H265" s="226"/>
      <c r="I265" s="43"/>
      <c r="J265" s="47"/>
      <c r="K265" s="43"/>
      <c r="L265" s="47"/>
      <c r="M265" s="43"/>
      <c r="N265" s="47"/>
      <c r="O265" s="43"/>
      <c r="P265" s="47"/>
      <c r="Q265" s="43"/>
      <c r="R265" s="47"/>
      <c r="S265" s="43"/>
      <c r="T265" s="47"/>
      <c r="U265" s="43"/>
      <c r="V265" s="47"/>
      <c r="W265" s="43"/>
      <c r="X265" s="47"/>
    </row>
    <row r="266" spans="1:24" s="69" customFormat="1" ht="16.5" thickTop="1">
      <c r="A266" s="17" t="s">
        <v>85</v>
      </c>
      <c r="B266" s="7"/>
      <c r="C266" s="23">
        <v>809.41666666666663</v>
      </c>
      <c r="D266" s="55"/>
      <c r="E266" s="89"/>
      <c r="F266" s="55"/>
      <c r="G266" s="55"/>
      <c r="H266" s="89"/>
      <c r="I266" s="43"/>
      <c r="J266" s="7"/>
      <c r="K266" s="43"/>
      <c r="L266" s="7"/>
      <c r="M266" s="43"/>
      <c r="N266" s="7"/>
      <c r="O266" s="43"/>
      <c r="P266" s="7"/>
      <c r="Q266" s="43"/>
      <c r="R266" s="7"/>
      <c r="S266" s="43"/>
      <c r="T266" s="7"/>
      <c r="U266" s="43"/>
      <c r="V266" s="7"/>
      <c r="W266" s="43"/>
      <c r="X266" s="7"/>
    </row>
    <row r="267" spans="1:24" s="69" customFormat="1">
      <c r="A267" s="17" t="s">
        <v>84</v>
      </c>
      <c r="B267" s="7"/>
      <c r="C267" s="88">
        <v>0</v>
      </c>
      <c r="D267" s="55"/>
      <c r="E267" s="240"/>
      <c r="F267" s="55"/>
      <c r="G267" s="55"/>
      <c r="H267" s="220">
        <v>0</v>
      </c>
      <c r="I267" s="43"/>
      <c r="J267" s="66"/>
      <c r="K267" s="43"/>
      <c r="L267" s="72"/>
      <c r="M267" s="43"/>
      <c r="N267" s="66"/>
      <c r="O267" s="43"/>
      <c r="P267" s="72"/>
      <c r="Q267" s="43"/>
      <c r="R267" s="66"/>
      <c r="S267" s="43"/>
      <c r="T267" s="72"/>
      <c r="U267" s="43"/>
      <c r="V267" s="66"/>
      <c r="W267" s="43"/>
      <c r="X267" s="72"/>
    </row>
    <row r="268" spans="1:24" s="69" customFormat="1" ht="16.5" thickBot="1">
      <c r="A268" s="17" t="s">
        <v>157</v>
      </c>
      <c r="B268" s="7"/>
      <c r="C268" s="241">
        <v>16496197.391013095</v>
      </c>
      <c r="D268" s="55"/>
      <c r="E268" s="242"/>
      <c r="F268" s="243"/>
      <c r="G268" s="243"/>
      <c r="H268" s="242">
        <v>4979390</v>
      </c>
      <c r="I268" s="9"/>
      <c r="J268" s="162">
        <v>4.0000000000000001E-3</v>
      </c>
      <c r="K268" s="24"/>
      <c r="L268" s="39">
        <f>$H268*J268</f>
        <v>19917.560000000001</v>
      </c>
      <c r="M268" s="9"/>
      <c r="N268" s="162">
        <v>1.1000000000000001E-3</v>
      </c>
      <c r="O268" s="24"/>
      <c r="P268" s="39">
        <f>$H268*N268</f>
        <v>5477.3290000000006</v>
      </c>
      <c r="Q268" s="9"/>
      <c r="R268" s="162">
        <v>0.04</v>
      </c>
      <c r="S268" s="24"/>
      <c r="T268" s="39">
        <f>($H268+$L268+$P268)*R268</f>
        <v>200191.39555999998</v>
      </c>
      <c r="U268" s="9"/>
      <c r="V268" s="162">
        <f>V$153</f>
        <v>3.6799999999999999E-2</v>
      </c>
      <c r="W268" s="24"/>
      <c r="X268" s="39">
        <f>($H268+$L268+$P268)*V268</f>
        <v>184176.08391519997</v>
      </c>
    </row>
    <row r="269" spans="1:24" s="69" customFormat="1" ht="16.5" thickTop="1">
      <c r="A269" s="7"/>
      <c r="B269" s="7"/>
      <c r="C269" s="54"/>
      <c r="D269" s="55"/>
      <c r="E269" s="89"/>
      <c r="F269" s="55"/>
      <c r="G269" s="55"/>
      <c r="H269" s="89"/>
      <c r="I269" s="43"/>
      <c r="J269" s="7"/>
      <c r="K269" s="43"/>
      <c r="L269" s="7"/>
      <c r="M269" s="43"/>
      <c r="N269" s="7"/>
      <c r="O269" s="43"/>
      <c r="P269" s="7"/>
      <c r="Q269" s="43"/>
      <c r="R269" s="7"/>
      <c r="S269" s="43"/>
      <c r="T269" s="7"/>
      <c r="U269" s="43"/>
      <c r="V269" s="7"/>
      <c r="W269" s="43"/>
      <c r="X269" s="7"/>
    </row>
    <row r="270" spans="1:24" s="69" customFormat="1">
      <c r="A270" s="16" t="s">
        <v>158</v>
      </c>
      <c r="B270" s="7"/>
      <c r="C270" s="54"/>
      <c r="D270" s="55"/>
      <c r="E270" s="89"/>
      <c r="F270" s="55"/>
      <c r="G270" s="55"/>
      <c r="H270" s="89"/>
      <c r="I270" s="43"/>
      <c r="J270" s="7"/>
      <c r="K270" s="43"/>
      <c r="L270" s="7"/>
      <c r="M270" s="43"/>
      <c r="N270" s="7"/>
      <c r="O270" s="43"/>
      <c r="P270" s="7"/>
      <c r="Q270" s="43"/>
      <c r="R270" s="7"/>
      <c r="S270" s="43"/>
      <c r="T270" s="7"/>
      <c r="U270" s="43"/>
      <c r="V270" s="7"/>
      <c r="W270" s="43"/>
      <c r="X270" s="7"/>
    </row>
    <row r="271" spans="1:24" s="69" customFormat="1">
      <c r="A271" s="74" t="s">
        <v>159</v>
      </c>
      <c r="B271" s="7"/>
      <c r="C271" s="54"/>
      <c r="D271" s="55"/>
      <c r="E271" s="89"/>
      <c r="F271" s="55"/>
      <c r="G271" s="55"/>
      <c r="H271" s="213"/>
      <c r="I271" s="43"/>
      <c r="J271" s="7"/>
      <c r="K271" s="43"/>
      <c r="L271" s="71"/>
      <c r="M271" s="43"/>
      <c r="N271" s="7"/>
      <c r="O271" s="43"/>
      <c r="P271" s="71"/>
      <c r="Q271" s="43"/>
      <c r="R271" s="7"/>
      <c r="S271" s="43"/>
      <c r="T271" s="71"/>
      <c r="U271" s="43"/>
      <c r="V271" s="7"/>
      <c r="W271" s="43"/>
      <c r="X271" s="71"/>
    </row>
    <row r="272" spans="1:24" s="69" customFormat="1">
      <c r="A272" s="26" t="s">
        <v>160</v>
      </c>
      <c r="B272" s="7"/>
      <c r="C272" s="54"/>
      <c r="D272" s="55"/>
      <c r="E272" s="89"/>
      <c r="F272" s="55"/>
      <c r="G272" s="55"/>
      <c r="H272" s="213"/>
      <c r="I272" s="43"/>
      <c r="J272" s="7"/>
      <c r="K272" s="43"/>
      <c r="L272" s="71"/>
      <c r="M272" s="43"/>
      <c r="N272" s="7"/>
      <c r="O272" s="43"/>
      <c r="P272" s="71"/>
      <c r="Q272" s="43"/>
      <c r="R272" s="7"/>
      <c r="S272" s="43"/>
      <c r="T272" s="71"/>
      <c r="U272" s="43"/>
      <c r="V272" s="7"/>
      <c r="W272" s="43"/>
      <c r="X272" s="71"/>
    </row>
    <row r="273" spans="1:24" s="69" customFormat="1">
      <c r="A273" s="17" t="s">
        <v>161</v>
      </c>
      <c r="B273" s="7"/>
      <c r="C273" s="54">
        <v>103438</v>
      </c>
      <c r="D273" s="55"/>
      <c r="E273" s="166">
        <v>1.83</v>
      </c>
      <c r="F273" s="212"/>
      <c r="G273" s="212"/>
      <c r="H273" s="213">
        <v>189292</v>
      </c>
      <c r="I273" s="64"/>
      <c r="J273" s="18"/>
      <c r="K273" s="19"/>
      <c r="L273" s="71"/>
      <c r="M273" s="64"/>
      <c r="N273" s="18"/>
      <c r="O273" s="19"/>
      <c r="P273" s="71"/>
      <c r="Q273" s="64"/>
      <c r="R273" s="18"/>
      <c r="S273" s="19"/>
      <c r="T273" s="71"/>
      <c r="U273" s="64"/>
      <c r="V273" s="18"/>
      <c r="W273" s="19"/>
      <c r="X273" s="71"/>
    </row>
    <row r="274" spans="1:24" s="69" customFormat="1">
      <c r="A274" s="17" t="s">
        <v>162</v>
      </c>
      <c r="B274" s="7"/>
      <c r="C274" s="54">
        <v>159006</v>
      </c>
      <c r="D274" s="55"/>
      <c r="E274" s="166">
        <v>2.5</v>
      </c>
      <c r="F274" s="212"/>
      <c r="G274" s="212"/>
      <c r="H274" s="213">
        <v>397515</v>
      </c>
      <c r="I274" s="43"/>
      <c r="J274" s="18"/>
      <c r="K274" s="56"/>
      <c r="L274" s="71"/>
      <c r="M274" s="43"/>
      <c r="N274" s="18"/>
      <c r="O274" s="56"/>
      <c r="P274" s="71"/>
      <c r="Q274" s="43"/>
      <c r="R274" s="18"/>
      <c r="S274" s="56"/>
      <c r="T274" s="71"/>
      <c r="U274" s="43"/>
      <c r="V274" s="18"/>
      <c r="W274" s="56"/>
      <c r="X274" s="71"/>
    </row>
    <row r="275" spans="1:24" s="69" customFormat="1">
      <c r="A275" s="17" t="s">
        <v>163</v>
      </c>
      <c r="B275" s="7"/>
      <c r="C275" s="54">
        <v>134332</v>
      </c>
      <c r="D275" s="55"/>
      <c r="E275" s="166">
        <v>3.66</v>
      </c>
      <c r="F275" s="212"/>
      <c r="G275" s="212"/>
      <c r="H275" s="213">
        <v>491655</v>
      </c>
      <c r="I275" s="43"/>
      <c r="J275" s="18"/>
      <c r="K275" s="56"/>
      <c r="L275" s="71"/>
      <c r="M275" s="43"/>
      <c r="N275" s="18"/>
      <c r="O275" s="56"/>
      <c r="P275" s="71"/>
      <c r="Q275" s="43"/>
      <c r="R275" s="18"/>
      <c r="S275" s="56"/>
      <c r="T275" s="71"/>
      <c r="U275" s="43"/>
      <c r="V275" s="18"/>
      <c r="W275" s="56"/>
      <c r="X275" s="71"/>
    </row>
    <row r="276" spans="1:24" s="69" customFormat="1">
      <c r="A276" s="17" t="s">
        <v>164</v>
      </c>
      <c r="B276" s="7"/>
      <c r="C276" s="54">
        <v>48293</v>
      </c>
      <c r="D276" s="55"/>
      <c r="E276" s="166">
        <v>6.52</v>
      </c>
      <c r="F276" s="212"/>
      <c r="G276" s="212"/>
      <c r="H276" s="213">
        <v>314870</v>
      </c>
      <c r="I276" s="43"/>
      <c r="J276" s="18"/>
      <c r="K276" s="56"/>
      <c r="L276" s="71"/>
      <c r="M276" s="43"/>
      <c r="N276" s="18"/>
      <c r="O276" s="56"/>
      <c r="P276" s="71"/>
      <c r="Q276" s="43"/>
      <c r="R276" s="18"/>
      <c r="S276" s="56"/>
      <c r="T276" s="71"/>
      <c r="U276" s="43"/>
      <c r="V276" s="18"/>
      <c r="W276" s="56"/>
      <c r="X276" s="71"/>
    </row>
    <row r="277" spans="1:24" s="69" customFormat="1">
      <c r="A277" s="17" t="s">
        <v>165</v>
      </c>
      <c r="B277" s="7"/>
      <c r="C277" s="54">
        <v>65553</v>
      </c>
      <c r="D277" s="55"/>
      <c r="E277" s="166">
        <v>10.02</v>
      </c>
      <c r="F277" s="212"/>
      <c r="G277" s="212"/>
      <c r="H277" s="213">
        <v>656841</v>
      </c>
      <c r="I277" s="43"/>
      <c r="J277" s="18"/>
      <c r="K277" s="56"/>
      <c r="L277" s="71"/>
      <c r="M277" s="43"/>
      <c r="N277" s="18"/>
      <c r="O277" s="56"/>
      <c r="P277" s="71"/>
      <c r="Q277" s="43"/>
      <c r="R277" s="18"/>
      <c r="S277" s="56"/>
      <c r="T277" s="71"/>
      <c r="U277" s="43"/>
      <c r="V277" s="18"/>
      <c r="W277" s="56"/>
      <c r="X277" s="71"/>
    </row>
    <row r="278" spans="1:24" s="69" customFormat="1">
      <c r="A278" s="26" t="s">
        <v>166</v>
      </c>
      <c r="B278" s="7"/>
      <c r="C278" s="54"/>
      <c r="D278" s="55"/>
      <c r="E278" s="238"/>
      <c r="F278" s="218"/>
      <c r="G278" s="218"/>
      <c r="H278" s="213"/>
      <c r="I278" s="43"/>
      <c r="J278" s="32"/>
      <c r="K278" s="67"/>
      <c r="L278" s="71"/>
      <c r="M278" s="43"/>
      <c r="N278" s="32"/>
      <c r="O278" s="67"/>
      <c r="P278" s="71"/>
      <c r="Q278" s="43"/>
      <c r="R278" s="32"/>
      <c r="S278" s="67"/>
      <c r="T278" s="71"/>
      <c r="U278" s="43"/>
      <c r="V278" s="32"/>
      <c r="W278" s="67"/>
      <c r="X278" s="71"/>
    </row>
    <row r="279" spans="1:24" s="69" customFormat="1">
      <c r="A279" s="17" t="s">
        <v>167</v>
      </c>
      <c r="B279" s="7"/>
      <c r="C279" s="54">
        <v>6583</v>
      </c>
      <c r="D279" s="55"/>
      <c r="E279" s="166">
        <v>2.5499999999999998</v>
      </c>
      <c r="F279" s="212"/>
      <c r="G279" s="212"/>
      <c r="H279" s="213">
        <v>16787</v>
      </c>
      <c r="I279" s="43"/>
      <c r="J279" s="18"/>
      <c r="K279" s="56"/>
      <c r="L279" s="71"/>
      <c r="M279" s="43"/>
      <c r="N279" s="18"/>
      <c r="O279" s="56"/>
      <c r="P279" s="71"/>
      <c r="Q279" s="43"/>
      <c r="R279" s="18"/>
      <c r="S279" s="56"/>
      <c r="T279" s="71"/>
      <c r="U279" s="43"/>
      <c r="V279" s="18"/>
      <c r="W279" s="56"/>
      <c r="X279" s="71"/>
    </row>
    <row r="280" spans="1:24" s="69" customFormat="1">
      <c r="A280" s="17" t="s">
        <v>168</v>
      </c>
      <c r="B280" s="7"/>
      <c r="C280" s="54">
        <v>18818</v>
      </c>
      <c r="D280" s="55"/>
      <c r="E280" s="166">
        <v>4.46</v>
      </c>
      <c r="F280" s="212"/>
      <c r="G280" s="212"/>
      <c r="H280" s="213">
        <v>83928</v>
      </c>
      <c r="I280" s="43"/>
      <c r="J280" s="18"/>
      <c r="K280" s="56"/>
      <c r="L280" s="71"/>
      <c r="M280" s="43"/>
      <c r="N280" s="18"/>
      <c r="O280" s="56"/>
      <c r="P280" s="71"/>
      <c r="Q280" s="43"/>
      <c r="R280" s="18"/>
      <c r="S280" s="56"/>
      <c r="T280" s="71"/>
      <c r="U280" s="43"/>
      <c r="V280" s="18"/>
      <c r="W280" s="56"/>
      <c r="X280" s="71"/>
    </row>
    <row r="281" spans="1:24" s="69" customFormat="1">
      <c r="A281" s="17" t="s">
        <v>169</v>
      </c>
      <c r="B281" s="7"/>
      <c r="C281" s="54">
        <v>28281</v>
      </c>
      <c r="D281" s="55"/>
      <c r="E281" s="166">
        <v>6.17</v>
      </c>
      <c r="F281" s="212"/>
      <c r="G281" s="212"/>
      <c r="H281" s="213">
        <v>174494</v>
      </c>
      <c r="I281" s="43"/>
      <c r="J281" s="18"/>
      <c r="K281" s="56"/>
      <c r="L281" s="71"/>
      <c r="M281" s="43"/>
      <c r="N281" s="18"/>
      <c r="O281" s="56"/>
      <c r="P281" s="71"/>
      <c r="Q281" s="43"/>
      <c r="R281" s="18"/>
      <c r="S281" s="56"/>
      <c r="T281" s="71"/>
      <c r="U281" s="43"/>
      <c r="V281" s="18"/>
      <c r="W281" s="56"/>
      <c r="X281" s="71"/>
    </row>
    <row r="282" spans="1:24" s="69" customFormat="1">
      <c r="A282" s="17" t="s">
        <v>170</v>
      </c>
      <c r="B282" s="7"/>
      <c r="C282" s="54">
        <v>27914</v>
      </c>
      <c r="D282" s="55"/>
      <c r="E282" s="212">
        <v>9.77</v>
      </c>
      <c r="F282" s="212"/>
      <c r="G282" s="212"/>
      <c r="H282" s="213">
        <v>272720</v>
      </c>
      <c r="I282" s="43"/>
      <c r="J282" s="56"/>
      <c r="K282" s="56"/>
      <c r="L282" s="71"/>
      <c r="M282" s="43"/>
      <c r="N282" s="56"/>
      <c r="O282" s="56"/>
      <c r="P282" s="71"/>
      <c r="Q282" s="43"/>
      <c r="R282" s="56"/>
      <c r="S282" s="56"/>
      <c r="T282" s="71"/>
      <c r="U282" s="43"/>
      <c r="V282" s="56"/>
      <c r="W282" s="56"/>
      <c r="X282" s="71"/>
    </row>
    <row r="283" spans="1:24" s="69" customFormat="1">
      <c r="A283" s="26" t="s">
        <v>171</v>
      </c>
      <c r="B283" s="7"/>
      <c r="C283" s="54">
        <v>10059553</v>
      </c>
      <c r="D283" s="55"/>
      <c r="E283" s="244">
        <v>6.5278999999999998</v>
      </c>
      <c r="F283" s="215" t="s">
        <v>16</v>
      </c>
      <c r="G283" s="215"/>
      <c r="H283" s="213">
        <v>656678</v>
      </c>
      <c r="I283" s="43"/>
      <c r="J283" s="75"/>
      <c r="K283" s="24"/>
      <c r="L283" s="71"/>
      <c r="M283" s="43"/>
      <c r="N283" s="75"/>
      <c r="O283" s="24"/>
      <c r="P283" s="71"/>
      <c r="Q283" s="43"/>
      <c r="R283" s="75"/>
      <c r="S283" s="24"/>
      <c r="T283" s="71"/>
      <c r="U283" s="43"/>
      <c r="V283" s="75"/>
      <c r="W283" s="24"/>
      <c r="X283" s="71"/>
    </row>
    <row r="284" spans="1:24" s="69" customFormat="1">
      <c r="A284" s="26" t="s">
        <v>172</v>
      </c>
      <c r="B284" s="7"/>
      <c r="C284" s="35">
        <v>49653569.797972836</v>
      </c>
      <c r="D284" s="55"/>
      <c r="E284" s="240"/>
      <c r="F284" s="55"/>
      <c r="G284" s="55"/>
      <c r="H284" s="220">
        <v>3254780</v>
      </c>
      <c r="I284" s="43"/>
      <c r="J284" s="66"/>
      <c r="K284" s="43"/>
      <c r="L284" s="72"/>
      <c r="M284" s="43"/>
      <c r="N284" s="66"/>
      <c r="O284" s="43"/>
      <c r="P284" s="72"/>
      <c r="Q284" s="43"/>
      <c r="R284" s="66"/>
      <c r="S284" s="43"/>
      <c r="T284" s="72"/>
      <c r="U284" s="43"/>
      <c r="V284" s="66"/>
      <c r="W284" s="43"/>
      <c r="X284" s="72"/>
    </row>
    <row r="285" spans="1:24" s="69" customFormat="1">
      <c r="A285" s="26" t="s">
        <v>84</v>
      </c>
      <c r="B285" s="7"/>
      <c r="C285" s="21"/>
      <c r="D285" s="55"/>
      <c r="E285" s="244"/>
      <c r="F285" s="215"/>
      <c r="G285" s="215"/>
      <c r="H285" s="219"/>
      <c r="I285" s="43"/>
      <c r="J285" s="75"/>
      <c r="K285" s="76"/>
      <c r="L285" s="70"/>
      <c r="M285" s="43"/>
      <c r="N285" s="75"/>
      <c r="O285" s="76"/>
      <c r="P285" s="70"/>
      <c r="Q285" s="43"/>
      <c r="R285" s="75"/>
      <c r="S285" s="76"/>
      <c r="T285" s="70"/>
      <c r="U285" s="43"/>
      <c r="V285" s="75"/>
      <c r="W285" s="76"/>
      <c r="X285" s="70"/>
    </row>
    <row r="286" spans="1:24" s="69" customFormat="1">
      <c r="A286" s="26" t="s">
        <v>157</v>
      </c>
      <c r="B286" s="7"/>
      <c r="C286" s="21">
        <v>49653569.797972836</v>
      </c>
      <c r="D286" s="55"/>
      <c r="E286" s="244"/>
      <c r="F286" s="215"/>
      <c r="G286" s="215"/>
      <c r="H286" s="219">
        <v>3254780</v>
      </c>
      <c r="I286" s="43"/>
      <c r="J286" s="75"/>
      <c r="K286" s="76"/>
      <c r="L286" s="70"/>
      <c r="M286" s="43"/>
      <c r="N286" s="75"/>
      <c r="O286" s="76"/>
      <c r="P286" s="70"/>
      <c r="Q286" s="43"/>
      <c r="R286" s="75"/>
      <c r="S286" s="76"/>
      <c r="T286" s="70"/>
      <c r="U286" s="43"/>
      <c r="V286" s="75"/>
      <c r="W286" s="76"/>
      <c r="X286" s="70"/>
    </row>
    <row r="287" spans="1:24" s="69" customFormat="1">
      <c r="A287" s="26" t="s">
        <v>173</v>
      </c>
      <c r="B287" s="7"/>
      <c r="C287" s="35">
        <v>519</v>
      </c>
      <c r="D287" s="55"/>
      <c r="E287" s="240"/>
      <c r="F287" s="55"/>
      <c r="G287" s="55"/>
      <c r="H287" s="220"/>
      <c r="I287" s="43"/>
      <c r="J287" s="66"/>
      <c r="K287" s="43"/>
      <c r="L287" s="72"/>
      <c r="M287" s="43"/>
      <c r="N287" s="66"/>
      <c r="O287" s="43"/>
      <c r="P287" s="72"/>
      <c r="Q287" s="43"/>
      <c r="R287" s="66"/>
      <c r="S287" s="43"/>
      <c r="T287" s="72"/>
      <c r="U287" s="43"/>
      <c r="V287" s="66"/>
      <c r="W287" s="43"/>
      <c r="X287" s="72"/>
    </row>
    <row r="288" spans="1:24" s="69" customFormat="1">
      <c r="A288" s="77" t="s">
        <v>174</v>
      </c>
      <c r="B288" s="7"/>
      <c r="C288" s="54"/>
      <c r="D288" s="55"/>
      <c r="E288" s="89"/>
      <c r="F288" s="55"/>
      <c r="G288" s="55"/>
      <c r="H288" s="89"/>
      <c r="I288" s="43"/>
      <c r="J288" s="7"/>
      <c r="K288" s="43"/>
      <c r="L288" s="7"/>
      <c r="M288" s="43"/>
      <c r="N288" s="7"/>
      <c r="O288" s="43"/>
      <c r="P288" s="7"/>
      <c r="Q288" s="43"/>
      <c r="R288" s="7"/>
      <c r="S288" s="43"/>
      <c r="T288" s="7"/>
      <c r="U288" s="43"/>
      <c r="V288" s="7"/>
      <c r="W288" s="43"/>
      <c r="X288" s="7"/>
    </row>
    <row r="289" spans="1:24" s="69" customFormat="1">
      <c r="A289" s="26" t="s">
        <v>175</v>
      </c>
      <c r="B289" s="7"/>
      <c r="C289" s="54"/>
      <c r="D289" s="55"/>
      <c r="E289" s="89"/>
      <c r="F289" s="55"/>
      <c r="G289" s="55"/>
      <c r="H289" s="213"/>
      <c r="I289" s="43"/>
      <c r="J289" s="7"/>
      <c r="K289" s="43"/>
      <c r="L289" s="71"/>
      <c r="M289" s="43"/>
      <c r="N289" s="7"/>
      <c r="O289" s="43"/>
      <c r="P289" s="71"/>
      <c r="Q289" s="43"/>
      <c r="R289" s="7"/>
      <c r="S289" s="43"/>
      <c r="T289" s="71"/>
      <c r="U289" s="43"/>
      <c r="V289" s="7"/>
      <c r="W289" s="43"/>
      <c r="X289" s="71"/>
    </row>
    <row r="290" spans="1:24" s="69" customFormat="1">
      <c r="A290" s="17" t="s">
        <v>176</v>
      </c>
      <c r="B290" s="7"/>
      <c r="C290" s="54">
        <v>76</v>
      </c>
      <c r="D290" s="55"/>
      <c r="E290" s="166">
        <v>8.9600000000000009</v>
      </c>
      <c r="F290" s="212"/>
      <c r="G290" s="212"/>
      <c r="H290" s="213">
        <v>681</v>
      </c>
      <c r="I290" s="43"/>
      <c r="J290" s="18"/>
      <c r="K290" s="56"/>
      <c r="L290" s="71"/>
      <c r="M290" s="43"/>
      <c r="N290" s="18"/>
      <c r="O290" s="56"/>
      <c r="P290" s="71"/>
      <c r="Q290" s="43"/>
      <c r="R290" s="18"/>
      <c r="S290" s="56"/>
      <c r="T290" s="71"/>
      <c r="U290" s="43"/>
      <c r="V290" s="18"/>
      <c r="W290" s="56"/>
      <c r="X290" s="71"/>
    </row>
    <row r="291" spans="1:24" s="69" customFormat="1">
      <c r="A291" s="17" t="s">
        <v>144</v>
      </c>
      <c r="B291" s="7"/>
      <c r="C291" s="54">
        <v>91</v>
      </c>
      <c r="D291" s="55"/>
      <c r="E291" s="166">
        <v>12.19</v>
      </c>
      <c r="F291" s="212"/>
      <c r="G291" s="212"/>
      <c r="H291" s="213">
        <v>1109</v>
      </c>
      <c r="I291" s="43"/>
      <c r="J291" s="18"/>
      <c r="K291" s="56"/>
      <c r="L291" s="71"/>
      <c r="M291" s="43"/>
      <c r="N291" s="18"/>
      <c r="O291" s="56"/>
      <c r="P291" s="71"/>
      <c r="Q291" s="43"/>
      <c r="R291" s="18"/>
      <c r="S291" s="56"/>
      <c r="T291" s="71"/>
      <c r="U291" s="43"/>
      <c r="V291" s="18"/>
      <c r="W291" s="56"/>
      <c r="X291" s="71"/>
    </row>
    <row r="292" spans="1:24" s="69" customFormat="1">
      <c r="A292" s="26" t="s">
        <v>177</v>
      </c>
      <c r="B292" s="7"/>
      <c r="C292" s="54"/>
      <c r="D292" s="55"/>
      <c r="E292" s="166"/>
      <c r="F292" s="212"/>
      <c r="G292" s="212"/>
      <c r="H292" s="89"/>
      <c r="I292" s="43"/>
      <c r="J292" s="18"/>
      <c r="K292" s="56"/>
      <c r="L292" s="7"/>
      <c r="M292" s="43"/>
      <c r="N292" s="18"/>
      <c r="O292" s="56"/>
      <c r="P292" s="7"/>
      <c r="Q292" s="43"/>
      <c r="R292" s="18"/>
      <c r="S292" s="56"/>
      <c r="T292" s="7"/>
      <c r="U292" s="43"/>
      <c r="V292" s="18"/>
      <c r="W292" s="56"/>
      <c r="X292" s="7"/>
    </row>
    <row r="293" spans="1:24" s="69" customFormat="1">
      <c r="A293" s="17" t="s">
        <v>144</v>
      </c>
      <c r="B293" s="7"/>
      <c r="C293" s="54">
        <v>47</v>
      </c>
      <c r="D293" s="55"/>
      <c r="E293" s="166">
        <v>4.6399999999999997</v>
      </c>
      <c r="F293" s="212"/>
      <c r="G293" s="212"/>
      <c r="H293" s="213">
        <v>218</v>
      </c>
      <c r="I293" s="43"/>
      <c r="J293" s="18"/>
      <c r="K293" s="56"/>
      <c r="L293" s="71"/>
      <c r="M293" s="43"/>
      <c r="N293" s="18"/>
      <c r="O293" s="56"/>
      <c r="P293" s="71"/>
      <c r="Q293" s="43"/>
      <c r="R293" s="18"/>
      <c r="S293" s="56"/>
      <c r="T293" s="71"/>
      <c r="U293" s="43"/>
      <c r="V293" s="18"/>
      <c r="W293" s="56"/>
      <c r="X293" s="71"/>
    </row>
    <row r="294" spans="1:24" s="69" customFormat="1">
      <c r="A294" s="17" t="s">
        <v>57</v>
      </c>
      <c r="B294" s="7"/>
      <c r="C294" s="21">
        <v>546</v>
      </c>
      <c r="D294" s="55"/>
      <c r="E294" s="166">
        <v>7</v>
      </c>
      <c r="F294" s="55"/>
      <c r="G294" s="55"/>
      <c r="H294" s="213">
        <v>3822</v>
      </c>
      <c r="I294" s="43"/>
      <c r="J294" s="18"/>
      <c r="K294" s="43"/>
      <c r="L294" s="71"/>
      <c r="M294" s="43"/>
      <c r="N294" s="18"/>
      <c r="O294" s="43"/>
      <c r="P294" s="71"/>
      <c r="Q294" s="43"/>
      <c r="R294" s="18"/>
      <c r="S294" s="43"/>
      <c r="T294" s="71"/>
      <c r="U294" s="43"/>
      <c r="V294" s="18"/>
      <c r="W294" s="43"/>
      <c r="X294" s="71"/>
    </row>
    <row r="295" spans="1:24" s="69" customFormat="1">
      <c r="A295" s="17" t="s">
        <v>59</v>
      </c>
      <c r="B295" s="7"/>
      <c r="C295" s="54">
        <v>140</v>
      </c>
      <c r="D295" s="55"/>
      <c r="E295" s="166">
        <v>13.33</v>
      </c>
      <c r="F295" s="212"/>
      <c r="G295" s="212"/>
      <c r="H295" s="213">
        <v>1866</v>
      </c>
      <c r="I295" s="43"/>
      <c r="J295" s="18"/>
      <c r="K295" s="56"/>
      <c r="L295" s="71"/>
      <c r="M295" s="43"/>
      <c r="N295" s="18"/>
      <c r="O295" s="56"/>
      <c r="P295" s="71"/>
      <c r="Q295" s="43"/>
      <c r="R295" s="18"/>
      <c r="S295" s="56"/>
      <c r="T295" s="71"/>
      <c r="U295" s="43"/>
      <c r="V295" s="18"/>
      <c r="W295" s="56"/>
      <c r="X295" s="71"/>
    </row>
    <row r="296" spans="1:24" s="69" customFormat="1">
      <c r="A296" s="17" t="s">
        <v>178</v>
      </c>
      <c r="B296" s="7"/>
      <c r="C296" s="54">
        <v>0</v>
      </c>
      <c r="D296" s="55"/>
      <c r="E296" s="166">
        <v>28.38</v>
      </c>
      <c r="F296" s="212"/>
      <c r="G296" s="212"/>
      <c r="H296" s="213">
        <v>0</v>
      </c>
      <c r="I296" s="43"/>
      <c r="J296" s="18"/>
      <c r="K296" s="56"/>
      <c r="L296" s="71"/>
      <c r="M296" s="43"/>
      <c r="N296" s="18"/>
      <c r="O296" s="56"/>
      <c r="P296" s="71"/>
      <c r="Q296" s="43"/>
      <c r="R296" s="18"/>
      <c r="S296" s="56"/>
      <c r="T296" s="71"/>
      <c r="U296" s="43"/>
      <c r="V296" s="18"/>
      <c r="W296" s="56"/>
      <c r="X296" s="71"/>
    </row>
    <row r="297" spans="1:24" s="69" customFormat="1">
      <c r="A297" s="26" t="s">
        <v>179</v>
      </c>
      <c r="B297" s="7"/>
      <c r="C297" s="54"/>
      <c r="D297" s="55"/>
      <c r="E297" s="166"/>
      <c r="F297" s="212"/>
      <c r="G297" s="212"/>
      <c r="H297" s="213"/>
      <c r="I297" s="43"/>
      <c r="J297" s="18"/>
      <c r="K297" s="56"/>
      <c r="L297" s="71"/>
      <c r="M297" s="43"/>
      <c r="N297" s="18"/>
      <c r="O297" s="56"/>
      <c r="P297" s="71"/>
      <c r="Q297" s="43"/>
      <c r="R297" s="18"/>
      <c r="S297" s="56"/>
      <c r="T297" s="71"/>
      <c r="U297" s="43"/>
      <c r="V297" s="18"/>
      <c r="W297" s="56"/>
      <c r="X297" s="71"/>
    </row>
    <row r="298" spans="1:24" s="69" customFormat="1">
      <c r="A298" s="17" t="s">
        <v>161</v>
      </c>
      <c r="B298" s="7"/>
      <c r="C298" s="54">
        <v>34609</v>
      </c>
      <c r="D298" s="55"/>
      <c r="E298" s="166">
        <v>4.08</v>
      </c>
      <c r="F298" s="212"/>
      <c r="G298" s="212"/>
      <c r="H298" s="213">
        <v>141205</v>
      </c>
      <c r="I298" s="43"/>
      <c r="J298" s="18"/>
      <c r="K298" s="56"/>
      <c r="L298" s="71"/>
      <c r="M298" s="43"/>
      <c r="N298" s="18"/>
      <c r="O298" s="56"/>
      <c r="P298" s="71"/>
      <c r="Q298" s="43"/>
      <c r="R298" s="18"/>
      <c r="S298" s="56"/>
      <c r="T298" s="71"/>
      <c r="U298" s="43"/>
      <c r="V298" s="18"/>
      <c r="W298" s="56"/>
      <c r="X298" s="71"/>
    </row>
    <row r="299" spans="1:24" s="69" customFormat="1">
      <c r="A299" s="17" t="s">
        <v>162</v>
      </c>
      <c r="B299" s="7"/>
      <c r="C299" s="54">
        <v>15632</v>
      </c>
      <c r="D299" s="55"/>
      <c r="E299" s="166">
        <v>5.37</v>
      </c>
      <c r="F299" s="212"/>
      <c r="G299" s="212"/>
      <c r="H299" s="213">
        <v>83944</v>
      </c>
      <c r="I299" s="43"/>
      <c r="J299" s="18"/>
      <c r="K299" s="56"/>
      <c r="L299" s="71"/>
      <c r="M299" s="43"/>
      <c r="N299" s="18"/>
      <c r="O299" s="56"/>
      <c r="P299" s="71"/>
      <c r="Q299" s="43"/>
      <c r="R299" s="18"/>
      <c r="S299" s="56"/>
      <c r="T299" s="71"/>
      <c r="U299" s="43"/>
      <c r="V299" s="18"/>
      <c r="W299" s="56"/>
      <c r="X299" s="71"/>
    </row>
    <row r="300" spans="1:24" s="69" customFormat="1">
      <c r="A300" s="17" t="s">
        <v>180</v>
      </c>
      <c r="B300" s="7"/>
      <c r="C300" s="54">
        <v>8817</v>
      </c>
      <c r="D300" s="55"/>
      <c r="E300" s="166">
        <v>6.96</v>
      </c>
      <c r="F300" s="212"/>
      <c r="G300" s="212"/>
      <c r="H300" s="213">
        <v>61366</v>
      </c>
      <c r="I300" s="43"/>
      <c r="J300" s="18"/>
      <c r="K300" s="56"/>
      <c r="L300" s="71"/>
      <c r="M300" s="43"/>
      <c r="N300" s="18"/>
      <c r="O300" s="56"/>
      <c r="P300" s="71"/>
      <c r="Q300" s="43"/>
      <c r="R300" s="18"/>
      <c r="S300" s="56"/>
      <c r="T300" s="71"/>
      <c r="U300" s="43"/>
      <c r="V300" s="18"/>
      <c r="W300" s="56"/>
      <c r="X300" s="71"/>
    </row>
    <row r="301" spans="1:24" s="69" customFormat="1">
      <c r="A301" s="17" t="s">
        <v>163</v>
      </c>
      <c r="B301" s="7"/>
      <c r="C301" s="54">
        <v>2548</v>
      </c>
      <c r="D301" s="55"/>
      <c r="E301" s="166">
        <v>6.52</v>
      </c>
      <c r="F301" s="212"/>
      <c r="G301" s="212"/>
      <c r="H301" s="213">
        <v>16613</v>
      </c>
      <c r="I301" s="43"/>
      <c r="J301" s="18"/>
      <c r="K301" s="56"/>
      <c r="L301" s="71"/>
      <c r="M301" s="43"/>
      <c r="N301" s="18"/>
      <c r="O301" s="56"/>
      <c r="P301" s="71"/>
      <c r="Q301" s="43"/>
      <c r="R301" s="18"/>
      <c r="S301" s="56"/>
      <c r="T301" s="71"/>
      <c r="U301" s="43"/>
      <c r="V301" s="18"/>
      <c r="W301" s="56"/>
      <c r="X301" s="71"/>
    </row>
    <row r="302" spans="1:24" s="69" customFormat="1">
      <c r="A302" s="17" t="s">
        <v>181</v>
      </c>
      <c r="B302" s="7"/>
      <c r="C302" s="54">
        <v>799</v>
      </c>
      <c r="D302" s="55"/>
      <c r="E302" s="166">
        <v>8.27</v>
      </c>
      <c r="F302" s="212"/>
      <c r="G302" s="212"/>
      <c r="H302" s="213">
        <v>6608</v>
      </c>
      <c r="I302" s="43"/>
      <c r="J302" s="18"/>
      <c r="K302" s="56"/>
      <c r="L302" s="71"/>
      <c r="M302" s="43"/>
      <c r="N302" s="18"/>
      <c r="O302" s="56"/>
      <c r="P302" s="71"/>
      <c r="Q302" s="43"/>
      <c r="R302" s="18"/>
      <c r="S302" s="56"/>
      <c r="T302" s="71"/>
      <c r="U302" s="43"/>
      <c r="V302" s="18"/>
      <c r="W302" s="56"/>
      <c r="X302" s="71"/>
    </row>
    <row r="303" spans="1:24" s="69" customFormat="1">
      <c r="A303" s="17" t="s">
        <v>182</v>
      </c>
      <c r="B303" s="7"/>
      <c r="C303" s="54">
        <v>0</v>
      </c>
      <c r="D303" s="55"/>
      <c r="E303" s="166">
        <v>8.26</v>
      </c>
      <c r="F303" s="212"/>
      <c r="G303" s="212"/>
      <c r="H303" s="213">
        <v>0</v>
      </c>
      <c r="I303" s="43"/>
      <c r="J303" s="18"/>
      <c r="K303" s="56"/>
      <c r="L303" s="71"/>
      <c r="M303" s="43"/>
      <c r="N303" s="18"/>
      <c r="O303" s="56"/>
      <c r="P303" s="71"/>
      <c r="Q303" s="43"/>
      <c r="R303" s="18"/>
      <c r="S303" s="56"/>
      <c r="T303" s="71"/>
      <c r="U303" s="43"/>
      <c r="V303" s="18"/>
      <c r="W303" s="56"/>
      <c r="X303" s="71"/>
    </row>
    <row r="304" spans="1:24" s="69" customFormat="1">
      <c r="A304" s="17" t="s">
        <v>164</v>
      </c>
      <c r="B304" s="7"/>
      <c r="C304" s="54">
        <v>5601</v>
      </c>
      <c r="D304" s="55"/>
      <c r="E304" s="166">
        <v>9.59</v>
      </c>
      <c r="F304" s="212"/>
      <c r="G304" s="212"/>
      <c r="H304" s="213">
        <v>53714</v>
      </c>
      <c r="I304" s="43"/>
      <c r="J304" s="18"/>
      <c r="K304" s="56"/>
      <c r="L304" s="71"/>
      <c r="M304" s="43"/>
      <c r="N304" s="18"/>
      <c r="O304" s="56"/>
      <c r="P304" s="71"/>
      <c r="Q304" s="43"/>
      <c r="R304" s="18"/>
      <c r="S304" s="56"/>
      <c r="T304" s="71"/>
      <c r="U304" s="43"/>
      <c r="V304" s="18"/>
      <c r="W304" s="56"/>
      <c r="X304" s="71"/>
    </row>
    <row r="305" spans="1:24" s="69" customFormat="1">
      <c r="A305" s="17" t="s">
        <v>183</v>
      </c>
      <c r="B305" s="7"/>
      <c r="C305" s="54">
        <v>143</v>
      </c>
      <c r="D305" s="55"/>
      <c r="E305" s="166">
        <v>11.93</v>
      </c>
      <c r="F305" s="212"/>
      <c r="G305" s="212"/>
      <c r="H305" s="213">
        <v>1706</v>
      </c>
      <c r="I305" s="43"/>
      <c r="J305" s="18"/>
      <c r="K305" s="56"/>
      <c r="L305" s="71"/>
      <c r="M305" s="43"/>
      <c r="N305" s="18"/>
      <c r="O305" s="56"/>
      <c r="P305" s="71"/>
      <c r="Q305" s="43"/>
      <c r="R305" s="18"/>
      <c r="S305" s="56"/>
      <c r="T305" s="71"/>
      <c r="U305" s="43"/>
      <c r="V305" s="18"/>
      <c r="W305" s="56"/>
      <c r="X305" s="71"/>
    </row>
    <row r="306" spans="1:24" s="69" customFormat="1">
      <c r="A306" s="17" t="s">
        <v>165</v>
      </c>
      <c r="B306" s="7"/>
      <c r="C306" s="54">
        <v>10133</v>
      </c>
      <c r="D306" s="55"/>
      <c r="E306" s="166">
        <v>14</v>
      </c>
      <c r="F306" s="212"/>
      <c r="G306" s="212"/>
      <c r="H306" s="213">
        <v>141862</v>
      </c>
      <c r="I306" s="43"/>
      <c r="J306" s="18"/>
      <c r="K306" s="56"/>
      <c r="L306" s="71"/>
      <c r="M306" s="43"/>
      <c r="N306" s="18"/>
      <c r="O306" s="56"/>
      <c r="P306" s="71"/>
      <c r="Q306" s="43"/>
      <c r="R306" s="18"/>
      <c r="S306" s="56"/>
      <c r="T306" s="71"/>
      <c r="U306" s="43"/>
      <c r="V306" s="18"/>
      <c r="W306" s="56"/>
      <c r="X306" s="71"/>
    </row>
    <row r="307" spans="1:24" s="69" customFormat="1">
      <c r="A307" s="17" t="s">
        <v>184</v>
      </c>
      <c r="B307" s="7"/>
      <c r="C307" s="54">
        <v>157</v>
      </c>
      <c r="D307" s="55"/>
      <c r="E307" s="166">
        <v>15.56</v>
      </c>
      <c r="F307" s="212"/>
      <c r="G307" s="212"/>
      <c r="H307" s="213">
        <v>2443</v>
      </c>
      <c r="I307" s="43"/>
      <c r="J307" s="18"/>
      <c r="K307" s="56"/>
      <c r="L307" s="71"/>
      <c r="M307" s="43"/>
      <c r="N307" s="18"/>
      <c r="O307" s="56"/>
      <c r="P307" s="71"/>
      <c r="Q307" s="43"/>
      <c r="R307" s="18"/>
      <c r="S307" s="56"/>
      <c r="T307" s="71"/>
      <c r="U307" s="43"/>
      <c r="V307" s="18"/>
      <c r="W307" s="56"/>
      <c r="X307" s="71"/>
    </row>
    <row r="308" spans="1:24" s="69" customFormat="1">
      <c r="A308" s="26" t="s">
        <v>166</v>
      </c>
      <c r="B308" s="7"/>
      <c r="C308" s="54"/>
      <c r="D308" s="55"/>
      <c r="E308" s="166"/>
      <c r="F308" s="212"/>
      <c r="G308" s="212"/>
      <c r="H308" s="89"/>
      <c r="I308" s="43"/>
      <c r="J308" s="18"/>
      <c r="K308" s="56"/>
      <c r="L308" s="7"/>
      <c r="M308" s="43"/>
      <c r="N308" s="18"/>
      <c r="O308" s="56"/>
      <c r="P308" s="7"/>
      <c r="Q308" s="43"/>
      <c r="R308" s="18"/>
      <c r="S308" s="56"/>
      <c r="T308" s="7"/>
      <c r="U308" s="43"/>
      <c r="V308" s="18"/>
      <c r="W308" s="56"/>
      <c r="X308" s="7"/>
    </row>
    <row r="309" spans="1:24" s="69" customFormat="1">
      <c r="A309" s="17" t="s">
        <v>185</v>
      </c>
      <c r="B309" s="7"/>
      <c r="C309" s="54">
        <v>702</v>
      </c>
      <c r="D309" s="55"/>
      <c r="E309" s="166">
        <v>9.19</v>
      </c>
      <c r="F309" s="212"/>
      <c r="G309" s="212"/>
      <c r="H309" s="213">
        <v>6451</v>
      </c>
      <c r="I309" s="43"/>
      <c r="J309" s="18"/>
      <c r="K309" s="56"/>
      <c r="L309" s="71"/>
      <c r="M309" s="43"/>
      <c r="N309" s="18"/>
      <c r="O309" s="56"/>
      <c r="P309" s="71"/>
      <c r="Q309" s="43"/>
      <c r="R309" s="18"/>
      <c r="S309" s="56"/>
      <c r="T309" s="71"/>
      <c r="U309" s="43"/>
      <c r="V309" s="18"/>
      <c r="W309" s="56"/>
      <c r="X309" s="71"/>
    </row>
    <row r="310" spans="1:24" s="69" customFormat="1">
      <c r="A310" s="17" t="s">
        <v>168</v>
      </c>
      <c r="B310" s="7"/>
      <c r="C310" s="54">
        <v>1617</v>
      </c>
      <c r="D310" s="55"/>
      <c r="E310" s="166">
        <v>13.57</v>
      </c>
      <c r="F310" s="212"/>
      <c r="G310" s="212"/>
      <c r="H310" s="213">
        <v>21943</v>
      </c>
      <c r="I310" s="43"/>
      <c r="J310" s="18"/>
      <c r="K310" s="56"/>
      <c r="L310" s="71"/>
      <c r="M310" s="43"/>
      <c r="N310" s="18"/>
      <c r="O310" s="56"/>
      <c r="P310" s="71"/>
      <c r="Q310" s="43"/>
      <c r="R310" s="18"/>
      <c r="S310" s="56"/>
      <c r="T310" s="71"/>
      <c r="U310" s="43"/>
      <c r="V310" s="18"/>
      <c r="W310" s="56"/>
      <c r="X310" s="71"/>
    </row>
    <row r="311" spans="1:24" s="69" customFormat="1">
      <c r="A311" s="17" t="s">
        <v>186</v>
      </c>
      <c r="B311" s="7"/>
      <c r="C311" s="54">
        <v>225</v>
      </c>
      <c r="D311" s="55"/>
      <c r="E311" s="166">
        <v>11.09</v>
      </c>
      <c r="F311" s="212"/>
      <c r="G311" s="212"/>
      <c r="H311" s="213">
        <v>2495</v>
      </c>
      <c r="I311" s="43"/>
      <c r="J311" s="18"/>
      <c r="K311" s="56"/>
      <c r="L311" s="71"/>
      <c r="M311" s="43"/>
      <c r="N311" s="18"/>
      <c r="O311" s="56"/>
      <c r="P311" s="71"/>
      <c r="Q311" s="43"/>
      <c r="R311" s="18"/>
      <c r="S311" s="56"/>
      <c r="T311" s="71"/>
      <c r="U311" s="43"/>
      <c r="V311" s="18"/>
      <c r="W311" s="56"/>
      <c r="X311" s="71"/>
    </row>
    <row r="312" spans="1:24" s="69" customFormat="1">
      <c r="A312" s="17" t="s">
        <v>169</v>
      </c>
      <c r="B312" s="7"/>
      <c r="C312" s="54">
        <v>518</v>
      </c>
      <c r="D312" s="55"/>
      <c r="E312" s="166">
        <v>13.71</v>
      </c>
      <c r="F312" s="212"/>
      <c r="G312" s="212"/>
      <c r="H312" s="213">
        <v>7102</v>
      </c>
      <c r="I312" s="43"/>
      <c r="J312" s="18"/>
      <c r="K312" s="56"/>
      <c r="L312" s="71"/>
      <c r="M312" s="43"/>
      <c r="N312" s="18"/>
      <c r="O312" s="56"/>
      <c r="P312" s="71"/>
      <c r="Q312" s="43"/>
      <c r="R312" s="18"/>
      <c r="S312" s="56"/>
      <c r="T312" s="71"/>
      <c r="U312" s="43"/>
      <c r="V312" s="18"/>
      <c r="W312" s="56"/>
      <c r="X312" s="71"/>
    </row>
    <row r="313" spans="1:24" s="69" customFormat="1">
      <c r="A313" s="17" t="s">
        <v>187</v>
      </c>
      <c r="B313" s="7"/>
      <c r="C313" s="54">
        <v>6034</v>
      </c>
      <c r="D313" s="55"/>
      <c r="E313" s="166">
        <v>14.13</v>
      </c>
      <c r="F313" s="212"/>
      <c r="G313" s="212"/>
      <c r="H313" s="213">
        <v>85260</v>
      </c>
      <c r="I313" s="43"/>
      <c r="J313" s="18"/>
      <c r="K313" s="56"/>
      <c r="L313" s="71"/>
      <c r="M313" s="43"/>
      <c r="N313" s="18"/>
      <c r="O313" s="56"/>
      <c r="P313" s="71"/>
      <c r="Q313" s="43"/>
      <c r="R313" s="18"/>
      <c r="S313" s="56"/>
      <c r="T313" s="71"/>
      <c r="U313" s="43"/>
      <c r="V313" s="18"/>
      <c r="W313" s="56"/>
      <c r="X313" s="71"/>
    </row>
    <row r="314" spans="1:24" s="69" customFormat="1">
      <c r="A314" s="17" t="s">
        <v>170</v>
      </c>
      <c r="B314" s="7"/>
      <c r="C314" s="54">
        <v>544</v>
      </c>
      <c r="D314" s="55"/>
      <c r="E314" s="166">
        <v>14.58</v>
      </c>
      <c r="F314" s="212"/>
      <c r="G314" s="212"/>
      <c r="H314" s="213">
        <v>7932</v>
      </c>
      <c r="I314" s="43"/>
      <c r="J314" s="18"/>
      <c r="K314" s="56"/>
      <c r="L314" s="71"/>
      <c r="M314" s="43"/>
      <c r="N314" s="18"/>
      <c r="O314" s="56"/>
      <c r="P314" s="71"/>
      <c r="Q314" s="43"/>
      <c r="R314" s="18"/>
      <c r="S314" s="56"/>
      <c r="T314" s="71"/>
      <c r="U314" s="43"/>
      <c r="V314" s="18"/>
      <c r="W314" s="56"/>
      <c r="X314" s="71"/>
    </row>
    <row r="315" spans="1:24" s="69" customFormat="1">
      <c r="A315" s="17" t="s">
        <v>188</v>
      </c>
      <c r="B315" s="7"/>
      <c r="C315" s="21">
        <v>669</v>
      </c>
      <c r="D315" s="55"/>
      <c r="E315" s="212">
        <v>15.79</v>
      </c>
      <c r="F315" s="212"/>
      <c r="G315" s="212"/>
      <c r="H315" s="213">
        <v>10564</v>
      </c>
      <c r="I315" s="43"/>
      <c r="J315" s="56"/>
      <c r="K315" s="56"/>
      <c r="L315" s="71"/>
      <c r="M315" s="43"/>
      <c r="N315" s="56"/>
      <c r="O315" s="56"/>
      <c r="P315" s="71"/>
      <c r="Q315" s="43"/>
      <c r="R315" s="56"/>
      <c r="S315" s="56"/>
      <c r="T315" s="71"/>
      <c r="U315" s="43"/>
      <c r="V315" s="56"/>
      <c r="W315" s="56"/>
      <c r="X315" s="71"/>
    </row>
    <row r="316" spans="1:24" s="69" customFormat="1">
      <c r="A316" s="26" t="s">
        <v>189</v>
      </c>
      <c r="B316" s="7"/>
      <c r="C316" s="54"/>
      <c r="D316" s="55"/>
      <c r="E316" s="166"/>
      <c r="F316" s="212"/>
      <c r="G316" s="212"/>
      <c r="H316" s="213"/>
      <c r="I316" s="43"/>
      <c r="J316" s="18"/>
      <c r="K316" s="56"/>
      <c r="L316" s="71"/>
      <c r="M316" s="43"/>
      <c r="N316" s="18"/>
      <c r="O316" s="56"/>
      <c r="P316" s="71"/>
      <c r="Q316" s="43"/>
      <c r="R316" s="18"/>
      <c r="S316" s="56"/>
      <c r="T316" s="71"/>
      <c r="U316" s="43"/>
      <c r="V316" s="18"/>
      <c r="W316" s="56"/>
      <c r="X316" s="71"/>
    </row>
    <row r="317" spans="1:24" s="69" customFormat="1">
      <c r="A317" s="17" t="s">
        <v>190</v>
      </c>
      <c r="B317" s="7"/>
      <c r="C317" s="54">
        <v>0</v>
      </c>
      <c r="D317" s="55"/>
      <c r="E317" s="166">
        <v>3.75</v>
      </c>
      <c r="F317" s="212"/>
      <c r="G317" s="212"/>
      <c r="H317" s="213">
        <v>0</v>
      </c>
      <c r="I317" s="43"/>
      <c r="J317" s="18"/>
      <c r="K317" s="56"/>
      <c r="L317" s="71"/>
      <c r="M317" s="43"/>
      <c r="N317" s="18"/>
      <c r="O317" s="56"/>
      <c r="P317" s="71"/>
      <c r="Q317" s="43"/>
      <c r="R317" s="18"/>
      <c r="S317" s="56"/>
      <c r="T317" s="71"/>
      <c r="U317" s="43"/>
      <c r="V317" s="18"/>
      <c r="W317" s="56"/>
      <c r="X317" s="71"/>
    </row>
    <row r="318" spans="1:24" s="69" customFormat="1">
      <c r="A318" s="17" t="s">
        <v>191</v>
      </c>
      <c r="B318" s="7"/>
      <c r="C318" s="54">
        <v>83</v>
      </c>
      <c r="D318" s="55"/>
      <c r="E318" s="166">
        <v>13.92</v>
      </c>
      <c r="F318" s="212"/>
      <c r="G318" s="212"/>
      <c r="H318" s="213">
        <v>1155</v>
      </c>
      <c r="I318" s="43"/>
      <c r="J318" s="18"/>
      <c r="K318" s="56"/>
      <c r="L318" s="71"/>
      <c r="M318" s="43"/>
      <c r="N318" s="18"/>
      <c r="O318" s="56"/>
      <c r="P318" s="71"/>
      <c r="Q318" s="43"/>
      <c r="R318" s="18"/>
      <c r="S318" s="56"/>
      <c r="T318" s="71"/>
      <c r="U318" s="43"/>
      <c r="V318" s="18"/>
      <c r="W318" s="56"/>
      <c r="X318" s="71"/>
    </row>
    <row r="319" spans="1:24" s="69" customFormat="1">
      <c r="A319" s="26" t="s">
        <v>172</v>
      </c>
      <c r="B319" s="7"/>
      <c r="C319" s="35">
        <v>5219064.5578195509</v>
      </c>
      <c r="D319" s="55"/>
      <c r="E319" s="240"/>
      <c r="F319" s="55"/>
      <c r="G319" s="55"/>
      <c r="H319" s="220">
        <v>660059</v>
      </c>
      <c r="I319" s="43"/>
      <c r="J319" s="66"/>
      <c r="K319" s="43"/>
      <c r="L319" s="72"/>
      <c r="M319" s="43"/>
      <c r="N319" s="66"/>
      <c r="O319" s="43"/>
      <c r="P319" s="72"/>
      <c r="Q319" s="43"/>
      <c r="R319" s="66"/>
      <c r="S319" s="43"/>
      <c r="T319" s="72"/>
      <c r="U319" s="43"/>
      <c r="V319" s="66"/>
      <c r="W319" s="43"/>
      <c r="X319" s="72"/>
    </row>
    <row r="320" spans="1:24" s="69" customFormat="1">
      <c r="A320" s="26" t="s">
        <v>84</v>
      </c>
      <c r="B320" s="7"/>
      <c r="C320" s="21"/>
      <c r="D320" s="55"/>
      <c r="E320" s="166"/>
      <c r="F320" s="215"/>
      <c r="G320" s="215"/>
      <c r="H320" s="219"/>
      <c r="I320" s="43"/>
      <c r="J320" s="18"/>
      <c r="K320" s="76"/>
      <c r="L320" s="70"/>
      <c r="M320" s="43"/>
      <c r="N320" s="18"/>
      <c r="O320" s="76"/>
      <c r="P320" s="70"/>
      <c r="Q320" s="43"/>
      <c r="R320" s="18"/>
      <c r="S320" s="76"/>
      <c r="T320" s="70"/>
      <c r="U320" s="43"/>
      <c r="V320" s="18"/>
      <c r="W320" s="76"/>
      <c r="X320" s="70"/>
    </row>
    <row r="321" spans="1:24" s="69" customFormat="1">
      <c r="A321" s="26" t="s">
        <v>157</v>
      </c>
      <c r="B321" s="7"/>
      <c r="C321" s="21">
        <v>5219064.5578195509</v>
      </c>
      <c r="D321" s="55"/>
      <c r="E321" s="166"/>
      <c r="F321" s="215"/>
      <c r="G321" s="215"/>
      <c r="H321" s="219">
        <v>660059</v>
      </c>
      <c r="I321" s="43"/>
      <c r="J321" s="18"/>
      <c r="K321" s="76"/>
      <c r="L321" s="70"/>
      <c r="M321" s="43"/>
      <c r="N321" s="18"/>
      <c r="O321" s="76"/>
      <c r="P321" s="70"/>
      <c r="Q321" s="43"/>
      <c r="R321" s="18"/>
      <c r="S321" s="76"/>
      <c r="T321" s="70"/>
      <c r="U321" s="43"/>
      <c r="V321" s="18"/>
      <c r="W321" s="76"/>
      <c r="X321" s="70"/>
    </row>
    <row r="322" spans="1:24" s="69" customFormat="1">
      <c r="A322" s="26" t="s">
        <v>173</v>
      </c>
      <c r="B322" s="7"/>
      <c r="C322" s="35">
        <v>221</v>
      </c>
      <c r="D322" s="55"/>
      <c r="E322" s="240"/>
      <c r="F322" s="55"/>
      <c r="G322" s="55"/>
      <c r="H322" s="220"/>
      <c r="I322" s="43"/>
      <c r="J322" s="66"/>
      <c r="K322" s="43"/>
      <c r="L322" s="72"/>
      <c r="M322" s="43"/>
      <c r="N322" s="66"/>
      <c r="O322" s="43"/>
      <c r="P322" s="72"/>
      <c r="Q322" s="43"/>
      <c r="R322" s="66"/>
      <c r="S322" s="43"/>
      <c r="T322" s="72"/>
      <c r="U322" s="43"/>
      <c r="V322" s="66"/>
      <c r="W322" s="43"/>
      <c r="X322" s="72"/>
    </row>
    <row r="323" spans="1:24" s="69" customFormat="1">
      <c r="A323" s="77" t="s">
        <v>192</v>
      </c>
      <c r="B323" s="7"/>
      <c r="C323" s="54"/>
      <c r="D323" s="55"/>
      <c r="E323" s="166"/>
      <c r="F323" s="212"/>
      <c r="G323" s="212"/>
      <c r="H323" s="89"/>
      <c r="I323" s="43"/>
      <c r="J323" s="18"/>
      <c r="K323" s="56"/>
      <c r="L323" s="7"/>
      <c r="M323" s="43"/>
      <c r="N323" s="18"/>
      <c r="O323" s="56"/>
      <c r="P323" s="7"/>
      <c r="Q323" s="43"/>
      <c r="R323" s="18"/>
      <c r="S323" s="56"/>
      <c r="T323" s="7"/>
      <c r="U323" s="43"/>
      <c r="V323" s="18"/>
      <c r="W323" s="56"/>
      <c r="X323" s="7"/>
    </row>
    <row r="324" spans="1:24" s="69" customFormat="1">
      <c r="A324" s="26" t="s">
        <v>175</v>
      </c>
      <c r="B324" s="7"/>
      <c r="C324" s="54"/>
      <c r="D324" s="55"/>
      <c r="E324" s="166"/>
      <c r="F324" s="212"/>
      <c r="G324" s="212"/>
      <c r="H324" s="213"/>
      <c r="I324" s="43"/>
      <c r="J324" s="18"/>
      <c r="K324" s="56"/>
      <c r="L324" s="71"/>
      <c r="M324" s="43"/>
      <c r="N324" s="18"/>
      <c r="O324" s="56"/>
      <c r="P324" s="71"/>
      <c r="Q324" s="43"/>
      <c r="R324" s="18"/>
      <c r="S324" s="56"/>
      <c r="T324" s="71"/>
      <c r="U324" s="43"/>
      <c r="V324" s="18"/>
      <c r="W324" s="56"/>
      <c r="X324" s="71"/>
    </row>
    <row r="325" spans="1:24" s="69" customFormat="1">
      <c r="A325" s="17" t="s">
        <v>151</v>
      </c>
      <c r="B325" s="7"/>
      <c r="C325" s="54">
        <v>36</v>
      </c>
      <c r="D325" s="55"/>
      <c r="E325" s="166">
        <v>17.73</v>
      </c>
      <c r="F325" s="212"/>
      <c r="G325" s="212"/>
      <c r="H325" s="213">
        <v>638</v>
      </c>
      <c r="I325" s="43"/>
      <c r="J325" s="18"/>
      <c r="K325" s="56"/>
      <c r="L325" s="71"/>
      <c r="M325" s="43"/>
      <c r="N325" s="18"/>
      <c r="O325" s="56"/>
      <c r="P325" s="71"/>
      <c r="Q325" s="43"/>
      <c r="R325" s="18"/>
      <c r="S325" s="56"/>
      <c r="T325" s="71"/>
      <c r="U325" s="43"/>
      <c r="V325" s="18"/>
      <c r="W325" s="56"/>
      <c r="X325" s="71"/>
    </row>
    <row r="326" spans="1:24" s="69" customFormat="1">
      <c r="A326" s="17" t="s">
        <v>145</v>
      </c>
      <c r="B326" s="7"/>
      <c r="C326" s="54">
        <v>12</v>
      </c>
      <c r="D326" s="55"/>
      <c r="E326" s="166">
        <v>23.4</v>
      </c>
      <c r="F326" s="212"/>
      <c r="G326" s="212"/>
      <c r="H326" s="213">
        <v>281</v>
      </c>
      <c r="I326" s="43"/>
      <c r="J326" s="18"/>
      <c r="K326" s="56"/>
      <c r="L326" s="71"/>
      <c r="M326" s="43"/>
      <c r="N326" s="18"/>
      <c r="O326" s="56"/>
      <c r="P326" s="71"/>
      <c r="Q326" s="43"/>
      <c r="R326" s="18"/>
      <c r="S326" s="56"/>
      <c r="T326" s="71"/>
      <c r="U326" s="43"/>
      <c r="V326" s="18"/>
      <c r="W326" s="56"/>
      <c r="X326" s="71"/>
    </row>
    <row r="327" spans="1:24" s="69" customFormat="1">
      <c r="A327" s="26" t="s">
        <v>177</v>
      </c>
      <c r="B327" s="7"/>
      <c r="C327" s="54"/>
      <c r="D327" s="55"/>
      <c r="E327" s="89"/>
      <c r="F327" s="55"/>
      <c r="G327" s="55"/>
      <c r="H327" s="89"/>
      <c r="I327" s="43"/>
      <c r="J327" s="7"/>
      <c r="K327" s="43"/>
      <c r="L327" s="7"/>
      <c r="M327" s="43"/>
      <c r="N327" s="7"/>
      <c r="O327" s="43"/>
      <c r="P327" s="7"/>
      <c r="Q327" s="43"/>
      <c r="R327" s="7"/>
      <c r="S327" s="43"/>
      <c r="T327" s="7"/>
      <c r="U327" s="43"/>
      <c r="V327" s="7"/>
      <c r="W327" s="43"/>
      <c r="X327" s="7"/>
    </row>
    <row r="328" spans="1:24" s="69" customFormat="1">
      <c r="A328" s="17" t="s">
        <v>57</v>
      </c>
      <c r="B328" s="7"/>
      <c r="C328" s="54">
        <v>42</v>
      </c>
      <c r="D328" s="55"/>
      <c r="E328" s="166">
        <v>8.0299999999999994</v>
      </c>
      <c r="F328" s="212"/>
      <c r="G328" s="212"/>
      <c r="H328" s="213">
        <v>337</v>
      </c>
      <c r="I328" s="43"/>
      <c r="J328" s="18"/>
      <c r="K328" s="56"/>
      <c r="L328" s="71"/>
      <c r="M328" s="43"/>
      <c r="N328" s="18"/>
      <c r="O328" s="56"/>
      <c r="P328" s="71"/>
      <c r="Q328" s="43"/>
      <c r="R328" s="18"/>
      <c r="S328" s="56"/>
      <c r="T328" s="71"/>
      <c r="U328" s="43"/>
      <c r="V328" s="18"/>
      <c r="W328" s="56"/>
      <c r="X328" s="71"/>
    </row>
    <row r="329" spans="1:24" s="69" customFormat="1">
      <c r="A329" s="17" t="s">
        <v>59</v>
      </c>
      <c r="B329" s="7"/>
      <c r="C329" s="54">
        <v>0</v>
      </c>
      <c r="D329" s="55"/>
      <c r="E329" s="166">
        <v>15.3</v>
      </c>
      <c r="F329" s="212"/>
      <c r="G329" s="212"/>
      <c r="H329" s="213">
        <v>0</v>
      </c>
      <c r="I329" s="43"/>
      <c r="J329" s="18"/>
      <c r="K329" s="56"/>
      <c r="L329" s="71"/>
      <c r="M329" s="43"/>
      <c r="N329" s="18"/>
      <c r="O329" s="56"/>
      <c r="P329" s="71"/>
      <c r="Q329" s="43"/>
      <c r="R329" s="18"/>
      <c r="S329" s="56"/>
      <c r="T329" s="71"/>
      <c r="U329" s="43"/>
      <c r="V329" s="18"/>
      <c r="W329" s="56"/>
      <c r="X329" s="71"/>
    </row>
    <row r="330" spans="1:24" s="69" customFormat="1">
      <c r="A330" s="17" t="s">
        <v>178</v>
      </c>
      <c r="B330" s="7"/>
      <c r="C330" s="54">
        <v>96</v>
      </c>
      <c r="D330" s="55"/>
      <c r="E330" s="212">
        <v>32.479999999999997</v>
      </c>
      <c r="F330" s="212"/>
      <c r="G330" s="212"/>
      <c r="H330" s="213">
        <v>3118</v>
      </c>
      <c r="I330" s="43"/>
      <c r="J330" s="56"/>
      <c r="K330" s="56"/>
      <c r="L330" s="71"/>
      <c r="M330" s="43"/>
      <c r="N330" s="56"/>
      <c r="O330" s="56"/>
      <c r="P330" s="71"/>
      <c r="Q330" s="43"/>
      <c r="R330" s="56"/>
      <c r="S330" s="56"/>
      <c r="T330" s="71"/>
      <c r="U330" s="43"/>
      <c r="V330" s="56"/>
      <c r="W330" s="56"/>
      <c r="X330" s="71"/>
    </row>
    <row r="331" spans="1:24" s="69" customFormat="1">
      <c r="A331" s="26" t="s">
        <v>193</v>
      </c>
      <c r="B331" s="7"/>
      <c r="C331" s="54"/>
      <c r="D331" s="55"/>
      <c r="E331" s="238"/>
      <c r="F331" s="218"/>
      <c r="G331" s="218"/>
      <c r="H331" s="213"/>
      <c r="I331" s="43"/>
      <c r="J331" s="32"/>
      <c r="K331" s="67"/>
      <c r="L331" s="71"/>
      <c r="M331" s="43"/>
      <c r="N331" s="32"/>
      <c r="O331" s="67"/>
      <c r="P331" s="71"/>
      <c r="Q331" s="43"/>
      <c r="R331" s="32"/>
      <c r="S331" s="67"/>
      <c r="T331" s="71"/>
      <c r="U331" s="43"/>
      <c r="V331" s="32"/>
      <c r="W331" s="67"/>
      <c r="X331" s="71"/>
    </row>
    <row r="332" spans="1:24" s="69" customFormat="1">
      <c r="A332" s="17" t="s">
        <v>161</v>
      </c>
      <c r="B332" s="7"/>
      <c r="C332" s="54">
        <v>4275</v>
      </c>
      <c r="D332" s="55"/>
      <c r="E332" s="166">
        <v>4.68</v>
      </c>
      <c r="F332" s="212"/>
      <c r="G332" s="212"/>
      <c r="H332" s="213">
        <v>20007</v>
      </c>
      <c r="I332" s="43"/>
      <c r="J332" s="18"/>
      <c r="K332" s="56"/>
      <c r="L332" s="71"/>
      <c r="M332" s="43"/>
      <c r="N332" s="18"/>
      <c r="O332" s="56"/>
      <c r="P332" s="71"/>
      <c r="Q332" s="43"/>
      <c r="R332" s="18"/>
      <c r="S332" s="56"/>
      <c r="T332" s="71"/>
      <c r="U332" s="43"/>
      <c r="V332" s="18"/>
      <c r="W332" s="56"/>
      <c r="X332" s="71"/>
    </row>
    <row r="333" spans="1:24" s="69" customFormat="1">
      <c r="A333" s="17" t="s">
        <v>162</v>
      </c>
      <c r="B333" s="7"/>
      <c r="C333" s="54">
        <v>14686</v>
      </c>
      <c r="D333" s="55"/>
      <c r="E333" s="166">
        <v>6.16</v>
      </c>
      <c r="F333" s="212"/>
      <c r="G333" s="212"/>
      <c r="H333" s="213">
        <v>90466</v>
      </c>
      <c r="I333" s="43"/>
      <c r="J333" s="18"/>
      <c r="K333" s="56"/>
      <c r="L333" s="71"/>
      <c r="M333" s="43"/>
      <c r="N333" s="18"/>
      <c r="O333" s="56"/>
      <c r="P333" s="71"/>
      <c r="Q333" s="43"/>
      <c r="R333" s="18"/>
      <c r="S333" s="56"/>
      <c r="T333" s="71"/>
      <c r="U333" s="43"/>
      <c r="V333" s="18"/>
      <c r="W333" s="56"/>
      <c r="X333" s="71"/>
    </row>
    <row r="334" spans="1:24" s="69" customFormat="1">
      <c r="A334" s="17" t="s">
        <v>163</v>
      </c>
      <c r="B334" s="7"/>
      <c r="C334" s="54">
        <v>1259</v>
      </c>
      <c r="D334" s="55"/>
      <c r="E334" s="166">
        <v>7.47</v>
      </c>
      <c r="F334" s="212"/>
      <c r="G334" s="212"/>
      <c r="H334" s="213">
        <v>9405</v>
      </c>
      <c r="I334" s="43"/>
      <c r="J334" s="18"/>
      <c r="K334" s="56"/>
      <c r="L334" s="71"/>
      <c r="M334" s="43"/>
      <c r="N334" s="18"/>
      <c r="O334" s="56"/>
      <c r="P334" s="71"/>
      <c r="Q334" s="43"/>
      <c r="R334" s="18"/>
      <c r="S334" s="56"/>
      <c r="T334" s="71"/>
      <c r="U334" s="43"/>
      <c r="V334" s="18"/>
      <c r="W334" s="56"/>
      <c r="X334" s="71"/>
    </row>
    <row r="335" spans="1:24" s="69" customFormat="1">
      <c r="A335" s="17" t="s">
        <v>67</v>
      </c>
      <c r="B335" s="7"/>
      <c r="C335" s="54">
        <v>0</v>
      </c>
      <c r="D335" s="55"/>
      <c r="E335" s="166">
        <v>9.44</v>
      </c>
      <c r="F335" s="212"/>
      <c r="G335" s="212"/>
      <c r="H335" s="213">
        <v>0</v>
      </c>
      <c r="I335" s="43"/>
      <c r="J335" s="18"/>
      <c r="K335" s="56"/>
      <c r="L335" s="71"/>
      <c r="M335" s="43"/>
      <c r="N335" s="18"/>
      <c r="O335" s="56"/>
      <c r="P335" s="71"/>
      <c r="Q335" s="43"/>
      <c r="R335" s="18"/>
      <c r="S335" s="56"/>
      <c r="T335" s="71"/>
      <c r="U335" s="43"/>
      <c r="V335" s="18"/>
      <c r="W335" s="56"/>
      <c r="X335" s="71"/>
    </row>
    <row r="336" spans="1:24" s="69" customFormat="1">
      <c r="A336" s="17" t="s">
        <v>164</v>
      </c>
      <c r="B336" s="7"/>
      <c r="C336" s="54">
        <v>2408</v>
      </c>
      <c r="D336" s="55"/>
      <c r="E336" s="166">
        <v>10.99</v>
      </c>
      <c r="F336" s="212"/>
      <c r="G336" s="212"/>
      <c r="H336" s="213">
        <v>26464</v>
      </c>
      <c r="I336" s="43"/>
      <c r="J336" s="18"/>
      <c r="K336" s="56"/>
      <c r="L336" s="71"/>
      <c r="M336" s="43"/>
      <c r="N336" s="18"/>
      <c r="O336" s="56"/>
      <c r="P336" s="71"/>
      <c r="Q336" s="43"/>
      <c r="R336" s="18"/>
      <c r="S336" s="56"/>
      <c r="T336" s="71"/>
      <c r="U336" s="43"/>
      <c r="V336" s="18"/>
      <c r="W336" s="56"/>
      <c r="X336" s="71"/>
    </row>
    <row r="337" spans="1:24" s="69" customFormat="1">
      <c r="A337" s="17" t="s">
        <v>165</v>
      </c>
      <c r="B337" s="7"/>
      <c r="C337" s="54">
        <v>1967</v>
      </c>
      <c r="D337" s="55"/>
      <c r="E337" s="166">
        <v>16.02</v>
      </c>
      <c r="F337" s="212"/>
      <c r="G337" s="212"/>
      <c r="H337" s="213">
        <v>31511</v>
      </c>
      <c r="I337" s="43"/>
      <c r="J337" s="18"/>
      <c r="K337" s="56"/>
      <c r="L337" s="71"/>
      <c r="M337" s="43"/>
      <c r="N337" s="18"/>
      <c r="O337" s="56"/>
      <c r="P337" s="71"/>
      <c r="Q337" s="43"/>
      <c r="R337" s="18"/>
      <c r="S337" s="56"/>
      <c r="T337" s="71"/>
      <c r="U337" s="43"/>
      <c r="V337" s="18"/>
      <c r="W337" s="56"/>
      <c r="X337" s="71"/>
    </row>
    <row r="338" spans="1:24" s="69" customFormat="1">
      <c r="A338" s="26" t="s">
        <v>166</v>
      </c>
      <c r="B338" s="7"/>
      <c r="C338" s="54"/>
      <c r="D338" s="55"/>
      <c r="E338" s="89"/>
      <c r="F338" s="55"/>
      <c r="G338" s="55"/>
      <c r="H338" s="89"/>
      <c r="I338" s="43"/>
      <c r="J338" s="7"/>
      <c r="K338" s="43"/>
      <c r="L338" s="7"/>
      <c r="M338" s="43"/>
      <c r="N338" s="7"/>
      <c r="O338" s="43"/>
      <c r="P338" s="7"/>
      <c r="Q338" s="43"/>
      <c r="R338" s="7"/>
      <c r="S338" s="43"/>
      <c r="T338" s="7"/>
      <c r="U338" s="43"/>
      <c r="V338" s="7"/>
      <c r="W338" s="43"/>
      <c r="X338" s="7"/>
    </row>
    <row r="339" spans="1:24" s="69" customFormat="1">
      <c r="A339" s="17" t="s">
        <v>168</v>
      </c>
      <c r="B339" s="7"/>
      <c r="C339" s="54">
        <v>1188</v>
      </c>
      <c r="D339" s="55"/>
      <c r="E339" s="166">
        <v>15.58</v>
      </c>
      <c r="F339" s="212"/>
      <c r="G339" s="212"/>
      <c r="H339" s="213">
        <v>18509</v>
      </c>
      <c r="I339" s="43"/>
      <c r="J339" s="18"/>
      <c r="K339" s="56"/>
      <c r="L339" s="71"/>
      <c r="M339" s="43"/>
      <c r="N339" s="18"/>
      <c r="O339" s="56"/>
      <c r="P339" s="71"/>
      <c r="Q339" s="43"/>
      <c r="R339" s="18"/>
      <c r="S339" s="56"/>
      <c r="T339" s="71"/>
      <c r="U339" s="43"/>
      <c r="V339" s="18"/>
      <c r="W339" s="56"/>
      <c r="X339" s="71"/>
    </row>
    <row r="340" spans="1:24" s="69" customFormat="1">
      <c r="A340" s="17" t="s">
        <v>169</v>
      </c>
      <c r="B340" s="7"/>
      <c r="C340" s="54">
        <v>724</v>
      </c>
      <c r="D340" s="55"/>
      <c r="E340" s="166">
        <v>15.73</v>
      </c>
      <c r="F340" s="212"/>
      <c r="G340" s="212"/>
      <c r="H340" s="213">
        <v>11389</v>
      </c>
      <c r="I340" s="43"/>
      <c r="J340" s="18"/>
      <c r="K340" s="56"/>
      <c r="L340" s="71"/>
      <c r="M340" s="43"/>
      <c r="N340" s="18"/>
      <c r="O340" s="56"/>
      <c r="P340" s="71"/>
      <c r="Q340" s="43"/>
      <c r="R340" s="18"/>
      <c r="S340" s="56"/>
      <c r="T340" s="71"/>
      <c r="U340" s="43"/>
      <c r="V340" s="18"/>
      <c r="W340" s="56"/>
      <c r="X340" s="71"/>
    </row>
    <row r="341" spans="1:24" s="69" customFormat="1">
      <c r="A341" s="17" t="s">
        <v>170</v>
      </c>
      <c r="B341" s="7"/>
      <c r="C341" s="54">
        <v>881</v>
      </c>
      <c r="D341" s="55"/>
      <c r="E341" s="166">
        <v>16.72</v>
      </c>
      <c r="F341" s="212"/>
      <c r="G341" s="212"/>
      <c r="H341" s="213">
        <v>14730</v>
      </c>
      <c r="I341" s="43"/>
      <c r="J341" s="18"/>
      <c r="K341" s="56"/>
      <c r="L341" s="71"/>
      <c r="M341" s="43"/>
      <c r="N341" s="18"/>
      <c r="O341" s="56"/>
      <c r="P341" s="71"/>
      <c r="Q341" s="43"/>
      <c r="R341" s="18"/>
      <c r="S341" s="56"/>
      <c r="T341" s="71"/>
      <c r="U341" s="43"/>
      <c r="V341" s="18"/>
      <c r="W341" s="56"/>
      <c r="X341" s="71"/>
    </row>
    <row r="342" spans="1:24" s="69" customFormat="1">
      <c r="A342" s="17" t="s">
        <v>194</v>
      </c>
      <c r="B342" s="7"/>
      <c r="C342" s="54">
        <v>96</v>
      </c>
      <c r="D342" s="55"/>
      <c r="E342" s="166">
        <v>33.049999999999997</v>
      </c>
      <c r="F342" s="212"/>
      <c r="G342" s="212"/>
      <c r="H342" s="213">
        <v>3173</v>
      </c>
      <c r="I342" s="43"/>
      <c r="J342" s="18"/>
      <c r="K342" s="56"/>
      <c r="L342" s="71"/>
      <c r="M342" s="43"/>
      <c r="N342" s="18"/>
      <c r="O342" s="56"/>
      <c r="P342" s="71"/>
      <c r="Q342" s="43"/>
      <c r="R342" s="18"/>
      <c r="S342" s="56"/>
      <c r="T342" s="71"/>
      <c r="U342" s="43"/>
      <c r="V342" s="18"/>
      <c r="W342" s="56"/>
      <c r="X342" s="71"/>
    </row>
    <row r="343" spans="1:24" s="69" customFormat="1">
      <c r="A343" s="26" t="s">
        <v>172</v>
      </c>
      <c r="B343" s="7"/>
      <c r="C343" s="35">
        <v>1644139.7735008644</v>
      </c>
      <c r="D343" s="55"/>
      <c r="E343" s="240"/>
      <c r="F343" s="55"/>
      <c r="G343" s="55"/>
      <c r="H343" s="220">
        <v>230028</v>
      </c>
      <c r="I343" s="43"/>
      <c r="J343" s="66"/>
      <c r="K343" s="43"/>
      <c r="L343" s="72"/>
      <c r="M343" s="43"/>
      <c r="N343" s="66"/>
      <c r="O343" s="43"/>
      <c r="P343" s="72"/>
      <c r="Q343" s="43"/>
      <c r="R343" s="66"/>
      <c r="S343" s="43"/>
      <c r="T343" s="72"/>
      <c r="U343" s="43"/>
      <c r="V343" s="66"/>
      <c r="W343" s="43"/>
      <c r="X343" s="72"/>
    </row>
    <row r="344" spans="1:24" s="69" customFormat="1">
      <c r="A344" s="26" t="s">
        <v>84</v>
      </c>
      <c r="B344" s="7"/>
      <c r="C344" s="21"/>
      <c r="D344" s="55"/>
      <c r="E344" s="212"/>
      <c r="F344" s="215"/>
      <c r="G344" s="215"/>
      <c r="H344" s="219"/>
      <c r="I344" s="43"/>
      <c r="J344" s="56"/>
      <c r="K344" s="76"/>
      <c r="L344" s="70"/>
      <c r="M344" s="43"/>
      <c r="N344" s="56"/>
      <c r="O344" s="76"/>
      <c r="P344" s="70"/>
      <c r="Q344" s="43"/>
      <c r="R344" s="56"/>
      <c r="S344" s="76"/>
      <c r="T344" s="70"/>
      <c r="U344" s="43"/>
      <c r="V344" s="56"/>
      <c r="W344" s="76"/>
      <c r="X344" s="70"/>
    </row>
    <row r="345" spans="1:24" s="69" customFormat="1">
      <c r="A345" s="26" t="s">
        <v>157</v>
      </c>
      <c r="B345" s="7"/>
      <c r="C345" s="21">
        <v>1644139.7735008644</v>
      </c>
      <c r="D345" s="55"/>
      <c r="E345" s="212"/>
      <c r="F345" s="215"/>
      <c r="G345" s="215"/>
      <c r="H345" s="219">
        <v>230028</v>
      </c>
      <c r="I345" s="43"/>
      <c r="J345" s="56"/>
      <c r="K345" s="76"/>
      <c r="L345" s="70"/>
      <c r="M345" s="43"/>
      <c r="N345" s="56"/>
      <c r="O345" s="76"/>
      <c r="P345" s="70"/>
      <c r="Q345" s="43"/>
      <c r="R345" s="56"/>
      <c r="S345" s="76"/>
      <c r="T345" s="70"/>
      <c r="U345" s="43"/>
      <c r="V345" s="56"/>
      <c r="W345" s="76"/>
      <c r="X345" s="70"/>
    </row>
    <row r="346" spans="1:24" s="69" customFormat="1">
      <c r="A346" s="26" t="s">
        <v>173</v>
      </c>
      <c r="B346" s="7"/>
      <c r="C346" s="35">
        <v>99</v>
      </c>
      <c r="D346" s="55"/>
      <c r="E346" s="240"/>
      <c r="F346" s="55"/>
      <c r="G346" s="55"/>
      <c r="H346" s="220"/>
      <c r="I346" s="43"/>
      <c r="J346" s="66"/>
      <c r="K346" s="43"/>
      <c r="L346" s="72"/>
      <c r="M346" s="43"/>
      <c r="N346" s="66"/>
      <c r="O346" s="43"/>
      <c r="P346" s="72"/>
      <c r="Q346" s="43"/>
      <c r="R346" s="66"/>
      <c r="S346" s="43"/>
      <c r="T346" s="72"/>
      <c r="U346" s="43"/>
      <c r="V346" s="66"/>
      <c r="W346" s="43"/>
      <c r="X346" s="72"/>
    </row>
    <row r="347" spans="1:24" s="69" customFormat="1">
      <c r="A347" s="17"/>
      <c r="B347" s="7"/>
      <c r="C347" s="21"/>
      <c r="D347" s="55"/>
      <c r="E347" s="212"/>
      <c r="F347" s="212"/>
      <c r="G347" s="212"/>
      <c r="H347" s="219"/>
      <c r="I347" s="43"/>
      <c r="J347" s="56"/>
      <c r="K347" s="56"/>
      <c r="L347" s="70"/>
      <c r="M347" s="43"/>
      <c r="N347" s="56"/>
      <c r="O347" s="56"/>
      <c r="P347" s="70"/>
      <c r="Q347" s="43"/>
      <c r="R347" s="56"/>
      <c r="S347" s="56"/>
      <c r="T347" s="70"/>
      <c r="U347" s="43"/>
      <c r="V347" s="56"/>
      <c r="W347" s="56"/>
      <c r="X347" s="70"/>
    </row>
    <row r="348" spans="1:24" s="69" customFormat="1">
      <c r="A348" s="17" t="s">
        <v>195</v>
      </c>
      <c r="B348" s="7"/>
      <c r="C348" s="88">
        <v>56516774.129293256</v>
      </c>
      <c r="D348" s="55"/>
      <c r="E348" s="240"/>
      <c r="F348" s="55"/>
      <c r="G348" s="55"/>
      <c r="H348" s="220">
        <v>4144867</v>
      </c>
      <c r="I348" s="43"/>
      <c r="J348" s="66"/>
      <c r="K348" s="43"/>
      <c r="L348" s="72"/>
      <c r="M348" s="43"/>
      <c r="N348" s="66"/>
      <c r="O348" s="43"/>
      <c r="P348" s="72"/>
      <c r="Q348" s="43"/>
      <c r="R348" s="66"/>
      <c r="S348" s="43"/>
      <c r="T348" s="72"/>
      <c r="U348" s="43"/>
      <c r="V348" s="66"/>
      <c r="W348" s="43"/>
      <c r="X348" s="72"/>
    </row>
    <row r="349" spans="1:24" s="69" customFormat="1">
      <c r="A349" s="17" t="s">
        <v>85</v>
      </c>
      <c r="B349" s="7"/>
      <c r="C349" s="23">
        <v>839</v>
      </c>
      <c r="D349" s="55"/>
      <c r="E349" s="89"/>
      <c r="F349" s="55"/>
      <c r="G349" s="55"/>
      <c r="H349" s="89"/>
      <c r="I349" s="43"/>
      <c r="J349" s="7"/>
      <c r="K349" s="43"/>
      <c r="L349" s="7"/>
      <c r="M349" s="43"/>
      <c r="N349" s="7"/>
      <c r="O349" s="43"/>
      <c r="P349" s="7"/>
      <c r="Q349" s="43"/>
      <c r="R349" s="7"/>
      <c r="S349" s="43"/>
      <c r="T349" s="7"/>
      <c r="U349" s="43"/>
      <c r="V349" s="7"/>
      <c r="W349" s="43"/>
      <c r="X349" s="7"/>
    </row>
    <row r="350" spans="1:24" s="69" customFormat="1">
      <c r="A350" s="17" t="s">
        <v>84</v>
      </c>
      <c r="B350" s="7"/>
      <c r="C350" s="88"/>
      <c r="D350" s="55"/>
      <c r="E350" s="240"/>
      <c r="F350" s="55"/>
      <c r="G350" s="55"/>
      <c r="H350" s="220">
        <v>0</v>
      </c>
      <c r="I350" s="43"/>
      <c r="J350" s="66"/>
      <c r="K350" s="43"/>
      <c r="L350" s="72"/>
      <c r="M350" s="43"/>
      <c r="N350" s="66"/>
      <c r="O350" s="43"/>
      <c r="P350" s="72"/>
      <c r="Q350" s="43"/>
      <c r="R350" s="66"/>
      <c r="S350" s="43"/>
      <c r="T350" s="72"/>
      <c r="U350" s="43"/>
      <c r="V350" s="66"/>
      <c r="W350" s="43"/>
      <c r="X350" s="72"/>
    </row>
    <row r="351" spans="1:24" s="69" customFormat="1" ht="16.5" thickBot="1">
      <c r="A351" s="17" t="s">
        <v>157</v>
      </c>
      <c r="B351" s="7"/>
      <c r="C351" s="241">
        <v>56516774.129293256</v>
      </c>
      <c r="D351" s="55"/>
      <c r="E351" s="242"/>
      <c r="F351" s="243"/>
      <c r="G351" s="243"/>
      <c r="H351" s="242">
        <v>4144867</v>
      </c>
      <c r="I351" s="9"/>
      <c r="J351" s="162">
        <v>4.0000000000000001E-3</v>
      </c>
      <c r="K351" s="24"/>
      <c r="L351" s="39">
        <f>$H351*J351</f>
        <v>16579.468000000001</v>
      </c>
      <c r="M351" s="9"/>
      <c r="N351" s="162">
        <v>1.1000000000000001E-3</v>
      </c>
      <c r="O351" s="24"/>
      <c r="P351" s="39">
        <f>$H351*N351</f>
        <v>4559.3537000000006</v>
      </c>
      <c r="Q351" s="9"/>
      <c r="R351" s="162">
        <v>0.04</v>
      </c>
      <c r="S351" s="24"/>
      <c r="T351" s="39">
        <f>($H351+$L351+$P351)*R351</f>
        <v>166640.23286799999</v>
      </c>
      <c r="U351" s="9"/>
      <c r="V351" s="162">
        <f>V$153</f>
        <v>3.6799999999999999E-2</v>
      </c>
      <c r="W351" s="24"/>
      <c r="X351" s="39">
        <f>($H351+$L351+$P351)*V351</f>
        <v>153309.01423855999</v>
      </c>
    </row>
    <row r="352" spans="1:24" s="69" customFormat="1" ht="16.5" thickTop="1">
      <c r="A352" s="17"/>
      <c r="B352" s="7"/>
      <c r="C352" s="245"/>
      <c r="D352" s="55"/>
      <c r="E352" s="55"/>
      <c r="F352" s="55"/>
      <c r="G352" s="55"/>
      <c r="H352" s="219"/>
      <c r="I352" s="43"/>
      <c r="J352" s="43"/>
      <c r="K352" s="43"/>
      <c r="L352" s="70"/>
      <c r="M352" s="43"/>
      <c r="N352" s="43"/>
      <c r="O352" s="43"/>
      <c r="P352" s="70"/>
      <c r="Q352" s="43"/>
      <c r="R352" s="43"/>
      <c r="S352" s="43"/>
      <c r="T352" s="70"/>
      <c r="U352" s="43"/>
      <c r="V352" s="43"/>
      <c r="W352" s="43"/>
      <c r="X352" s="70"/>
    </row>
    <row r="353" spans="1:24" s="69" customFormat="1">
      <c r="A353" s="77" t="s">
        <v>196</v>
      </c>
      <c r="B353" s="7"/>
      <c r="C353" s="54"/>
      <c r="D353" s="55"/>
      <c r="E353" s="89"/>
      <c r="F353" s="55"/>
      <c r="G353" s="55"/>
      <c r="H353" s="89"/>
      <c r="I353" s="43"/>
      <c r="J353" s="7"/>
      <c r="K353" s="43"/>
      <c r="L353" s="7"/>
      <c r="M353" s="43"/>
      <c r="N353" s="7"/>
      <c r="O353" s="43"/>
      <c r="P353" s="7"/>
      <c r="Q353" s="43"/>
      <c r="R353" s="7"/>
      <c r="S353" s="43"/>
      <c r="T353" s="7"/>
      <c r="U353" s="43"/>
      <c r="V353" s="7"/>
      <c r="W353" s="43"/>
      <c r="X353" s="7"/>
    </row>
    <row r="354" spans="1:24" s="69" customFormat="1">
      <c r="A354" s="17" t="s">
        <v>197</v>
      </c>
      <c r="B354" s="7"/>
      <c r="C354" s="54">
        <v>20286</v>
      </c>
      <c r="D354" s="55"/>
      <c r="E354" s="166">
        <v>11</v>
      </c>
      <c r="F354" s="212"/>
      <c r="G354" s="212"/>
      <c r="H354" s="213">
        <v>223146</v>
      </c>
      <c r="I354" s="43"/>
      <c r="J354" s="18"/>
      <c r="K354" s="56"/>
      <c r="L354" s="71"/>
      <c r="M354" s="43"/>
      <c r="N354" s="18"/>
      <c r="O354" s="56"/>
      <c r="P354" s="71"/>
      <c r="Q354" s="43"/>
      <c r="R354" s="18"/>
      <c r="S354" s="56"/>
      <c r="T354" s="71"/>
      <c r="U354" s="43"/>
      <c r="V354" s="18"/>
      <c r="W354" s="56"/>
      <c r="X354" s="71"/>
    </row>
    <row r="355" spans="1:24" s="69" customFormat="1">
      <c r="A355" s="17" t="s">
        <v>198</v>
      </c>
      <c r="B355" s="7"/>
      <c r="C355" s="54">
        <v>497</v>
      </c>
      <c r="D355" s="55"/>
      <c r="E355" s="166">
        <v>72.5</v>
      </c>
      <c r="F355" s="212"/>
      <c r="G355" s="212"/>
      <c r="H355" s="213">
        <v>36033</v>
      </c>
      <c r="I355" s="43"/>
      <c r="J355" s="18"/>
      <c r="K355" s="56"/>
      <c r="L355" s="71"/>
      <c r="M355" s="43"/>
      <c r="N355" s="18"/>
      <c r="O355" s="56"/>
      <c r="P355" s="71"/>
      <c r="Q355" s="43"/>
      <c r="R355" s="18"/>
      <c r="S355" s="56"/>
      <c r="T355" s="71"/>
      <c r="U355" s="43"/>
      <c r="V355" s="18"/>
      <c r="W355" s="56"/>
      <c r="X355" s="71"/>
    </row>
    <row r="356" spans="1:24" s="69" customFormat="1">
      <c r="A356" s="17" t="s">
        <v>199</v>
      </c>
      <c r="B356" s="7"/>
      <c r="C356" s="246">
        <v>0</v>
      </c>
      <c r="D356" s="55"/>
      <c r="E356" s="166">
        <v>127.5</v>
      </c>
      <c r="F356" s="212"/>
      <c r="G356" s="212"/>
      <c r="H356" s="213">
        <v>0</v>
      </c>
      <c r="I356" s="43"/>
      <c r="J356" s="18"/>
      <c r="K356" s="56"/>
      <c r="L356" s="71"/>
      <c r="M356" s="43"/>
      <c r="N356" s="18"/>
      <c r="O356" s="56"/>
      <c r="P356" s="71"/>
      <c r="Q356" s="43"/>
      <c r="R356" s="18"/>
      <c r="S356" s="56"/>
      <c r="T356" s="71"/>
      <c r="U356" s="43"/>
      <c r="V356" s="18"/>
      <c r="W356" s="56"/>
      <c r="X356" s="71"/>
    </row>
    <row r="357" spans="1:24" s="69" customFormat="1">
      <c r="A357" s="17" t="s">
        <v>200</v>
      </c>
      <c r="B357" s="7"/>
      <c r="C357" s="54">
        <v>6182</v>
      </c>
      <c r="D357" s="55"/>
      <c r="E357" s="166">
        <v>6.2</v>
      </c>
      <c r="F357" s="212"/>
      <c r="G357" s="212"/>
      <c r="H357" s="213">
        <v>38328</v>
      </c>
      <c r="I357" s="43"/>
      <c r="J357" s="18"/>
      <c r="K357" s="56"/>
      <c r="L357" s="71"/>
      <c r="M357" s="43"/>
      <c r="N357" s="18"/>
      <c r="O357" s="56"/>
      <c r="P357" s="71"/>
      <c r="Q357" s="43"/>
      <c r="R357" s="18"/>
      <c r="S357" s="56"/>
      <c r="T357" s="71"/>
      <c r="U357" s="43"/>
      <c r="V357" s="18"/>
      <c r="W357" s="56"/>
      <c r="X357" s="71"/>
    </row>
    <row r="358" spans="1:24" s="69" customFormat="1">
      <c r="A358" s="17" t="s">
        <v>201</v>
      </c>
      <c r="B358" s="7"/>
      <c r="C358" s="54">
        <v>17536444.611929484</v>
      </c>
      <c r="D358" s="55"/>
      <c r="E358" s="236">
        <v>5.3437000000000001</v>
      </c>
      <c r="F358" s="215" t="s">
        <v>16</v>
      </c>
      <c r="G358" s="215"/>
      <c r="H358" s="213">
        <v>937095</v>
      </c>
      <c r="I358" s="43"/>
      <c r="J358" s="162">
        <v>1.0699999999999999E-2</v>
      </c>
      <c r="K358" s="76"/>
      <c r="L358" s="13">
        <f>$H358*J358</f>
        <v>10026.916499999999</v>
      </c>
      <c r="M358" s="43"/>
      <c r="N358" s="162">
        <v>2.8E-3</v>
      </c>
      <c r="O358" s="76"/>
      <c r="P358" s="13">
        <f>$H358*N358</f>
        <v>2623.866</v>
      </c>
      <c r="Q358" s="43"/>
      <c r="R358" s="162">
        <v>5.2299999999999999E-2</v>
      </c>
      <c r="S358" s="76"/>
      <c r="T358" s="71">
        <f>($H358+$L358+$P358)*R358</f>
        <v>49671.704424750002</v>
      </c>
      <c r="U358" s="43"/>
      <c r="V358" s="162">
        <f>ROUND(1/($H$360-$H$354-$H$355-$H$356-$H$357+$L$360+$P$360)*'RateSpread-1'!P44*1000,4)</f>
        <v>4.8300000000000003E-2</v>
      </c>
      <c r="W358" s="76"/>
      <c r="X358" s="71">
        <f>($H358+$L358+$P358)*V358</f>
        <v>45872.721294750008</v>
      </c>
    </row>
    <row r="359" spans="1:24" s="69" customFormat="1">
      <c r="A359" s="17" t="s">
        <v>202</v>
      </c>
      <c r="B359" s="7"/>
      <c r="C359" s="35">
        <v>0</v>
      </c>
      <c r="D359" s="55"/>
      <c r="E359" s="89"/>
      <c r="F359" s="55"/>
      <c r="G359" s="55"/>
      <c r="H359" s="220">
        <v>0</v>
      </c>
      <c r="I359" s="43"/>
      <c r="J359" s="7"/>
      <c r="K359" s="43"/>
      <c r="L359" s="72"/>
      <c r="M359" s="43"/>
      <c r="N359" s="7"/>
      <c r="O359" s="43"/>
      <c r="P359" s="72"/>
      <c r="Q359" s="43"/>
      <c r="R359" s="7"/>
      <c r="S359" s="43"/>
      <c r="T359" s="72"/>
      <c r="U359" s="43"/>
      <c r="V359" s="7"/>
      <c r="W359" s="43"/>
      <c r="X359" s="72"/>
    </row>
    <row r="360" spans="1:24" s="69" customFormat="1" ht="16.5" thickBot="1">
      <c r="A360" s="7" t="s">
        <v>157</v>
      </c>
      <c r="B360" s="7"/>
      <c r="C360" s="93">
        <v>17536444.611929484</v>
      </c>
      <c r="D360" s="55"/>
      <c r="E360" s="226"/>
      <c r="F360" s="55"/>
      <c r="G360" s="55"/>
      <c r="H360" s="227">
        <v>1234602</v>
      </c>
      <c r="I360" s="43"/>
      <c r="J360" s="47"/>
      <c r="K360" s="43"/>
      <c r="L360" s="78">
        <f>SUM(L354:L359)</f>
        <v>10026.916499999999</v>
      </c>
      <c r="M360" s="43"/>
      <c r="N360" s="47"/>
      <c r="O360" s="43"/>
      <c r="P360" s="78">
        <f>SUM(P354:P359)</f>
        <v>2623.866</v>
      </c>
      <c r="Q360" s="43"/>
      <c r="R360" s="47"/>
      <c r="S360" s="43"/>
      <c r="T360" s="78">
        <f>SUM(T354:T359)</f>
        <v>49671.704424750002</v>
      </c>
      <c r="U360" s="43"/>
      <c r="V360" s="47"/>
      <c r="W360" s="43"/>
      <c r="X360" s="78">
        <f>SUM(X354:X359)</f>
        <v>45872.721294750008</v>
      </c>
    </row>
    <row r="361" spans="1:24" s="69" customFormat="1" ht="16.5" thickTop="1">
      <c r="A361" s="17"/>
      <c r="B361" s="7"/>
      <c r="C361" s="245"/>
      <c r="D361" s="55"/>
      <c r="E361" s="55"/>
      <c r="F361" s="55"/>
      <c r="G361" s="55"/>
      <c r="H361" s="219"/>
      <c r="I361" s="43"/>
      <c r="J361" s="43"/>
      <c r="K361" s="43"/>
      <c r="L361" s="70"/>
      <c r="M361" s="43"/>
      <c r="N361" s="43"/>
      <c r="O361" s="43"/>
      <c r="P361" s="70"/>
      <c r="Q361" s="43"/>
      <c r="R361" s="43"/>
      <c r="S361" s="43"/>
      <c r="T361" s="70"/>
      <c r="U361" s="43"/>
      <c r="V361" s="43"/>
      <c r="W361" s="43"/>
      <c r="X361" s="70"/>
    </row>
    <row r="362" spans="1:24" s="69" customFormat="1">
      <c r="A362" s="77" t="s">
        <v>203</v>
      </c>
      <c r="B362" s="7"/>
      <c r="C362" s="54"/>
      <c r="D362" s="55"/>
      <c r="E362" s="55"/>
      <c r="F362" s="55"/>
      <c r="G362" s="55"/>
      <c r="H362" s="219"/>
      <c r="I362" s="43"/>
      <c r="J362" s="43"/>
      <c r="K362" s="43"/>
      <c r="L362" s="70"/>
      <c r="M362" s="43"/>
      <c r="N362" s="43"/>
      <c r="O362" s="43"/>
      <c r="P362" s="70"/>
      <c r="Q362" s="43"/>
      <c r="R362" s="43"/>
      <c r="S362" s="43"/>
      <c r="T362" s="70"/>
      <c r="U362" s="43"/>
      <c r="V362" s="43"/>
      <c r="W362" s="43"/>
      <c r="X362" s="70"/>
    </row>
    <row r="363" spans="1:24" s="69" customFormat="1">
      <c r="A363" s="17" t="s">
        <v>204</v>
      </c>
      <c r="B363" s="7"/>
      <c r="C363" s="54">
        <v>29596</v>
      </c>
      <c r="D363" s="55"/>
      <c r="E363" s="166">
        <v>5.5</v>
      </c>
      <c r="F363" s="212"/>
      <c r="G363" s="212"/>
      <c r="H363" s="213">
        <v>162778</v>
      </c>
      <c r="I363" s="43"/>
      <c r="J363" s="18"/>
      <c r="K363" s="56"/>
      <c r="L363" s="71"/>
      <c r="M363" s="43"/>
      <c r="N363" s="18"/>
      <c r="O363" s="56"/>
      <c r="P363" s="71"/>
      <c r="Q363" s="43"/>
      <c r="R363" s="18"/>
      <c r="S363" s="56"/>
      <c r="T363" s="71"/>
      <c r="U363" s="43"/>
      <c r="V363" s="18"/>
      <c r="W363" s="56"/>
      <c r="X363" s="71"/>
    </row>
    <row r="364" spans="1:24" s="69" customFormat="1">
      <c r="A364" s="17" t="s">
        <v>201</v>
      </c>
      <c r="B364" s="7"/>
      <c r="C364" s="54">
        <v>6177947.158763391</v>
      </c>
      <c r="D364" s="55"/>
      <c r="E364" s="237">
        <v>8.4048999999999996</v>
      </c>
      <c r="F364" s="215" t="s">
        <v>16</v>
      </c>
      <c r="G364" s="215"/>
      <c r="H364" s="213">
        <v>519250</v>
      </c>
      <c r="I364" s="43"/>
      <c r="J364" s="162">
        <v>7.3000000000000001E-3</v>
      </c>
      <c r="K364" s="76"/>
      <c r="L364" s="13">
        <f>$H364*J364</f>
        <v>3790.5250000000001</v>
      </c>
      <c r="M364" s="43"/>
      <c r="N364" s="162">
        <v>4.4000000000000003E-3</v>
      </c>
      <c r="O364" s="76"/>
      <c r="P364" s="13">
        <f>$H364*N364</f>
        <v>2284.7000000000003</v>
      </c>
      <c r="Q364" s="43"/>
      <c r="R364" s="162">
        <v>5.2200000000000003E-2</v>
      </c>
      <c r="S364" s="76"/>
      <c r="T364" s="71">
        <f>($H364+$L364+$P364)*R364</f>
        <v>27421.976745</v>
      </c>
      <c r="U364" s="43"/>
      <c r="V364" s="162">
        <f>ROUND(1/($H$366-$H$363+$L$366+$P$366)*'RateSpread-1'!P43*1000,4)</f>
        <v>4.82E-2</v>
      </c>
      <c r="W364" s="76"/>
      <c r="X364" s="71">
        <f>($H364+$L364+$P364)*V364</f>
        <v>25320.675844999998</v>
      </c>
    </row>
    <row r="365" spans="1:24" s="69" customFormat="1">
      <c r="A365" s="17" t="s">
        <v>202</v>
      </c>
      <c r="B365" s="7"/>
      <c r="C365" s="90">
        <v>0</v>
      </c>
      <c r="D365" s="55"/>
      <c r="E365" s="89"/>
      <c r="F365" s="55"/>
      <c r="G365" s="55"/>
      <c r="H365" s="220">
        <v>0</v>
      </c>
      <c r="I365" s="43"/>
      <c r="J365" s="7"/>
      <c r="K365" s="43"/>
      <c r="L365" s="72"/>
      <c r="M365" s="43"/>
      <c r="N365" s="7"/>
      <c r="O365" s="43"/>
      <c r="P365" s="72"/>
      <c r="Q365" s="43"/>
      <c r="R365" s="7"/>
      <c r="S365" s="43"/>
      <c r="T365" s="72"/>
      <c r="U365" s="43"/>
      <c r="V365" s="7"/>
      <c r="W365" s="43"/>
      <c r="X365" s="72"/>
    </row>
    <row r="366" spans="1:24" s="69" customFormat="1" ht="16.5" thickBot="1">
      <c r="A366" s="7" t="s">
        <v>157</v>
      </c>
      <c r="B366" s="7"/>
      <c r="C366" s="93">
        <v>6177947.158763391</v>
      </c>
      <c r="D366" s="55"/>
      <c r="E366" s="226"/>
      <c r="F366" s="55"/>
      <c r="G366" s="55"/>
      <c r="H366" s="227">
        <v>682028</v>
      </c>
      <c r="I366" s="43"/>
      <c r="J366" s="47"/>
      <c r="K366" s="43"/>
      <c r="L366" s="78">
        <f>SUM(L363:L365)</f>
        <v>3790.5250000000001</v>
      </c>
      <c r="M366" s="43"/>
      <c r="N366" s="47"/>
      <c r="O366" s="43"/>
      <c r="P366" s="78">
        <f>SUM(P363:P365)</f>
        <v>2284.7000000000003</v>
      </c>
      <c r="Q366" s="43"/>
      <c r="R366" s="47"/>
      <c r="S366" s="43"/>
      <c r="T366" s="78">
        <f>SUM(T363:T365)</f>
        <v>27421.976745</v>
      </c>
      <c r="U366" s="43"/>
      <c r="V366" s="47"/>
      <c r="W366" s="43"/>
      <c r="X366" s="78">
        <f>SUM(X363:X365)</f>
        <v>25320.675844999998</v>
      </c>
    </row>
    <row r="367" spans="1:24" s="69" customFormat="1" ht="16.5" thickTop="1">
      <c r="A367" s="7"/>
      <c r="B367" s="7"/>
      <c r="C367" s="54"/>
      <c r="D367" s="55"/>
      <c r="E367" s="89"/>
      <c r="F367" s="55"/>
      <c r="G367" s="55"/>
      <c r="H367" s="89"/>
      <c r="I367" s="43"/>
      <c r="J367" s="7"/>
      <c r="K367" s="43"/>
      <c r="L367" s="7"/>
      <c r="M367" s="43"/>
      <c r="N367" s="7"/>
      <c r="O367" s="43"/>
      <c r="P367" s="7"/>
      <c r="Q367" s="43"/>
      <c r="R367" s="7"/>
      <c r="S367" s="43"/>
      <c r="T367" s="7"/>
      <c r="U367" s="43"/>
      <c r="V367" s="7"/>
      <c r="W367" s="43"/>
      <c r="X367" s="7"/>
    </row>
    <row r="368" spans="1:24" s="69" customFormat="1">
      <c r="A368" s="16" t="s">
        <v>205</v>
      </c>
      <c r="B368" s="8"/>
      <c r="C368" s="54"/>
      <c r="D368" s="55"/>
      <c r="E368" s="89"/>
      <c r="F368" s="55"/>
      <c r="G368" s="55"/>
      <c r="H368" s="89"/>
      <c r="I368" s="9"/>
      <c r="J368" s="7"/>
      <c r="K368" s="9"/>
      <c r="L368" s="8"/>
      <c r="M368" s="9"/>
      <c r="N368" s="7"/>
      <c r="O368" s="9"/>
      <c r="P368" s="8"/>
      <c r="Q368" s="9"/>
      <c r="R368" s="7"/>
      <c r="S368" s="9"/>
      <c r="T368" s="8"/>
      <c r="U368" s="9"/>
      <c r="V368" s="7"/>
      <c r="W368" s="9"/>
      <c r="X368" s="8"/>
    </row>
    <row r="369" spans="1:24" s="69" customFormat="1">
      <c r="A369" s="80" t="s">
        <v>206</v>
      </c>
      <c r="B369" s="8"/>
      <c r="C369" s="54"/>
      <c r="D369" s="55"/>
      <c r="E369" s="89"/>
      <c r="F369" s="55"/>
      <c r="G369" s="55"/>
      <c r="H369" s="89"/>
      <c r="I369" s="9"/>
      <c r="J369" s="7"/>
      <c r="K369" s="9"/>
      <c r="L369" s="8"/>
      <c r="M369" s="9"/>
      <c r="N369" s="7"/>
      <c r="O369" s="9"/>
      <c r="P369" s="8"/>
      <c r="Q369" s="9"/>
      <c r="R369" s="7"/>
      <c r="S369" s="9"/>
      <c r="T369" s="8"/>
      <c r="U369" s="9"/>
      <c r="V369" s="7"/>
      <c r="W369" s="9"/>
      <c r="X369" s="8"/>
    </row>
    <row r="370" spans="1:24" s="69" customFormat="1">
      <c r="A370" s="17" t="s">
        <v>35</v>
      </c>
      <c r="B370" s="8"/>
      <c r="C370" s="21">
        <v>36</v>
      </c>
      <c r="D370" s="55"/>
      <c r="E370" s="166">
        <v>127</v>
      </c>
      <c r="F370" s="212"/>
      <c r="G370" s="212"/>
      <c r="H370" s="213">
        <v>4572</v>
      </c>
      <c r="I370" s="9"/>
      <c r="J370" s="18"/>
      <c r="K370" s="19"/>
      <c r="L370" s="13"/>
      <c r="M370" s="9"/>
      <c r="N370" s="18"/>
      <c r="O370" s="19"/>
      <c r="P370" s="13"/>
      <c r="Q370" s="9"/>
      <c r="R370" s="18"/>
      <c r="S370" s="19"/>
      <c r="T370" s="13"/>
      <c r="U370" s="9"/>
      <c r="V370" s="18"/>
      <c r="W370" s="19"/>
      <c r="X370" s="13"/>
    </row>
    <row r="371" spans="1:24">
      <c r="A371" s="17" t="s">
        <v>207</v>
      </c>
      <c r="C371" s="21">
        <v>10893</v>
      </c>
      <c r="E371" s="166">
        <v>4.3</v>
      </c>
      <c r="F371" s="212"/>
      <c r="G371" s="212"/>
      <c r="H371" s="213">
        <v>46840</v>
      </c>
      <c r="J371" s="18"/>
      <c r="K371" s="19"/>
      <c r="L371" s="13"/>
      <c r="N371" s="18"/>
      <c r="O371" s="19"/>
      <c r="P371" s="13"/>
      <c r="R371" s="162">
        <v>4.0599999999999997E-2</v>
      </c>
      <c r="S371" s="24"/>
      <c r="T371" s="71">
        <f>($H371+$L371+$P371)*R371</f>
        <v>1901.704</v>
      </c>
      <c r="V371" s="162">
        <f>ROUND(1/($H$383-$H$370-$H$377+$L$383+$P$383)*'RateSpread-1'!P31*1000,4)</f>
        <v>3.7400000000000003E-2</v>
      </c>
      <c r="W371" s="24"/>
      <c r="X371" s="71">
        <f>($H371+$L371+$P371)*V371</f>
        <v>1751.816</v>
      </c>
    </row>
    <row r="372" spans="1:24">
      <c r="A372" s="17" t="s">
        <v>208</v>
      </c>
      <c r="C372" s="21">
        <v>423833</v>
      </c>
      <c r="E372" s="247">
        <v>6.8446999999999996</v>
      </c>
      <c r="F372" s="215" t="s">
        <v>16</v>
      </c>
      <c r="G372" s="215"/>
      <c r="H372" s="213">
        <v>29010</v>
      </c>
      <c r="I372" s="43"/>
      <c r="J372" s="162">
        <v>2.2499999999999999E-2</v>
      </c>
      <c r="K372" s="76"/>
      <c r="L372" s="13">
        <f t="shared" ref="L372:L373" si="52">$H372*J372</f>
        <v>652.72500000000002</v>
      </c>
      <c r="M372" s="43"/>
      <c r="N372" s="162">
        <v>6.7999999999999996E-3</v>
      </c>
      <c r="O372" s="76"/>
      <c r="P372" s="13">
        <f t="shared" ref="P372:P373" si="53">$H372*N372</f>
        <v>197.268</v>
      </c>
      <c r="Q372" s="43"/>
      <c r="R372" s="151">
        <f>R$371</f>
        <v>4.0599999999999997E-2</v>
      </c>
      <c r="S372" s="24"/>
      <c r="T372" s="71">
        <f>($H372+$L372+$P372)*R372</f>
        <v>1212.3157157999999</v>
      </c>
      <c r="V372" s="151">
        <f>V$371</f>
        <v>3.7400000000000003E-2</v>
      </c>
      <c r="W372" s="24"/>
      <c r="X372" s="71">
        <f>($H372+$L372+$P372)*V372</f>
        <v>1116.7637382</v>
      </c>
    </row>
    <row r="373" spans="1:24">
      <c r="A373" s="17" t="s">
        <v>103</v>
      </c>
      <c r="C373" s="21">
        <v>0</v>
      </c>
      <c r="E373" s="247">
        <v>5.7472000000000003</v>
      </c>
      <c r="F373" s="215" t="s">
        <v>16</v>
      </c>
      <c r="G373" s="215"/>
      <c r="H373" s="213">
        <v>0</v>
      </c>
      <c r="J373" s="151">
        <f>J$372</f>
        <v>2.2499999999999999E-2</v>
      </c>
      <c r="K373" s="24"/>
      <c r="L373" s="13">
        <f t="shared" si="52"/>
        <v>0</v>
      </c>
      <c r="N373" s="151">
        <f>N$372</f>
        <v>6.7999999999999996E-3</v>
      </c>
      <c r="O373" s="24"/>
      <c r="P373" s="13">
        <f t="shared" si="53"/>
        <v>0</v>
      </c>
      <c r="R373" s="151">
        <f>R$371</f>
        <v>4.0599999999999997E-2</v>
      </c>
      <c r="S373" s="24"/>
      <c r="T373" s="71">
        <f>($H373+$L373+$P373)*R373</f>
        <v>0</v>
      </c>
      <c r="V373" s="151">
        <f>V$371</f>
        <v>3.7400000000000003E-2</v>
      </c>
      <c r="W373" s="24"/>
      <c r="X373" s="71">
        <f>($H373+$L373+$P373)*V373</f>
        <v>0</v>
      </c>
    </row>
    <row r="374" spans="1:24">
      <c r="A374" s="17" t="s">
        <v>28</v>
      </c>
      <c r="C374" s="35">
        <v>0</v>
      </c>
      <c r="E374" s="247"/>
      <c r="F374" s="244"/>
      <c r="G374" s="244"/>
      <c r="H374" s="220">
        <v>0</v>
      </c>
      <c r="J374" s="81"/>
      <c r="K374" s="82"/>
      <c r="L374" s="36"/>
      <c r="N374" s="81"/>
      <c r="O374" s="82"/>
      <c r="P374" s="36"/>
      <c r="R374" s="81"/>
      <c r="S374" s="82"/>
      <c r="T374" s="36"/>
      <c r="V374" s="81"/>
      <c r="W374" s="82"/>
      <c r="X374" s="36"/>
    </row>
    <row r="375" spans="1:24">
      <c r="A375" s="17" t="s">
        <v>209</v>
      </c>
      <c r="C375" s="54">
        <v>423833</v>
      </c>
      <c r="E375" s="231"/>
      <c r="F375" s="232"/>
      <c r="G375" s="232"/>
      <c r="H375" s="213">
        <v>80422</v>
      </c>
      <c r="J375" s="52"/>
      <c r="K375" s="58"/>
      <c r="L375" s="13">
        <f>SUM(L370:L374)</f>
        <v>652.72500000000002</v>
      </c>
      <c r="N375" s="52"/>
      <c r="O375" s="58"/>
      <c r="P375" s="13">
        <f>SUM(P370:P374)</f>
        <v>197.268</v>
      </c>
      <c r="R375" s="52"/>
      <c r="S375" s="58"/>
      <c r="T375" s="13">
        <f>SUM(T370:T374)</f>
        <v>3114.0197158000001</v>
      </c>
      <c r="V375" s="52"/>
      <c r="W375" s="58"/>
      <c r="X375" s="13">
        <f>SUM(X370:X374)</f>
        <v>2868.5797382000001</v>
      </c>
    </row>
    <row r="376" spans="1:24">
      <c r="A376" s="80" t="s">
        <v>210</v>
      </c>
      <c r="C376" s="21"/>
      <c r="E376" s="231"/>
      <c r="F376" s="232"/>
      <c r="G376" s="232"/>
      <c r="J376" s="52"/>
      <c r="K376" s="58"/>
      <c r="N376" s="52"/>
      <c r="O376" s="58"/>
      <c r="R376" s="52"/>
      <c r="S376" s="58"/>
      <c r="V376" s="52"/>
      <c r="W376" s="58"/>
    </row>
    <row r="377" spans="1:24">
      <c r="A377" s="17" t="s">
        <v>35</v>
      </c>
      <c r="C377" s="21">
        <v>24</v>
      </c>
      <c r="E377" s="166">
        <v>127</v>
      </c>
      <c r="F377" s="212"/>
      <c r="G377" s="212"/>
      <c r="H377" s="213">
        <v>3048</v>
      </c>
      <c r="J377" s="18"/>
      <c r="K377" s="19"/>
      <c r="L377" s="13"/>
      <c r="N377" s="18"/>
      <c r="O377" s="19"/>
      <c r="P377" s="13"/>
      <c r="R377" s="18"/>
      <c r="S377" s="19"/>
      <c r="T377" s="13"/>
      <c r="V377" s="18"/>
      <c r="W377" s="19"/>
      <c r="X377" s="13"/>
    </row>
    <row r="378" spans="1:24">
      <c r="A378" s="17" t="s">
        <v>207</v>
      </c>
      <c r="C378" s="21">
        <v>47371</v>
      </c>
      <c r="E378" s="166">
        <v>4.3</v>
      </c>
      <c r="F378" s="212"/>
      <c r="G378" s="212"/>
      <c r="H378" s="213">
        <v>203695</v>
      </c>
      <c r="J378" s="18"/>
      <c r="K378" s="19"/>
      <c r="L378" s="13"/>
      <c r="N378" s="18"/>
      <c r="O378" s="19"/>
      <c r="P378" s="13"/>
      <c r="R378" s="151">
        <f>R$371</f>
        <v>4.0599999999999997E-2</v>
      </c>
      <c r="S378" s="24"/>
      <c r="T378" s="71">
        <f>($H378+$L378+$P378)*R378</f>
        <v>8270.0169999999998</v>
      </c>
      <c r="V378" s="151">
        <f>V$371</f>
        <v>3.7400000000000003E-2</v>
      </c>
      <c r="W378" s="24"/>
      <c r="X378" s="71">
        <f>($H378+$L378+$P378)*V378</f>
        <v>7618.1930000000002</v>
      </c>
    </row>
    <row r="379" spans="1:24">
      <c r="A379" s="17" t="s">
        <v>208</v>
      </c>
      <c r="C379" s="21">
        <v>2660898</v>
      </c>
      <c r="E379" s="247">
        <v>5.3851000000000004</v>
      </c>
      <c r="F379" s="215" t="s">
        <v>16</v>
      </c>
      <c r="G379" s="215"/>
      <c r="H379" s="213">
        <v>143292</v>
      </c>
      <c r="J379" s="151">
        <f>J$372</f>
        <v>2.2499999999999999E-2</v>
      </c>
      <c r="K379" s="24"/>
      <c r="L379" s="13">
        <f t="shared" ref="L379:L380" si="54">$H379*J379</f>
        <v>3224.0699999999997</v>
      </c>
      <c r="N379" s="151">
        <f>N$372</f>
        <v>6.7999999999999996E-3</v>
      </c>
      <c r="O379" s="24"/>
      <c r="P379" s="13">
        <f t="shared" ref="P379:P380" si="55">$H379*N379</f>
        <v>974.38559999999995</v>
      </c>
      <c r="R379" s="151">
        <f>R$371</f>
        <v>4.0599999999999997E-2</v>
      </c>
      <c r="S379" s="24"/>
      <c r="T379" s="71">
        <f>($H379+$L379+$P379)*R379</f>
        <v>5988.1124973599999</v>
      </c>
      <c r="V379" s="151">
        <f>V$371</f>
        <v>3.7400000000000003E-2</v>
      </c>
      <c r="W379" s="24"/>
      <c r="X379" s="71">
        <f>($H379+$L379+$P379)*V379</f>
        <v>5516.1430394400013</v>
      </c>
    </row>
    <row r="380" spans="1:24">
      <c r="A380" s="17" t="s">
        <v>103</v>
      </c>
      <c r="C380" s="21">
        <v>963969.33770158794</v>
      </c>
      <c r="E380" s="247">
        <v>4.7168999999999999</v>
      </c>
      <c r="F380" s="215" t="s">
        <v>16</v>
      </c>
      <c r="G380" s="215"/>
      <c r="H380" s="213">
        <v>45469</v>
      </c>
      <c r="J380" s="151">
        <f>J$372</f>
        <v>2.2499999999999999E-2</v>
      </c>
      <c r="K380" s="24"/>
      <c r="L380" s="13">
        <f t="shared" si="54"/>
        <v>1023.0525</v>
      </c>
      <c r="N380" s="151">
        <f>N$372</f>
        <v>6.7999999999999996E-3</v>
      </c>
      <c r="O380" s="24"/>
      <c r="P380" s="13">
        <f t="shared" si="55"/>
        <v>309.18919999999997</v>
      </c>
      <c r="R380" s="151">
        <f>R$371</f>
        <v>4.0599999999999997E-2</v>
      </c>
      <c r="S380" s="24"/>
      <c r="T380" s="71">
        <f>($H380+$L380+$P380)*R380</f>
        <v>1900.1304130199999</v>
      </c>
      <c r="V380" s="151">
        <f>V$371</f>
        <v>3.7400000000000003E-2</v>
      </c>
      <c r="W380" s="24"/>
      <c r="X380" s="71">
        <f>($H380+$L380+$P380)*V380</f>
        <v>1750.3664395800001</v>
      </c>
    </row>
    <row r="381" spans="1:24">
      <c r="A381" s="17" t="s">
        <v>28</v>
      </c>
      <c r="C381" s="35">
        <v>0</v>
      </c>
      <c r="E381" s="247"/>
      <c r="F381" s="244"/>
      <c r="G381" s="244"/>
      <c r="H381" s="220">
        <v>0</v>
      </c>
      <c r="J381" s="81"/>
      <c r="K381" s="83"/>
      <c r="L381" s="37"/>
      <c r="N381" s="81"/>
      <c r="O381" s="83"/>
      <c r="P381" s="37"/>
      <c r="R381" s="81"/>
      <c r="S381" s="83"/>
      <c r="T381" s="37"/>
      <c r="V381" s="81"/>
      <c r="W381" s="83"/>
      <c r="X381" s="37"/>
    </row>
    <row r="382" spans="1:24">
      <c r="A382" s="17" t="s">
        <v>209</v>
      </c>
      <c r="C382" s="54">
        <v>3624867.3377015879</v>
      </c>
      <c r="E382" s="231"/>
      <c r="F382" s="232"/>
      <c r="G382" s="232"/>
      <c r="H382" s="213">
        <v>395504</v>
      </c>
      <c r="J382" s="52"/>
      <c r="K382" s="58"/>
      <c r="L382" s="13">
        <f>SUM(L377:L381)</f>
        <v>4247.1224999999995</v>
      </c>
      <c r="N382" s="52"/>
      <c r="O382" s="58"/>
      <c r="P382" s="13">
        <f>SUM(P377:P381)</f>
        <v>1283.5747999999999</v>
      </c>
      <c r="R382" s="52"/>
      <c r="S382" s="58"/>
      <c r="T382" s="13">
        <f>SUM(T377:T381)</f>
        <v>16158.25991038</v>
      </c>
      <c r="V382" s="52"/>
      <c r="W382" s="58"/>
      <c r="X382" s="13">
        <f>SUM(X377:X381)</f>
        <v>14884.702479020001</v>
      </c>
    </row>
    <row r="383" spans="1:24" ht="16.5" thickBot="1">
      <c r="A383" s="17" t="s">
        <v>29</v>
      </c>
      <c r="C383" s="93">
        <v>4048700.3377015879</v>
      </c>
      <c r="E383" s="226"/>
      <c r="H383" s="227">
        <v>475926</v>
      </c>
      <c r="J383" s="47"/>
      <c r="L383" s="78">
        <f>L375+L382</f>
        <v>4899.8474999999999</v>
      </c>
      <c r="N383" s="47"/>
      <c r="P383" s="78">
        <f>P375+P382</f>
        <v>1480.8427999999999</v>
      </c>
      <c r="R383" s="47"/>
      <c r="T383" s="78">
        <f>T375+T382</f>
        <v>19272.279626179999</v>
      </c>
      <c r="V383" s="47"/>
      <c r="X383" s="78">
        <f>X375+X382</f>
        <v>17753.282217220003</v>
      </c>
    </row>
    <row r="384" spans="1:24" ht="16.5" thickTop="1">
      <c r="C384" s="54"/>
    </row>
    <row r="385" spans="1:24">
      <c r="A385" s="16" t="s">
        <v>211</v>
      </c>
      <c r="C385" s="248"/>
    </row>
    <row r="386" spans="1:24">
      <c r="A386" s="17" t="s">
        <v>35</v>
      </c>
      <c r="C386" s="54">
        <v>992017.98512850888</v>
      </c>
      <c r="E386" s="166">
        <v>10</v>
      </c>
      <c r="F386" s="212"/>
      <c r="G386" s="212"/>
      <c r="H386" s="213">
        <v>9920180</v>
      </c>
      <c r="J386" s="18"/>
      <c r="K386" s="19"/>
      <c r="L386" s="13"/>
      <c r="N386" s="18"/>
      <c r="O386" s="19"/>
      <c r="P386" s="13"/>
      <c r="R386" s="18"/>
      <c r="S386" s="19"/>
      <c r="T386" s="13"/>
      <c r="V386" s="18"/>
      <c r="W386" s="19"/>
      <c r="X386" s="13"/>
    </row>
    <row r="387" spans="1:24">
      <c r="A387" s="17" t="s">
        <v>212</v>
      </c>
      <c r="C387" s="54">
        <v>387746</v>
      </c>
      <c r="E387" s="166">
        <v>8.65</v>
      </c>
      <c r="F387" s="212"/>
      <c r="G387" s="212"/>
      <c r="H387" s="213">
        <v>3354003</v>
      </c>
      <c r="J387" s="162">
        <v>6.8999999999999999E-3</v>
      </c>
      <c r="K387" s="76"/>
      <c r="L387" s="13">
        <f t="shared" ref="L387:L388" si="56">$H387*J387</f>
        <v>23142.620699999999</v>
      </c>
      <c r="N387" s="162">
        <v>3.5999999999999999E-3</v>
      </c>
      <c r="O387" s="76"/>
      <c r="P387" s="13">
        <f t="shared" ref="P387:P388" si="57">$H387*N387</f>
        <v>12074.4108</v>
      </c>
      <c r="R387" s="162">
        <v>4.2999999999999997E-2</v>
      </c>
      <c r="S387" s="76"/>
      <c r="T387" s="71">
        <f t="shared" ref="T387:T393" si="58">($H387+$L387+$P387)*R387</f>
        <v>145736.4613545</v>
      </c>
      <c r="V387" s="162">
        <f>ROUND(1/($H$396-$H$386+$L$396+$P$396)*'RateSpread-1'!P32*1000,4)</f>
        <v>3.9600000000000003E-2</v>
      </c>
      <c r="W387" s="76"/>
      <c r="X387" s="71">
        <f t="shared" ref="X387:X393" si="59">($H387+$L387+$P387)*V387</f>
        <v>134213.1132474</v>
      </c>
    </row>
    <row r="388" spans="1:24">
      <c r="A388" s="17" t="s">
        <v>213</v>
      </c>
      <c r="C388" s="54">
        <v>347761</v>
      </c>
      <c r="E388" s="166">
        <v>8.7000000000000011</v>
      </c>
      <c r="F388" s="212"/>
      <c r="G388" s="212"/>
      <c r="H388" s="213">
        <v>3025521</v>
      </c>
      <c r="J388" s="151">
        <f>J$387</f>
        <v>6.8999999999999999E-3</v>
      </c>
      <c r="K388" s="76"/>
      <c r="L388" s="13">
        <f t="shared" si="56"/>
        <v>20876.0949</v>
      </c>
      <c r="N388" s="151">
        <f>N$387</f>
        <v>3.5999999999999999E-3</v>
      </c>
      <c r="O388" s="76"/>
      <c r="P388" s="13">
        <f t="shared" si="57"/>
        <v>10891.875599999999</v>
      </c>
      <c r="R388" s="151">
        <f t="shared" ref="R388:R393" si="60">R$387</f>
        <v>4.2999999999999997E-2</v>
      </c>
      <c r="S388" s="76"/>
      <c r="T388" s="71">
        <f t="shared" si="58"/>
        <v>131463.42573149997</v>
      </c>
      <c r="V388" s="151">
        <f t="shared" ref="V388:V393" si="61">V$387</f>
        <v>3.9600000000000003E-2</v>
      </c>
      <c r="W388" s="76"/>
      <c r="X388" s="71">
        <f t="shared" si="59"/>
        <v>121068.6432318</v>
      </c>
    </row>
    <row r="389" spans="1:24">
      <c r="A389" s="17" t="s">
        <v>38</v>
      </c>
      <c r="C389" s="54">
        <v>7029</v>
      </c>
      <c r="E389" s="166">
        <v>-0.48</v>
      </c>
      <c r="F389" s="212"/>
      <c r="G389" s="212"/>
      <c r="H389" s="213">
        <v>-3374</v>
      </c>
      <c r="J389" s="166"/>
      <c r="K389" s="19"/>
      <c r="L389" s="13"/>
      <c r="N389" s="166"/>
      <c r="O389" s="19"/>
      <c r="P389" s="13"/>
      <c r="R389" s="151">
        <f t="shared" si="60"/>
        <v>4.2999999999999997E-2</v>
      </c>
      <c r="S389" s="76"/>
      <c r="T389" s="71">
        <f t="shared" si="58"/>
        <v>-145.08199999999999</v>
      </c>
      <c r="V389" s="151">
        <f t="shared" si="61"/>
        <v>3.9600000000000003E-2</v>
      </c>
      <c r="W389" s="76"/>
      <c r="X389" s="71">
        <f t="shared" si="59"/>
        <v>-133.6104</v>
      </c>
    </row>
    <row r="390" spans="1:24">
      <c r="A390" s="17" t="s">
        <v>214</v>
      </c>
      <c r="C390" s="54">
        <v>295977608</v>
      </c>
      <c r="E390" s="216">
        <v>11.733599999999999</v>
      </c>
      <c r="F390" s="215" t="s">
        <v>16</v>
      </c>
      <c r="G390" s="215"/>
      <c r="H390" s="213">
        <v>34728829</v>
      </c>
      <c r="I390" s="43"/>
      <c r="J390" s="151">
        <f>J$387</f>
        <v>6.8999999999999999E-3</v>
      </c>
      <c r="K390" s="76"/>
      <c r="L390" s="13">
        <f t="shared" ref="L390:L393" si="62">$H390*J390</f>
        <v>239628.92009999999</v>
      </c>
      <c r="M390" s="43"/>
      <c r="N390" s="151">
        <f>N$387</f>
        <v>3.5999999999999999E-3</v>
      </c>
      <c r="O390" s="76"/>
      <c r="P390" s="13">
        <f t="shared" ref="P390:P393" si="63">$H390*N390</f>
        <v>125023.78439999999</v>
      </c>
      <c r="Q390" s="43"/>
      <c r="R390" s="151">
        <f t="shared" si="60"/>
        <v>4.2999999999999997E-2</v>
      </c>
      <c r="S390" s="76"/>
      <c r="T390" s="71">
        <f t="shared" si="58"/>
        <v>1509019.7132935</v>
      </c>
      <c r="U390" s="43"/>
      <c r="V390" s="151">
        <f t="shared" si="61"/>
        <v>3.9600000000000003E-2</v>
      </c>
      <c r="W390" s="76"/>
      <c r="X390" s="71">
        <f t="shared" si="59"/>
        <v>1389701.8754982003</v>
      </c>
    </row>
    <row r="391" spans="1:24">
      <c r="A391" s="17" t="s">
        <v>215</v>
      </c>
      <c r="C391" s="54">
        <v>309000007.78318173</v>
      </c>
      <c r="E391" s="216">
        <v>6.5782999999999996</v>
      </c>
      <c r="F391" s="215" t="s">
        <v>16</v>
      </c>
      <c r="G391" s="215"/>
      <c r="H391" s="213">
        <v>20326948</v>
      </c>
      <c r="J391" s="151">
        <f>J$387</f>
        <v>6.8999999999999999E-3</v>
      </c>
      <c r="K391" s="76"/>
      <c r="L391" s="13">
        <f t="shared" si="62"/>
        <v>140255.9412</v>
      </c>
      <c r="N391" s="151">
        <f>N$387</f>
        <v>3.5999999999999999E-3</v>
      </c>
      <c r="O391" s="76"/>
      <c r="P391" s="13">
        <f t="shared" si="63"/>
        <v>73177.012799999997</v>
      </c>
      <c r="R391" s="151">
        <f t="shared" si="60"/>
        <v>4.2999999999999997E-2</v>
      </c>
      <c r="S391" s="76"/>
      <c r="T391" s="71">
        <f t="shared" si="58"/>
        <v>883236.38102199987</v>
      </c>
      <c r="V391" s="151">
        <f t="shared" si="61"/>
        <v>3.9600000000000003E-2</v>
      </c>
      <c r="W391" s="76"/>
      <c r="X391" s="71">
        <f t="shared" si="59"/>
        <v>813399.08577840007</v>
      </c>
    </row>
    <row r="392" spans="1:24">
      <c r="A392" s="17" t="s">
        <v>216</v>
      </c>
      <c r="C392" s="54">
        <v>424820226</v>
      </c>
      <c r="E392" s="216">
        <v>10.8</v>
      </c>
      <c r="F392" s="215" t="s">
        <v>16</v>
      </c>
      <c r="G392" s="215"/>
      <c r="H392" s="213">
        <v>45880584</v>
      </c>
      <c r="J392" s="151">
        <f>J$387</f>
        <v>6.8999999999999999E-3</v>
      </c>
      <c r="K392" s="76"/>
      <c r="L392" s="13">
        <f t="shared" si="62"/>
        <v>316576.02960000001</v>
      </c>
      <c r="N392" s="151">
        <f>N$387</f>
        <v>3.5999999999999999E-3</v>
      </c>
      <c r="O392" s="76"/>
      <c r="P392" s="13">
        <f t="shared" si="63"/>
        <v>165170.1024</v>
      </c>
      <c r="R392" s="151">
        <f t="shared" si="60"/>
        <v>4.2999999999999997E-2</v>
      </c>
      <c r="S392" s="76"/>
      <c r="T392" s="71">
        <f t="shared" si="58"/>
        <v>1993580.1956759999</v>
      </c>
      <c r="V392" s="151">
        <f t="shared" si="61"/>
        <v>3.9600000000000003E-2</v>
      </c>
      <c r="W392" s="76"/>
      <c r="X392" s="71">
        <f t="shared" si="59"/>
        <v>1835948.2732272001</v>
      </c>
    </row>
    <row r="393" spans="1:24">
      <c r="A393" s="17" t="s">
        <v>217</v>
      </c>
      <c r="C393" s="54">
        <v>361090368.97025329</v>
      </c>
      <c r="E393" s="216">
        <v>6.0567000000000002</v>
      </c>
      <c r="F393" s="215" t="s">
        <v>16</v>
      </c>
      <c r="G393" s="215"/>
      <c r="H393" s="213">
        <v>21870160</v>
      </c>
      <c r="J393" s="151">
        <f>J$387</f>
        <v>6.8999999999999999E-3</v>
      </c>
      <c r="K393" s="76"/>
      <c r="L393" s="13">
        <f t="shared" si="62"/>
        <v>150904.10399999999</v>
      </c>
      <c r="N393" s="151">
        <f>N$387</f>
        <v>3.5999999999999999E-3</v>
      </c>
      <c r="O393" s="76"/>
      <c r="P393" s="13">
        <f t="shared" si="63"/>
        <v>78732.576000000001</v>
      </c>
      <c r="R393" s="151">
        <f t="shared" si="60"/>
        <v>4.2999999999999997E-2</v>
      </c>
      <c r="S393" s="76"/>
      <c r="T393" s="71">
        <f t="shared" si="58"/>
        <v>950291.25723999995</v>
      </c>
      <c r="V393" s="151">
        <f t="shared" si="61"/>
        <v>3.9600000000000003E-2</v>
      </c>
      <c r="W393" s="76"/>
      <c r="X393" s="71">
        <f t="shared" si="59"/>
        <v>875151.94852800004</v>
      </c>
    </row>
    <row r="394" spans="1:24">
      <c r="A394" s="17" t="s">
        <v>43</v>
      </c>
      <c r="C394" s="54">
        <v>0</v>
      </c>
      <c r="E394" s="166">
        <v>120</v>
      </c>
      <c r="F394" s="212"/>
      <c r="G394" s="212"/>
      <c r="H394" s="213">
        <v>0</v>
      </c>
      <c r="J394" s="18"/>
      <c r="K394" s="41"/>
      <c r="L394" s="13"/>
      <c r="N394" s="18"/>
      <c r="O394" s="41"/>
      <c r="P394" s="13"/>
      <c r="R394" s="18"/>
      <c r="S394" s="41"/>
      <c r="T394" s="13"/>
      <c r="V394" s="18"/>
      <c r="W394" s="41"/>
      <c r="X394" s="13"/>
    </row>
    <row r="395" spans="1:24">
      <c r="A395" s="17" t="s">
        <v>28</v>
      </c>
      <c r="C395" s="35">
        <v>0</v>
      </c>
      <c r="H395" s="220">
        <v>0</v>
      </c>
      <c r="L395" s="36"/>
      <c r="P395" s="36"/>
      <c r="T395" s="36"/>
      <c r="X395" s="36"/>
    </row>
    <row r="396" spans="1:24" ht="16.5" thickBot="1">
      <c r="A396" s="17" t="s">
        <v>29</v>
      </c>
      <c r="C396" s="93">
        <v>1390888210.7534347</v>
      </c>
      <c r="E396" s="226"/>
      <c r="H396" s="227">
        <v>139102851</v>
      </c>
      <c r="J396" s="47"/>
      <c r="L396" s="48">
        <f>SUM(L386:L395)</f>
        <v>891383.71050000004</v>
      </c>
      <c r="N396" s="47"/>
      <c r="P396" s="48">
        <f>SUM(P386:P395)</f>
        <v>465069.76199999999</v>
      </c>
      <c r="R396" s="47"/>
      <c r="T396" s="48">
        <f>SUM(T386:T395)</f>
        <v>5613182.3523174999</v>
      </c>
      <c r="V396" s="47"/>
      <c r="X396" s="48">
        <f>SUM(X386:X395)</f>
        <v>5169349.3291110005</v>
      </c>
    </row>
    <row r="397" spans="1:24" ht="16.5" thickTop="1">
      <c r="C397" s="54"/>
    </row>
    <row r="398" spans="1:24">
      <c r="A398" s="16" t="s">
        <v>218</v>
      </c>
      <c r="C398" s="54"/>
      <c r="E398" s="231"/>
      <c r="F398" s="232"/>
      <c r="G398" s="232"/>
      <c r="J398" s="52"/>
      <c r="K398" s="58"/>
      <c r="N398" s="52"/>
      <c r="O398" s="58"/>
      <c r="R398" s="52"/>
      <c r="S398" s="58"/>
      <c r="V398" s="52"/>
      <c r="W398" s="58"/>
    </row>
    <row r="399" spans="1:24">
      <c r="A399" s="80" t="s">
        <v>219</v>
      </c>
      <c r="C399" s="54"/>
    </row>
    <row r="400" spans="1:24">
      <c r="A400" s="17" t="s">
        <v>220</v>
      </c>
      <c r="B400" s="17"/>
      <c r="C400" s="54">
        <v>0</v>
      </c>
      <c r="E400" s="166">
        <v>133</v>
      </c>
      <c r="F400" s="212"/>
      <c r="G400" s="212"/>
      <c r="H400" s="213">
        <v>0</v>
      </c>
      <c r="J400" s="18"/>
      <c r="K400" s="19"/>
      <c r="L400" s="13"/>
      <c r="N400" s="18"/>
      <c r="O400" s="19"/>
      <c r="P400" s="13"/>
      <c r="R400" s="18"/>
      <c r="S400" s="19"/>
      <c r="T400" s="13"/>
      <c r="V400" s="18"/>
      <c r="W400" s="19"/>
      <c r="X400" s="13"/>
    </row>
    <row r="401" spans="1:24">
      <c r="A401" s="17" t="s">
        <v>221</v>
      </c>
      <c r="B401" s="17"/>
      <c r="C401" s="54">
        <v>0</v>
      </c>
      <c r="E401" s="166">
        <v>5.6</v>
      </c>
      <c r="F401" s="212"/>
      <c r="G401" s="212"/>
      <c r="H401" s="213">
        <v>0</v>
      </c>
      <c r="J401" s="18"/>
      <c r="K401" s="19"/>
      <c r="L401" s="13"/>
      <c r="N401" s="18"/>
      <c r="O401" s="19"/>
      <c r="P401" s="13"/>
      <c r="R401" s="162">
        <v>4.0899999999999999E-2</v>
      </c>
      <c r="S401" s="19"/>
      <c r="T401" s="13">
        <f>($H401+$L401+$P401)*R401</f>
        <v>0</v>
      </c>
      <c r="V401" s="162">
        <f>ROUND(1/($H$438-$H$400-$H$413-$H$426+$L$438+$P$438)*(-X455+'RateSpread-1'!P33*1000),4)</f>
        <v>3.7600000000000001E-2</v>
      </c>
      <c r="W401" s="19"/>
      <c r="X401" s="13">
        <f>($H401+$L401+$P401)*V401</f>
        <v>0</v>
      </c>
    </row>
    <row r="402" spans="1:24">
      <c r="A402" s="17" t="s">
        <v>222</v>
      </c>
      <c r="B402" s="17"/>
      <c r="C402" s="54"/>
      <c r="E402" s="238"/>
      <c r="F402" s="218"/>
      <c r="G402" s="218"/>
      <c r="H402" s="213"/>
      <c r="J402" s="32"/>
      <c r="K402" s="53"/>
      <c r="L402" s="13"/>
      <c r="N402" s="32"/>
      <c r="O402" s="53"/>
      <c r="P402" s="13"/>
      <c r="R402" s="167">
        <f>R$401</f>
        <v>4.0899999999999999E-2</v>
      </c>
      <c r="S402" s="53"/>
      <c r="T402" s="13">
        <f>($H402+$L402+$P402)*R402</f>
        <v>0</v>
      </c>
      <c r="V402" s="167">
        <f>V$401</f>
        <v>3.7600000000000001E-2</v>
      </c>
      <c r="W402" s="53"/>
      <c r="X402" s="13">
        <f>($H402+$L402+$P402)*V402</f>
        <v>0</v>
      </c>
    </row>
    <row r="403" spans="1:24">
      <c r="A403" s="17" t="s">
        <v>223</v>
      </c>
      <c r="B403" s="17"/>
      <c r="C403" s="54">
        <v>0</v>
      </c>
      <c r="E403" s="249"/>
      <c r="F403" s="250"/>
      <c r="G403" s="250"/>
      <c r="H403" s="213"/>
      <c r="J403" s="84"/>
      <c r="K403" s="85"/>
      <c r="L403" s="13"/>
      <c r="N403" s="84"/>
      <c r="O403" s="85"/>
      <c r="P403" s="13"/>
      <c r="R403" s="167"/>
      <c r="S403" s="85"/>
      <c r="T403" s="13"/>
      <c r="V403" s="167"/>
      <c r="W403" s="85"/>
      <c r="X403" s="13"/>
    </row>
    <row r="404" spans="1:24">
      <c r="A404" s="17" t="s">
        <v>224</v>
      </c>
      <c r="B404" s="17"/>
      <c r="C404" s="54">
        <v>0</v>
      </c>
      <c r="E404" s="166">
        <v>0.88</v>
      </c>
      <c r="F404" s="250"/>
      <c r="G404" s="250"/>
      <c r="H404" s="213">
        <v>0</v>
      </c>
      <c r="J404" s="18"/>
      <c r="K404" s="85"/>
      <c r="L404" s="13"/>
      <c r="N404" s="18"/>
      <c r="O404" s="85"/>
      <c r="P404" s="13"/>
      <c r="R404" s="167">
        <f>R$401</f>
        <v>4.0899999999999999E-2</v>
      </c>
      <c r="S404" s="85"/>
      <c r="T404" s="13">
        <f>($H404+$L404+$P404)*R404</f>
        <v>0</v>
      </c>
      <c r="V404" s="167">
        <f t="shared" ref="V404:V437" si="64">V$401</f>
        <v>3.7600000000000001E-2</v>
      </c>
      <c r="W404" s="85"/>
      <c r="X404" s="13">
        <f>($H404+$L404+$P404)*V404</f>
        <v>0</v>
      </c>
    </row>
    <row r="405" spans="1:24">
      <c r="A405" s="17" t="s">
        <v>225</v>
      </c>
      <c r="B405" s="17"/>
      <c r="C405" s="54">
        <v>0</v>
      </c>
      <c r="E405" s="166">
        <v>0.62</v>
      </c>
      <c r="F405" s="250"/>
      <c r="G405" s="250"/>
      <c r="H405" s="213">
        <v>0</v>
      </c>
      <c r="J405" s="18"/>
      <c r="K405" s="85"/>
      <c r="L405" s="13"/>
      <c r="N405" s="18"/>
      <c r="O405" s="85"/>
      <c r="P405" s="13"/>
      <c r="R405" s="167">
        <f>R$401</f>
        <v>4.0899999999999999E-2</v>
      </c>
      <c r="S405" s="85"/>
      <c r="T405" s="13">
        <f>($H405+$L405+$P405)*R405</f>
        <v>0</v>
      </c>
      <c r="V405" s="167">
        <f t="shared" si="64"/>
        <v>3.7600000000000001E-2</v>
      </c>
      <c r="W405" s="85"/>
      <c r="X405" s="13">
        <f>($H405+$L405+$P405)*V405</f>
        <v>0</v>
      </c>
    </row>
    <row r="406" spans="1:24">
      <c r="A406" s="17" t="s">
        <v>226</v>
      </c>
      <c r="B406" s="17"/>
      <c r="C406" s="54">
        <v>0</v>
      </c>
      <c r="E406" s="249"/>
      <c r="F406" s="251"/>
      <c r="G406" s="251"/>
      <c r="H406" s="213"/>
      <c r="J406" s="84"/>
      <c r="K406" s="86"/>
      <c r="L406" s="13"/>
      <c r="N406" s="84"/>
      <c r="O406" s="86"/>
      <c r="P406" s="13"/>
      <c r="R406" s="167"/>
      <c r="S406" s="86"/>
      <c r="T406" s="13"/>
      <c r="V406" s="167"/>
      <c r="W406" s="86"/>
      <c r="X406" s="13"/>
    </row>
    <row r="407" spans="1:24">
      <c r="A407" s="17" t="s">
        <v>224</v>
      </c>
      <c r="B407" s="17"/>
      <c r="C407" s="54">
        <v>0</v>
      </c>
      <c r="E407" s="252">
        <v>0.44</v>
      </c>
      <c r="F407" s="251"/>
      <c r="G407" s="251"/>
      <c r="H407" s="213">
        <v>0</v>
      </c>
      <c r="J407" s="87"/>
      <c r="K407" s="86"/>
      <c r="L407" s="13"/>
      <c r="N407" s="87"/>
      <c r="O407" s="86"/>
      <c r="P407" s="13"/>
      <c r="R407" s="167">
        <f>R$401</f>
        <v>4.0899999999999999E-2</v>
      </c>
      <c r="S407" s="86"/>
      <c r="T407" s="13">
        <f>($H407+$L407+$P407)*R407</f>
        <v>0</v>
      </c>
      <c r="V407" s="167">
        <f t="shared" si="64"/>
        <v>3.7600000000000001E-2</v>
      </c>
      <c r="W407" s="86"/>
      <c r="X407" s="13">
        <f>($H407+$L407+$P407)*V407</f>
        <v>0</v>
      </c>
    </row>
    <row r="408" spans="1:24">
      <c r="A408" s="17" t="s">
        <v>225</v>
      </c>
      <c r="B408" s="17"/>
      <c r="C408" s="54">
        <v>0</v>
      </c>
      <c r="E408" s="252">
        <v>0.31</v>
      </c>
      <c r="F408" s="251"/>
      <c r="G408" s="251"/>
      <c r="H408" s="213">
        <v>0</v>
      </c>
      <c r="J408" s="87"/>
      <c r="K408" s="86"/>
      <c r="L408" s="13"/>
      <c r="N408" s="87"/>
      <c r="O408" s="86"/>
      <c r="P408" s="13"/>
      <c r="R408" s="167">
        <f>R$401</f>
        <v>4.0899999999999999E-2</v>
      </c>
      <c r="S408" s="86"/>
      <c r="T408" s="13">
        <f>($H408+$L408+$P408)*R408</f>
        <v>0</v>
      </c>
      <c r="V408" s="167">
        <f t="shared" si="64"/>
        <v>3.7600000000000001E-2</v>
      </c>
      <c r="W408" s="86"/>
      <c r="X408" s="13">
        <f>($H408+$L408+$P408)*V408</f>
        <v>0</v>
      </c>
    </row>
    <row r="409" spans="1:24">
      <c r="A409" s="17" t="s">
        <v>227</v>
      </c>
      <c r="B409" s="17"/>
      <c r="C409" s="54">
        <v>0</v>
      </c>
      <c r="E409" s="249"/>
      <c r="F409" s="212"/>
      <c r="G409" s="212"/>
      <c r="H409" s="213"/>
      <c r="J409" s="84"/>
      <c r="K409" s="19"/>
      <c r="L409" s="13"/>
      <c r="N409" s="84"/>
      <c r="O409" s="19"/>
      <c r="P409" s="13"/>
      <c r="R409" s="167"/>
      <c r="S409" s="19"/>
      <c r="T409" s="13"/>
      <c r="V409" s="167"/>
      <c r="W409" s="19"/>
      <c r="X409" s="13"/>
    </row>
    <row r="410" spans="1:24">
      <c r="A410" s="17" t="s">
        <v>224</v>
      </c>
      <c r="B410" s="17"/>
      <c r="C410" s="54">
        <v>0</v>
      </c>
      <c r="E410" s="166">
        <v>40.81</v>
      </c>
      <c r="F410" s="212"/>
      <c r="G410" s="212"/>
      <c r="H410" s="213">
        <v>0</v>
      </c>
      <c r="J410" s="18"/>
      <c r="K410" s="19"/>
      <c r="L410" s="13"/>
      <c r="N410" s="18"/>
      <c r="O410" s="19"/>
      <c r="P410" s="13"/>
      <c r="R410" s="167">
        <f>R$401</f>
        <v>4.0899999999999999E-2</v>
      </c>
      <c r="S410" s="19"/>
      <c r="T410" s="13">
        <f>($H410+$L410+$P410)*R410</f>
        <v>0</v>
      </c>
      <c r="V410" s="167">
        <f t="shared" si="64"/>
        <v>3.7600000000000001E-2</v>
      </c>
      <c r="W410" s="19"/>
      <c r="X410" s="13">
        <f>($H410+$L410+$P410)*V410</f>
        <v>0</v>
      </c>
    </row>
    <row r="411" spans="1:24">
      <c r="A411" s="17" t="s">
        <v>225</v>
      </c>
      <c r="B411" s="17"/>
      <c r="C411" s="54">
        <v>0</v>
      </c>
      <c r="E411" s="166">
        <v>32.04</v>
      </c>
      <c r="F411" s="212"/>
      <c r="G411" s="212"/>
      <c r="H411" s="213">
        <v>0</v>
      </c>
      <c r="J411" s="18"/>
      <c r="K411" s="19"/>
      <c r="L411" s="13"/>
      <c r="N411" s="18"/>
      <c r="O411" s="19"/>
      <c r="P411" s="13"/>
      <c r="R411" s="167">
        <f>R$401</f>
        <v>4.0899999999999999E-2</v>
      </c>
      <c r="S411" s="19"/>
      <c r="T411" s="13">
        <f>($H411+$L411+$P411)*R411</f>
        <v>0</v>
      </c>
      <c r="V411" s="167">
        <f t="shared" si="64"/>
        <v>3.7600000000000001E-2</v>
      </c>
      <c r="W411" s="19"/>
      <c r="X411" s="13">
        <f>($H411+$L411+$P411)*V411</f>
        <v>0</v>
      </c>
    </row>
    <row r="412" spans="1:24">
      <c r="A412" s="80" t="s">
        <v>228</v>
      </c>
      <c r="C412" s="54"/>
      <c r="R412" s="167"/>
      <c r="V412" s="167"/>
    </row>
    <row r="413" spans="1:24">
      <c r="A413" s="17" t="s">
        <v>220</v>
      </c>
      <c r="C413" s="54">
        <v>24</v>
      </c>
      <c r="E413" s="166">
        <v>605</v>
      </c>
      <c r="F413" s="212"/>
      <c r="G413" s="212"/>
      <c r="H413" s="213">
        <v>14520</v>
      </c>
      <c r="J413" s="18"/>
      <c r="K413" s="19"/>
      <c r="L413" s="13"/>
      <c r="N413" s="18"/>
      <c r="O413" s="19"/>
      <c r="P413" s="13"/>
      <c r="R413" s="167"/>
      <c r="S413" s="19"/>
      <c r="T413" s="13"/>
      <c r="V413" s="167"/>
      <c r="W413" s="19"/>
      <c r="X413" s="13"/>
    </row>
    <row r="414" spans="1:24">
      <c r="A414" s="17" t="s">
        <v>221</v>
      </c>
      <c r="C414" s="54">
        <v>38791</v>
      </c>
      <c r="E414" s="166">
        <v>4.46</v>
      </c>
      <c r="F414" s="212"/>
      <c r="G414" s="212"/>
      <c r="H414" s="213">
        <v>173008</v>
      </c>
      <c r="J414" s="18"/>
      <c r="K414" s="19"/>
      <c r="L414" s="13"/>
      <c r="N414" s="18"/>
      <c r="O414" s="19"/>
      <c r="P414" s="13"/>
      <c r="R414" s="167">
        <f>R$401</f>
        <v>4.0899999999999999E-2</v>
      </c>
      <c r="S414" s="19"/>
      <c r="T414" s="13">
        <f>($H414+$L414+$P414)*R414</f>
        <v>7076.0271999999995</v>
      </c>
      <c r="V414" s="167">
        <f t="shared" si="64"/>
        <v>3.7600000000000001E-2</v>
      </c>
      <c r="W414" s="19"/>
      <c r="X414" s="13">
        <f>($H414+$L414+$P414)*V414</f>
        <v>6505.1008000000002</v>
      </c>
    </row>
    <row r="415" spans="1:24">
      <c r="A415" s="17" t="s">
        <v>222</v>
      </c>
      <c r="C415" s="54"/>
      <c r="E415" s="238"/>
      <c r="F415" s="212"/>
      <c r="G415" s="212"/>
      <c r="H415" s="213"/>
      <c r="J415" s="32"/>
      <c r="K415" s="19"/>
      <c r="L415" s="13"/>
      <c r="N415" s="32"/>
      <c r="O415" s="19"/>
      <c r="P415" s="13"/>
      <c r="R415" s="167"/>
      <c r="S415" s="19"/>
      <c r="T415" s="13"/>
      <c r="V415" s="167"/>
      <c r="W415" s="19"/>
      <c r="X415" s="13"/>
    </row>
    <row r="416" spans="1:24">
      <c r="A416" s="17" t="s">
        <v>223</v>
      </c>
      <c r="C416" s="54">
        <v>195683</v>
      </c>
      <c r="E416" s="249"/>
      <c r="F416" s="250"/>
      <c r="G416" s="250"/>
      <c r="H416" s="213"/>
      <c r="J416" s="84"/>
      <c r="K416" s="85"/>
      <c r="L416" s="13"/>
      <c r="N416" s="84"/>
      <c r="O416" s="85"/>
      <c r="P416" s="13"/>
      <c r="R416" s="167"/>
      <c r="S416" s="85"/>
      <c r="T416" s="13"/>
      <c r="V416" s="167"/>
      <c r="W416" s="85"/>
      <c r="X416" s="13"/>
    </row>
    <row r="417" spans="1:24">
      <c r="A417" s="17" t="s">
        <v>224</v>
      </c>
      <c r="C417" s="54">
        <v>79030</v>
      </c>
      <c r="E417" s="166">
        <v>0.86</v>
      </c>
      <c r="F417" s="250"/>
      <c r="G417" s="250"/>
      <c r="H417" s="213">
        <v>67966</v>
      </c>
      <c r="J417" s="18"/>
      <c r="K417" s="85"/>
      <c r="L417" s="13"/>
      <c r="N417" s="18"/>
      <c r="O417" s="85"/>
      <c r="P417" s="13"/>
      <c r="R417" s="167">
        <f>R$401</f>
        <v>4.0899999999999999E-2</v>
      </c>
      <c r="S417" s="85"/>
      <c r="T417" s="13">
        <f>($H417+$L417+$P417)*R417</f>
        <v>2779.8094000000001</v>
      </c>
      <c r="V417" s="167">
        <f t="shared" si="64"/>
        <v>3.7600000000000001E-2</v>
      </c>
      <c r="W417" s="85"/>
      <c r="X417" s="13">
        <f>($H417+$L417+$P417)*V417</f>
        <v>2555.5216</v>
      </c>
    </row>
    <row r="418" spans="1:24">
      <c r="A418" s="17" t="s">
        <v>225</v>
      </c>
      <c r="C418" s="54">
        <v>116653</v>
      </c>
      <c r="E418" s="166">
        <v>0.6</v>
      </c>
      <c r="F418" s="250"/>
      <c r="G418" s="250"/>
      <c r="H418" s="213">
        <v>69992</v>
      </c>
      <c r="J418" s="18"/>
      <c r="K418" s="85"/>
      <c r="L418" s="13"/>
      <c r="N418" s="18"/>
      <c r="O418" s="85"/>
      <c r="P418" s="13"/>
      <c r="R418" s="167">
        <f>R$401</f>
        <v>4.0899999999999999E-2</v>
      </c>
      <c r="S418" s="85"/>
      <c r="T418" s="13">
        <f>($H418+$L418+$P418)*R418</f>
        <v>2862.6727999999998</v>
      </c>
      <c r="V418" s="167">
        <f t="shared" si="64"/>
        <v>3.7600000000000001E-2</v>
      </c>
      <c r="W418" s="85"/>
      <c r="X418" s="13">
        <f>($H418+$L418+$P418)*V418</f>
        <v>2631.6992</v>
      </c>
    </row>
    <row r="419" spans="1:24">
      <c r="A419" s="17" t="s">
        <v>226</v>
      </c>
      <c r="C419" s="54">
        <v>24254</v>
      </c>
      <c r="E419" s="249"/>
      <c r="F419" s="251"/>
      <c r="G419" s="251"/>
      <c r="H419" s="213"/>
      <c r="J419" s="84"/>
      <c r="K419" s="86"/>
      <c r="L419" s="13"/>
      <c r="N419" s="84"/>
      <c r="O419" s="86"/>
      <c r="P419" s="13"/>
      <c r="R419" s="167"/>
      <c r="S419" s="86"/>
      <c r="T419" s="13"/>
      <c r="V419" s="167"/>
      <c r="W419" s="86"/>
      <c r="X419" s="13"/>
    </row>
    <row r="420" spans="1:24">
      <c r="A420" s="17" t="s">
        <v>224</v>
      </c>
      <c r="C420" s="54">
        <v>24254</v>
      </c>
      <c r="E420" s="252">
        <v>0.43</v>
      </c>
      <c r="F420" s="251"/>
      <c r="G420" s="251"/>
      <c r="H420" s="213">
        <v>10429</v>
      </c>
      <c r="J420" s="87"/>
      <c r="K420" s="86"/>
      <c r="L420" s="13"/>
      <c r="N420" s="87"/>
      <c r="O420" s="86"/>
      <c r="P420" s="13"/>
      <c r="R420" s="167">
        <f>R$401</f>
        <v>4.0899999999999999E-2</v>
      </c>
      <c r="S420" s="86"/>
      <c r="T420" s="13">
        <f>($H420+$L420+$P420)*R420</f>
        <v>426.54609999999997</v>
      </c>
      <c r="V420" s="167">
        <f t="shared" si="64"/>
        <v>3.7600000000000001E-2</v>
      </c>
      <c r="W420" s="86"/>
      <c r="X420" s="13">
        <f>($H420+$L420+$P420)*V420</f>
        <v>392.13040000000001</v>
      </c>
    </row>
    <row r="421" spans="1:24">
      <c r="A421" s="17" t="s">
        <v>225</v>
      </c>
      <c r="C421" s="54">
        <v>0</v>
      </c>
      <c r="E421" s="252">
        <v>0.3</v>
      </c>
      <c r="F421" s="251"/>
      <c r="G421" s="251"/>
      <c r="H421" s="213">
        <v>0</v>
      </c>
      <c r="J421" s="87"/>
      <c r="K421" s="86"/>
      <c r="L421" s="13"/>
      <c r="N421" s="87"/>
      <c r="O421" s="86"/>
      <c r="P421" s="13"/>
      <c r="R421" s="167">
        <f>R$401</f>
        <v>4.0899999999999999E-2</v>
      </c>
      <c r="S421" s="86"/>
      <c r="T421" s="13">
        <f>($H421+$L421+$P421)*R421</f>
        <v>0</v>
      </c>
      <c r="V421" s="167">
        <f t="shared" si="64"/>
        <v>3.7600000000000001E-2</v>
      </c>
      <c r="W421" s="86"/>
      <c r="X421" s="13">
        <f>($H421+$L421+$P421)*V421</f>
        <v>0</v>
      </c>
    </row>
    <row r="422" spans="1:24">
      <c r="A422" s="17" t="s">
        <v>227</v>
      </c>
      <c r="C422" s="54">
        <v>30</v>
      </c>
      <c r="E422" s="249"/>
      <c r="F422" s="212"/>
      <c r="G422" s="212"/>
      <c r="H422" s="213"/>
      <c r="J422" s="84"/>
      <c r="K422" s="19"/>
      <c r="L422" s="13"/>
      <c r="N422" s="84"/>
      <c r="O422" s="19"/>
      <c r="P422" s="13"/>
      <c r="R422" s="167"/>
      <c r="S422" s="19"/>
      <c r="T422" s="13"/>
      <c r="V422" s="167"/>
      <c r="W422" s="19"/>
      <c r="X422" s="13"/>
    </row>
    <row r="423" spans="1:24">
      <c r="A423" s="17" t="s">
        <v>224</v>
      </c>
      <c r="C423" s="54">
        <v>0</v>
      </c>
      <c r="E423" s="166">
        <v>38.54</v>
      </c>
      <c r="F423" s="212"/>
      <c r="G423" s="212"/>
      <c r="H423" s="213">
        <v>0</v>
      </c>
      <c r="J423" s="18"/>
      <c r="K423" s="19"/>
      <c r="L423" s="13"/>
      <c r="N423" s="18"/>
      <c r="O423" s="19"/>
      <c r="P423" s="13"/>
      <c r="R423" s="167">
        <f>R$401</f>
        <v>4.0899999999999999E-2</v>
      </c>
      <c r="S423" s="19"/>
      <c r="T423" s="13">
        <f>($H423+$L423+$P423)*R423</f>
        <v>0</v>
      </c>
      <c r="V423" s="167">
        <f t="shared" si="64"/>
        <v>3.7600000000000001E-2</v>
      </c>
      <c r="W423" s="19"/>
      <c r="X423" s="13">
        <f>($H423+$L423+$P423)*V423</f>
        <v>0</v>
      </c>
    </row>
    <row r="424" spans="1:24">
      <c r="A424" s="17" t="s">
        <v>225</v>
      </c>
      <c r="C424" s="54">
        <v>30</v>
      </c>
      <c r="E424" s="166">
        <v>29.77</v>
      </c>
      <c r="F424" s="212"/>
      <c r="G424" s="212"/>
      <c r="H424" s="213">
        <v>893</v>
      </c>
      <c r="J424" s="18"/>
      <c r="K424" s="19"/>
      <c r="L424" s="13"/>
      <c r="N424" s="18"/>
      <c r="O424" s="19"/>
      <c r="P424" s="13"/>
      <c r="R424" s="167">
        <f>R$401</f>
        <v>4.0899999999999999E-2</v>
      </c>
      <c r="S424" s="19"/>
      <c r="T424" s="13">
        <f>($H424+$L424+$P424)*R424</f>
        <v>36.523699999999998</v>
      </c>
      <c r="V424" s="167">
        <f t="shared" si="64"/>
        <v>3.7600000000000001E-2</v>
      </c>
      <c r="W424" s="19"/>
      <c r="X424" s="13">
        <f>($H424+$L424+$P424)*V424</f>
        <v>33.576799999999999</v>
      </c>
    </row>
    <row r="425" spans="1:24">
      <c r="A425" s="80" t="s">
        <v>229</v>
      </c>
      <c r="C425" s="54"/>
      <c r="R425" s="167"/>
      <c r="V425" s="167"/>
    </row>
    <row r="426" spans="1:24">
      <c r="A426" s="17" t="s">
        <v>220</v>
      </c>
      <c r="C426" s="54">
        <v>24</v>
      </c>
      <c r="E426" s="166">
        <v>678</v>
      </c>
      <c r="F426" s="212"/>
      <c r="G426" s="212"/>
      <c r="H426" s="213">
        <v>16272</v>
      </c>
      <c r="J426" s="18"/>
      <c r="K426" s="19"/>
      <c r="L426" s="13"/>
      <c r="N426" s="18"/>
      <c r="O426" s="19"/>
      <c r="P426" s="13"/>
      <c r="R426" s="167"/>
      <c r="S426" s="19"/>
      <c r="T426" s="13"/>
      <c r="V426" s="167"/>
      <c r="W426" s="19"/>
      <c r="X426" s="13"/>
    </row>
    <row r="427" spans="1:24">
      <c r="A427" s="17" t="s">
        <v>221</v>
      </c>
      <c r="C427" s="54">
        <v>153429</v>
      </c>
      <c r="E427" s="166">
        <v>2.63</v>
      </c>
      <c r="F427" s="212"/>
      <c r="G427" s="212"/>
      <c r="H427" s="213">
        <v>403518</v>
      </c>
      <c r="J427" s="18"/>
      <c r="K427" s="41"/>
      <c r="L427" s="13"/>
      <c r="N427" s="18"/>
      <c r="O427" s="41"/>
      <c r="P427" s="13"/>
      <c r="R427" s="167">
        <f>R$401</f>
        <v>4.0899999999999999E-2</v>
      </c>
      <c r="S427" s="41"/>
      <c r="T427" s="13">
        <f>($H427+$L427+$P427)*R427</f>
        <v>16503.886200000001</v>
      </c>
      <c r="V427" s="167">
        <f t="shared" si="64"/>
        <v>3.7600000000000001E-2</v>
      </c>
      <c r="W427" s="41"/>
      <c r="X427" s="13">
        <f>($H427+$L427+$P427)*V427</f>
        <v>15172.276800000001</v>
      </c>
    </row>
    <row r="428" spans="1:24">
      <c r="A428" s="17" t="s">
        <v>222</v>
      </c>
      <c r="C428" s="54"/>
      <c r="E428" s="238"/>
      <c r="F428" s="218"/>
      <c r="G428" s="218"/>
      <c r="H428" s="213"/>
      <c r="J428" s="32"/>
      <c r="K428" s="53"/>
      <c r="L428" s="13"/>
      <c r="N428" s="32"/>
      <c r="O428" s="53"/>
      <c r="P428" s="13"/>
      <c r="R428" s="167"/>
      <c r="S428" s="53"/>
      <c r="T428" s="13"/>
      <c r="V428" s="167"/>
      <c r="W428" s="53"/>
      <c r="X428" s="13"/>
    </row>
    <row r="429" spans="1:24">
      <c r="A429" s="17" t="s">
        <v>223</v>
      </c>
      <c r="C429" s="54">
        <v>391585</v>
      </c>
      <c r="E429" s="249"/>
      <c r="F429" s="250"/>
      <c r="G429" s="250"/>
      <c r="H429" s="213"/>
      <c r="J429" s="84"/>
      <c r="K429" s="85"/>
      <c r="L429" s="13"/>
      <c r="N429" s="84"/>
      <c r="O429" s="85"/>
      <c r="P429" s="13"/>
      <c r="R429" s="167"/>
      <c r="S429" s="85"/>
      <c r="T429" s="13"/>
      <c r="V429" s="167"/>
      <c r="W429" s="85"/>
      <c r="X429" s="13"/>
    </row>
    <row r="430" spans="1:24">
      <c r="A430" s="17" t="s">
        <v>224</v>
      </c>
      <c r="C430" s="54">
        <v>239920</v>
      </c>
      <c r="E430" s="166">
        <v>0.76</v>
      </c>
      <c r="F430" s="250"/>
      <c r="G430" s="250"/>
      <c r="H430" s="213">
        <v>182339</v>
      </c>
      <c r="J430" s="18"/>
      <c r="K430" s="85"/>
      <c r="L430" s="13"/>
      <c r="N430" s="18"/>
      <c r="O430" s="85"/>
      <c r="P430" s="13"/>
      <c r="R430" s="167">
        <f>R$401</f>
        <v>4.0899999999999999E-2</v>
      </c>
      <c r="S430" s="85"/>
      <c r="T430" s="13">
        <f>($H430+$L430+$P430)*R430</f>
        <v>7457.6651000000002</v>
      </c>
      <c r="V430" s="167">
        <f t="shared" si="64"/>
        <v>3.7600000000000001E-2</v>
      </c>
      <c r="W430" s="85"/>
      <c r="X430" s="13">
        <f>($H430+$L430+$P430)*V430</f>
        <v>6855.9464000000007</v>
      </c>
    </row>
    <row r="431" spans="1:24">
      <c r="A431" s="17" t="s">
        <v>225</v>
      </c>
      <c r="C431" s="54">
        <v>151665</v>
      </c>
      <c r="E431" s="166">
        <v>0.51</v>
      </c>
      <c r="F431" s="250"/>
      <c r="G431" s="250"/>
      <c r="H431" s="213">
        <v>77349</v>
      </c>
      <c r="J431" s="18"/>
      <c r="K431" s="85"/>
      <c r="L431" s="13"/>
      <c r="N431" s="18"/>
      <c r="O431" s="85"/>
      <c r="P431" s="13"/>
      <c r="R431" s="167">
        <f>R$401</f>
        <v>4.0899999999999999E-2</v>
      </c>
      <c r="S431" s="85"/>
      <c r="T431" s="13">
        <f>($H431+$L431+$P431)*R431</f>
        <v>3163.5740999999998</v>
      </c>
      <c r="V431" s="167">
        <f t="shared" si="64"/>
        <v>3.7600000000000001E-2</v>
      </c>
      <c r="W431" s="85"/>
      <c r="X431" s="13">
        <f>($H431+$L431+$P431)*V431</f>
        <v>2908.3224</v>
      </c>
    </row>
    <row r="432" spans="1:24">
      <c r="A432" s="17" t="s">
        <v>226</v>
      </c>
      <c r="C432" s="54">
        <v>0</v>
      </c>
      <c r="E432" s="249"/>
      <c r="F432" s="251"/>
      <c r="G432" s="251"/>
      <c r="H432" s="213"/>
      <c r="J432" s="84"/>
      <c r="K432" s="86"/>
      <c r="L432" s="13"/>
      <c r="N432" s="84"/>
      <c r="O432" s="86"/>
      <c r="P432" s="13"/>
      <c r="R432" s="167"/>
      <c r="S432" s="86"/>
      <c r="T432" s="13"/>
      <c r="V432" s="167"/>
      <c r="W432" s="86"/>
      <c r="X432" s="13"/>
    </row>
    <row r="433" spans="1:24">
      <c r="A433" s="17" t="s">
        <v>224</v>
      </c>
      <c r="C433" s="54">
        <v>0</v>
      </c>
      <c r="E433" s="252">
        <v>0.38</v>
      </c>
      <c r="F433" s="251"/>
      <c r="G433" s="251"/>
      <c r="H433" s="213">
        <v>0</v>
      </c>
      <c r="J433" s="87"/>
      <c r="K433" s="86"/>
      <c r="L433" s="13"/>
      <c r="N433" s="87"/>
      <c r="O433" s="86"/>
      <c r="P433" s="13"/>
      <c r="R433" s="167">
        <f>R$401</f>
        <v>4.0899999999999999E-2</v>
      </c>
      <c r="S433" s="86"/>
      <c r="T433" s="13">
        <f>($H433+$L433+$P433)*R433</f>
        <v>0</v>
      </c>
      <c r="V433" s="167">
        <f t="shared" si="64"/>
        <v>3.7600000000000001E-2</v>
      </c>
      <c r="W433" s="86"/>
      <c r="X433" s="13">
        <f>($H433+$L433+$P433)*V433</f>
        <v>0</v>
      </c>
    </row>
    <row r="434" spans="1:24">
      <c r="A434" s="17" t="s">
        <v>225</v>
      </c>
      <c r="C434" s="54">
        <v>0</v>
      </c>
      <c r="E434" s="252">
        <v>0.255</v>
      </c>
      <c r="F434" s="251"/>
      <c r="G434" s="251"/>
      <c r="H434" s="213">
        <v>0</v>
      </c>
      <c r="J434" s="87"/>
      <c r="K434" s="86"/>
      <c r="L434" s="13"/>
      <c r="N434" s="87"/>
      <c r="O434" s="86"/>
      <c r="P434" s="13"/>
      <c r="R434" s="167">
        <f>R$401</f>
        <v>4.0899999999999999E-2</v>
      </c>
      <c r="S434" s="86"/>
      <c r="T434" s="13">
        <f>($H434+$L434+$P434)*R434</f>
        <v>0</v>
      </c>
      <c r="V434" s="167">
        <f t="shared" si="64"/>
        <v>3.7600000000000001E-2</v>
      </c>
      <c r="W434" s="86"/>
      <c r="X434" s="13">
        <f>($H434+$L434+$P434)*V434</f>
        <v>0</v>
      </c>
    </row>
    <row r="435" spans="1:24">
      <c r="A435" s="17" t="s">
        <v>227</v>
      </c>
      <c r="C435" s="54">
        <v>0</v>
      </c>
      <c r="E435" s="249"/>
      <c r="F435" s="212"/>
      <c r="G435" s="212"/>
      <c r="H435" s="213"/>
      <c r="J435" s="84"/>
      <c r="K435" s="19"/>
      <c r="L435" s="13"/>
      <c r="N435" s="84"/>
      <c r="O435" s="19"/>
      <c r="P435" s="13"/>
      <c r="R435" s="167"/>
      <c r="S435" s="19"/>
      <c r="T435" s="13"/>
      <c r="V435" s="167"/>
      <c r="W435" s="19"/>
      <c r="X435" s="13"/>
    </row>
    <row r="436" spans="1:24">
      <c r="A436" s="17" t="s">
        <v>224</v>
      </c>
      <c r="C436" s="54">
        <v>0</v>
      </c>
      <c r="E436" s="166">
        <v>32.35</v>
      </c>
      <c r="F436" s="212"/>
      <c r="G436" s="212"/>
      <c r="H436" s="213">
        <v>0</v>
      </c>
      <c r="J436" s="18"/>
      <c r="K436" s="19"/>
      <c r="L436" s="13"/>
      <c r="N436" s="18"/>
      <c r="O436" s="19"/>
      <c r="P436" s="13"/>
      <c r="R436" s="167">
        <f>R$401</f>
        <v>4.0899999999999999E-2</v>
      </c>
      <c r="S436" s="19"/>
      <c r="T436" s="13">
        <f>($H436+$L436+$P436)*R436</f>
        <v>0</v>
      </c>
      <c r="V436" s="167">
        <f t="shared" si="64"/>
        <v>3.7600000000000001E-2</v>
      </c>
      <c r="W436" s="19"/>
      <c r="X436" s="13">
        <f>($H436+$L436+$P436)*V436</f>
        <v>0</v>
      </c>
    </row>
    <row r="437" spans="1:24">
      <c r="A437" s="17" t="s">
        <v>225</v>
      </c>
      <c r="C437" s="54">
        <v>0</v>
      </c>
      <c r="E437" s="166">
        <v>23.36</v>
      </c>
      <c r="F437" s="212"/>
      <c r="G437" s="212"/>
      <c r="H437" s="213">
        <v>0</v>
      </c>
      <c r="J437" s="18"/>
      <c r="K437" s="19"/>
      <c r="L437" s="13"/>
      <c r="N437" s="18"/>
      <c r="O437" s="19"/>
      <c r="P437" s="13"/>
      <c r="R437" s="167">
        <f>R$401</f>
        <v>4.0899999999999999E-2</v>
      </c>
      <c r="S437" s="19"/>
      <c r="T437" s="13">
        <f>($H437+$L437+$P437)*R437</f>
        <v>0</v>
      </c>
      <c r="V437" s="167">
        <f t="shared" si="64"/>
        <v>3.7600000000000001E-2</v>
      </c>
      <c r="W437" s="19"/>
      <c r="X437" s="13">
        <f>($H437+$L437+$P437)*V437</f>
        <v>0</v>
      </c>
    </row>
    <row r="438" spans="1:24">
      <c r="A438" s="17" t="s">
        <v>209</v>
      </c>
      <c r="C438" s="88"/>
      <c r="E438" s="231"/>
      <c r="F438" s="232"/>
      <c r="G438" s="232"/>
      <c r="H438" s="220">
        <v>1016286</v>
      </c>
      <c r="J438" s="52"/>
      <c r="K438" s="58"/>
      <c r="L438" s="36">
        <f>SUM(L400:L437)</f>
        <v>0</v>
      </c>
      <c r="N438" s="52"/>
      <c r="O438" s="58"/>
      <c r="P438" s="36">
        <f>SUM(P400:P437)</f>
        <v>0</v>
      </c>
      <c r="R438" s="52"/>
      <c r="S438" s="58"/>
      <c r="T438" s="36">
        <f>SUM(T400:T437)</f>
        <v>40306.704599999997</v>
      </c>
      <c r="V438" s="52"/>
      <c r="W438" s="58"/>
      <c r="X438" s="36">
        <f>SUM(X400:X437)</f>
        <v>37054.574399999998</v>
      </c>
    </row>
    <row r="439" spans="1:24">
      <c r="A439" s="80" t="s">
        <v>230</v>
      </c>
    </row>
    <row r="440" spans="1:24">
      <c r="A440" s="16" t="s">
        <v>231</v>
      </c>
      <c r="C440" s="54"/>
      <c r="E440" s="238"/>
      <c r="F440" s="218"/>
      <c r="G440" s="218"/>
      <c r="H440" s="213"/>
      <c r="J440" s="32"/>
      <c r="K440" s="53"/>
      <c r="L440" s="13"/>
      <c r="N440" s="32"/>
      <c r="O440" s="53"/>
      <c r="P440" s="13"/>
      <c r="R440" s="32"/>
      <c r="S440" s="53"/>
      <c r="T440" s="13"/>
      <c r="V440" s="32"/>
      <c r="W440" s="53"/>
      <c r="X440" s="13"/>
    </row>
    <row r="441" spans="1:24">
      <c r="A441" s="17" t="s">
        <v>39</v>
      </c>
      <c r="C441" s="54">
        <v>16065</v>
      </c>
      <c r="E441" s="238">
        <v>4.76</v>
      </c>
      <c r="F441" s="218"/>
      <c r="G441" s="218"/>
      <c r="H441" s="213">
        <v>76469</v>
      </c>
      <c r="J441" s="32"/>
      <c r="K441" s="53"/>
      <c r="L441" s="13"/>
      <c r="N441" s="32"/>
      <c r="O441" s="53"/>
      <c r="P441" s="13"/>
      <c r="R441" s="163">
        <f t="shared" ref="R441:R447" si="65">R$157</f>
        <v>4.0099999999999997E-2</v>
      </c>
      <c r="S441" s="24"/>
      <c r="T441" s="13">
        <f t="shared" ref="T441:T447" si="66">($H441+$L441+$P441)*R441</f>
        <v>3066.4069</v>
      </c>
      <c r="V441" s="163">
        <f t="shared" ref="V441:V447" si="67">V$157</f>
        <v>3.6900000000000002E-2</v>
      </c>
      <c r="W441" s="24"/>
      <c r="X441" s="13">
        <f t="shared" ref="X441:X447" si="68">($H441+$L441+$P441)*V441</f>
        <v>2821.7061000000003</v>
      </c>
    </row>
    <row r="442" spans="1:24">
      <c r="A442" s="17" t="s">
        <v>88</v>
      </c>
      <c r="C442" s="54">
        <v>0</v>
      </c>
      <c r="E442" s="238">
        <v>15.56</v>
      </c>
      <c r="F442" s="218"/>
      <c r="G442" s="218"/>
      <c r="H442" s="213">
        <v>0</v>
      </c>
      <c r="J442" s="163">
        <f>J$158</f>
        <v>9.1999999999999998E-3</v>
      </c>
      <c r="K442" s="24"/>
      <c r="L442" s="13">
        <f t="shared" ref="L442:L443" si="69">$H442*J442</f>
        <v>0</v>
      </c>
      <c r="N442" s="163">
        <f>N$158</f>
        <v>4.4000000000000003E-3</v>
      </c>
      <c r="O442" s="24"/>
      <c r="P442" s="13">
        <f t="shared" ref="P442:P443" si="70">$H442*N442</f>
        <v>0</v>
      </c>
      <c r="R442" s="163">
        <f t="shared" si="65"/>
        <v>4.0099999999999997E-2</v>
      </c>
      <c r="S442" s="24"/>
      <c r="T442" s="13">
        <f t="shared" si="66"/>
        <v>0</v>
      </c>
      <c r="V442" s="163">
        <f t="shared" si="67"/>
        <v>3.6900000000000002E-2</v>
      </c>
      <c r="W442" s="24"/>
      <c r="X442" s="13">
        <f t="shared" si="68"/>
        <v>0</v>
      </c>
    </row>
    <row r="443" spans="1:24">
      <c r="A443" s="17" t="s">
        <v>89</v>
      </c>
      <c r="C443" s="54">
        <v>16065</v>
      </c>
      <c r="E443" s="238">
        <v>11.19</v>
      </c>
      <c r="F443" s="218"/>
      <c r="G443" s="218"/>
      <c r="H443" s="213">
        <v>179767</v>
      </c>
      <c r="J443" s="163">
        <f>J$158</f>
        <v>9.1999999999999998E-3</v>
      </c>
      <c r="K443" s="24"/>
      <c r="L443" s="13">
        <f t="shared" si="69"/>
        <v>1653.8563999999999</v>
      </c>
      <c r="N443" s="163">
        <f>N$158</f>
        <v>4.4000000000000003E-3</v>
      </c>
      <c r="O443" s="24"/>
      <c r="P443" s="13">
        <f t="shared" si="70"/>
        <v>790.97480000000007</v>
      </c>
      <c r="R443" s="163">
        <f t="shared" si="65"/>
        <v>4.0099999999999997E-2</v>
      </c>
      <c r="S443" s="24"/>
      <c r="T443" s="13">
        <f t="shared" si="66"/>
        <v>7306.6944311199986</v>
      </c>
      <c r="V443" s="163">
        <f t="shared" si="67"/>
        <v>3.6900000000000002E-2</v>
      </c>
      <c r="W443" s="24"/>
      <c r="X443" s="13">
        <f t="shared" si="68"/>
        <v>6723.6165712800002</v>
      </c>
    </row>
    <row r="444" spans="1:24">
      <c r="A444" s="17" t="s">
        <v>38</v>
      </c>
      <c r="C444" s="54">
        <v>16065</v>
      </c>
      <c r="E444" s="238">
        <v>-1.1299999999999999</v>
      </c>
      <c r="F444" s="218"/>
      <c r="G444" s="218"/>
      <c r="H444" s="213">
        <v>-18153</v>
      </c>
      <c r="J444" s="32"/>
      <c r="K444" s="53"/>
      <c r="L444" s="13"/>
      <c r="N444" s="32"/>
      <c r="O444" s="53"/>
      <c r="P444" s="13"/>
      <c r="R444" s="163">
        <f t="shared" si="65"/>
        <v>4.0099999999999997E-2</v>
      </c>
      <c r="S444" s="24"/>
      <c r="T444" s="13">
        <f t="shared" si="66"/>
        <v>-727.93529999999998</v>
      </c>
      <c r="V444" s="163">
        <f t="shared" si="67"/>
        <v>3.6900000000000002E-2</v>
      </c>
      <c r="W444" s="24"/>
      <c r="X444" s="13">
        <f t="shared" si="68"/>
        <v>-669.84570000000008</v>
      </c>
    </row>
    <row r="445" spans="1:24">
      <c r="A445" s="17" t="s">
        <v>32</v>
      </c>
      <c r="C445" s="54">
        <v>1044794</v>
      </c>
      <c r="E445" s="231">
        <v>5.0473999999999997</v>
      </c>
      <c r="F445" s="215" t="s">
        <v>16</v>
      </c>
      <c r="G445" s="215"/>
      <c r="H445" s="213">
        <v>52735</v>
      </c>
      <c r="J445" s="163">
        <f>J$158</f>
        <v>9.1999999999999998E-3</v>
      </c>
      <c r="K445" s="24"/>
      <c r="L445" s="13">
        <f t="shared" ref="L445:L447" si="71">$H445*J445</f>
        <v>485.16199999999998</v>
      </c>
      <c r="N445" s="163">
        <f>N$158</f>
        <v>4.4000000000000003E-3</v>
      </c>
      <c r="O445" s="24"/>
      <c r="P445" s="13">
        <f t="shared" ref="P445:P447" si="72">$H445*N445</f>
        <v>232.03400000000002</v>
      </c>
      <c r="R445" s="163">
        <f t="shared" si="65"/>
        <v>4.0099999999999997E-2</v>
      </c>
      <c r="S445" s="24"/>
      <c r="T445" s="13">
        <f t="shared" si="66"/>
        <v>2143.4330595999995</v>
      </c>
      <c r="V445" s="163">
        <f t="shared" si="67"/>
        <v>3.6900000000000002E-2</v>
      </c>
      <c r="W445" s="24"/>
      <c r="X445" s="13">
        <f t="shared" si="68"/>
        <v>1972.3860324</v>
      </c>
    </row>
    <row r="446" spans="1:24">
      <c r="A446" s="17" t="s">
        <v>52</v>
      </c>
      <c r="C446" s="54">
        <v>3934668</v>
      </c>
      <c r="E446" s="231">
        <v>3.9510999999999998</v>
      </c>
      <c r="F446" s="215" t="s">
        <v>16</v>
      </c>
      <c r="G446" s="215"/>
      <c r="H446" s="213">
        <v>155463</v>
      </c>
      <c r="J446" s="163">
        <f>J$158</f>
        <v>9.1999999999999998E-3</v>
      </c>
      <c r="K446" s="24"/>
      <c r="L446" s="13">
        <f t="shared" si="71"/>
        <v>1430.2595999999999</v>
      </c>
      <c r="N446" s="163">
        <f>N$158</f>
        <v>4.4000000000000003E-3</v>
      </c>
      <c r="O446" s="24"/>
      <c r="P446" s="13">
        <f t="shared" si="72"/>
        <v>684.03719999999998</v>
      </c>
      <c r="R446" s="163">
        <f t="shared" si="65"/>
        <v>4.0099999999999997E-2</v>
      </c>
      <c r="S446" s="24"/>
      <c r="T446" s="13">
        <f t="shared" si="66"/>
        <v>6318.8496016799991</v>
      </c>
      <c r="V446" s="163">
        <f t="shared" si="67"/>
        <v>3.6900000000000002E-2</v>
      </c>
      <c r="W446" s="24"/>
      <c r="X446" s="13">
        <f t="shared" si="68"/>
        <v>5814.6022519199996</v>
      </c>
    </row>
    <row r="447" spans="1:24">
      <c r="A447" s="17" t="s">
        <v>90</v>
      </c>
      <c r="C447" s="54">
        <v>5030284.6792951785</v>
      </c>
      <c r="E447" s="231">
        <v>3.4001999999999999</v>
      </c>
      <c r="F447" s="215" t="s">
        <v>16</v>
      </c>
      <c r="G447" s="215"/>
      <c r="H447" s="213">
        <v>171040</v>
      </c>
      <c r="J447" s="163">
        <f>J$158</f>
        <v>9.1999999999999998E-3</v>
      </c>
      <c r="K447" s="24"/>
      <c r="L447" s="13">
        <f t="shared" si="71"/>
        <v>1573.568</v>
      </c>
      <c r="N447" s="163">
        <f>N$158</f>
        <v>4.4000000000000003E-3</v>
      </c>
      <c r="O447" s="24"/>
      <c r="P447" s="13">
        <f t="shared" si="72"/>
        <v>752.57600000000002</v>
      </c>
      <c r="R447" s="163">
        <f t="shared" si="65"/>
        <v>4.0099999999999997E-2</v>
      </c>
      <c r="S447" s="24"/>
      <c r="T447" s="13">
        <f t="shared" si="66"/>
        <v>6951.9823743999996</v>
      </c>
      <c r="V447" s="163">
        <f t="shared" si="67"/>
        <v>3.6900000000000002E-2</v>
      </c>
      <c r="W447" s="24"/>
      <c r="X447" s="13">
        <f t="shared" si="68"/>
        <v>6397.2107136000004</v>
      </c>
    </row>
    <row r="448" spans="1:24">
      <c r="A448" s="16" t="s">
        <v>232</v>
      </c>
      <c r="C448" s="54"/>
      <c r="E448" s="238"/>
      <c r="F448" s="218"/>
      <c r="G448" s="218"/>
      <c r="H448" s="213"/>
      <c r="J448" s="32"/>
      <c r="K448" s="53"/>
      <c r="L448" s="13"/>
      <c r="N448" s="32"/>
      <c r="O448" s="53"/>
      <c r="P448" s="13"/>
      <c r="R448" s="32"/>
      <c r="S448" s="53"/>
      <c r="T448" s="13"/>
      <c r="V448" s="32"/>
      <c r="W448" s="53"/>
      <c r="X448" s="13"/>
    </row>
    <row r="449" spans="1:24">
      <c r="A449" s="17" t="s">
        <v>39</v>
      </c>
      <c r="C449" s="54">
        <v>103313</v>
      </c>
      <c r="E449" s="238">
        <v>2.2200000000000002</v>
      </c>
      <c r="F449" s="218"/>
      <c r="G449" s="218"/>
      <c r="H449" s="213">
        <v>229355</v>
      </c>
      <c r="J449" s="32"/>
      <c r="K449" s="53"/>
      <c r="L449" s="13"/>
      <c r="N449" s="32"/>
      <c r="O449" s="53"/>
      <c r="P449" s="13"/>
      <c r="R449" s="163">
        <f t="shared" ref="R449:R454" si="73">R$169</f>
        <v>4.0099999999999997E-2</v>
      </c>
      <c r="S449" s="24"/>
      <c r="T449" s="13">
        <f t="shared" ref="T449:T454" si="74">($H449+$L449+$P449)*R449</f>
        <v>9197.1354999999985</v>
      </c>
      <c r="V449" s="163">
        <f t="shared" ref="V449:V454" si="75">V$169</f>
        <v>3.6900000000000002E-2</v>
      </c>
      <c r="W449" s="24"/>
      <c r="X449" s="13">
        <f t="shared" ref="X449:X454" si="76">($H449+$L449+$P449)*V449</f>
        <v>8463.1995000000006</v>
      </c>
    </row>
    <row r="450" spans="1:24">
      <c r="A450" s="17" t="s">
        <v>88</v>
      </c>
      <c r="C450" s="54">
        <v>49491</v>
      </c>
      <c r="E450" s="238">
        <v>13.96</v>
      </c>
      <c r="F450" s="218"/>
      <c r="G450" s="218"/>
      <c r="H450" s="213">
        <v>690894</v>
      </c>
      <c r="J450" s="163">
        <f>J$170</f>
        <v>1.12E-2</v>
      </c>
      <c r="K450" s="24"/>
      <c r="L450" s="13">
        <f t="shared" ref="L450:L454" si="77">$H450*J450</f>
        <v>7738.0127999999995</v>
      </c>
      <c r="N450" s="163">
        <f>N$170</f>
        <v>4.3E-3</v>
      </c>
      <c r="O450" s="24"/>
      <c r="P450" s="13">
        <f t="shared" ref="P450:P454" si="78">$H450*N450</f>
        <v>2970.8442</v>
      </c>
      <c r="R450" s="163">
        <f t="shared" si="73"/>
        <v>4.0099999999999997E-2</v>
      </c>
      <c r="S450" s="24"/>
      <c r="T450" s="13">
        <f t="shared" si="74"/>
        <v>28134.274565700001</v>
      </c>
      <c r="V450" s="163">
        <f t="shared" si="75"/>
        <v>3.6900000000000002E-2</v>
      </c>
      <c r="W450" s="24"/>
      <c r="X450" s="13">
        <f t="shared" si="76"/>
        <v>25889.145423300004</v>
      </c>
    </row>
    <row r="451" spans="1:24">
      <c r="A451" s="17" t="s">
        <v>89</v>
      </c>
      <c r="C451" s="54">
        <v>50080</v>
      </c>
      <c r="E451" s="238">
        <v>9.4700000000000006</v>
      </c>
      <c r="F451" s="218"/>
      <c r="G451" s="218"/>
      <c r="H451" s="213">
        <v>474258</v>
      </c>
      <c r="J451" s="163">
        <f>J$170</f>
        <v>1.12E-2</v>
      </c>
      <c r="K451" s="24"/>
      <c r="L451" s="13">
        <f t="shared" si="77"/>
        <v>5311.6895999999997</v>
      </c>
      <c r="N451" s="163">
        <f>N$170</f>
        <v>4.3E-3</v>
      </c>
      <c r="O451" s="24"/>
      <c r="P451" s="13">
        <f t="shared" si="78"/>
        <v>2039.3094000000001</v>
      </c>
      <c r="R451" s="163">
        <f t="shared" si="73"/>
        <v>4.0099999999999997E-2</v>
      </c>
      <c r="S451" s="24"/>
      <c r="T451" s="13">
        <f t="shared" si="74"/>
        <v>19312.5208599</v>
      </c>
      <c r="V451" s="163">
        <f t="shared" si="75"/>
        <v>3.6900000000000002E-2</v>
      </c>
      <c r="W451" s="24"/>
      <c r="X451" s="13">
        <f t="shared" si="76"/>
        <v>17771.372063100003</v>
      </c>
    </row>
    <row r="452" spans="1:24">
      <c r="A452" s="17" t="s">
        <v>92</v>
      </c>
      <c r="C452" s="54">
        <v>7647176</v>
      </c>
      <c r="E452" s="253">
        <v>4.6531000000000002</v>
      </c>
      <c r="F452" s="215" t="s">
        <v>16</v>
      </c>
      <c r="G452" s="215"/>
      <c r="H452" s="213">
        <v>355831</v>
      </c>
      <c r="J452" s="163">
        <f>J$170</f>
        <v>1.12E-2</v>
      </c>
      <c r="K452" s="24"/>
      <c r="L452" s="13">
        <f t="shared" si="77"/>
        <v>3985.3071999999997</v>
      </c>
      <c r="N452" s="163">
        <f>N$170</f>
        <v>4.3E-3</v>
      </c>
      <c r="O452" s="24"/>
      <c r="P452" s="13">
        <f t="shared" si="78"/>
        <v>1530.0733</v>
      </c>
      <c r="R452" s="163">
        <f t="shared" si="73"/>
        <v>4.0099999999999997E-2</v>
      </c>
      <c r="S452" s="24"/>
      <c r="T452" s="13">
        <f t="shared" si="74"/>
        <v>14489.989858049998</v>
      </c>
      <c r="V452" s="163">
        <f t="shared" si="75"/>
        <v>3.6900000000000002E-2</v>
      </c>
      <c r="W452" s="24"/>
      <c r="X452" s="13">
        <f t="shared" si="76"/>
        <v>13333.68144045</v>
      </c>
    </row>
    <row r="453" spans="1:24">
      <c r="A453" s="17" t="s">
        <v>93</v>
      </c>
      <c r="C453" s="54">
        <v>10898121</v>
      </c>
      <c r="E453" s="253">
        <v>3.4988999999999999</v>
      </c>
      <c r="F453" s="215" t="s">
        <v>16</v>
      </c>
      <c r="G453" s="215"/>
      <c r="H453" s="213">
        <v>381314</v>
      </c>
      <c r="J453" s="163">
        <f>J$170</f>
        <v>1.12E-2</v>
      </c>
      <c r="K453" s="24"/>
      <c r="L453" s="13">
        <f t="shared" si="77"/>
        <v>4270.7168000000001</v>
      </c>
      <c r="N453" s="163">
        <f>N$170</f>
        <v>4.3E-3</v>
      </c>
      <c r="O453" s="24"/>
      <c r="P453" s="13">
        <f t="shared" si="78"/>
        <v>1639.6502</v>
      </c>
      <c r="R453" s="163">
        <f t="shared" si="73"/>
        <v>4.0099999999999997E-2</v>
      </c>
      <c r="S453" s="24"/>
      <c r="T453" s="13">
        <f t="shared" si="74"/>
        <v>15527.697116699997</v>
      </c>
      <c r="V453" s="163">
        <f t="shared" si="75"/>
        <v>3.6900000000000002E-2</v>
      </c>
      <c r="W453" s="24"/>
      <c r="X453" s="13">
        <f t="shared" si="76"/>
        <v>14288.579142299999</v>
      </c>
    </row>
    <row r="454" spans="1:24">
      <c r="A454" s="17" t="s">
        <v>90</v>
      </c>
      <c r="C454" s="90">
        <v>27727401.345819965</v>
      </c>
      <c r="E454" s="254">
        <v>2.9224999999999999</v>
      </c>
      <c r="F454" s="215" t="s">
        <v>16</v>
      </c>
      <c r="G454" s="215"/>
      <c r="H454" s="234">
        <v>810333</v>
      </c>
      <c r="J454" s="164">
        <f>J$170</f>
        <v>1.12E-2</v>
      </c>
      <c r="K454" s="24"/>
      <c r="L454" s="68">
        <f t="shared" si="77"/>
        <v>9075.7296000000006</v>
      </c>
      <c r="N454" s="164">
        <f>N$170</f>
        <v>4.3E-3</v>
      </c>
      <c r="O454" s="24"/>
      <c r="P454" s="68">
        <f t="shared" si="78"/>
        <v>3484.4319</v>
      </c>
      <c r="R454" s="164">
        <f t="shared" si="73"/>
        <v>4.0099999999999997E-2</v>
      </c>
      <c r="S454" s="24"/>
      <c r="T454" s="68">
        <f t="shared" si="74"/>
        <v>32998.015776149994</v>
      </c>
      <c r="V454" s="164">
        <f t="shared" si="75"/>
        <v>3.6900000000000002E-2</v>
      </c>
      <c r="W454" s="24"/>
      <c r="X454" s="68">
        <f t="shared" si="76"/>
        <v>30364.757659349998</v>
      </c>
    </row>
    <row r="455" spans="1:24">
      <c r="A455" s="17" t="s">
        <v>209</v>
      </c>
      <c r="C455" s="21"/>
      <c r="E455" s="255"/>
      <c r="F455" s="215"/>
      <c r="G455" s="215"/>
      <c r="H455" s="219">
        <v>3559306</v>
      </c>
      <c r="J455" s="92"/>
      <c r="K455" s="24"/>
      <c r="L455" s="33">
        <f>SUM(L441:L454)</f>
        <v>35524.301999999996</v>
      </c>
      <c r="N455" s="92"/>
      <c r="O455" s="24"/>
      <c r="P455" s="33">
        <f>SUM(P441:P454)</f>
        <v>14123.931</v>
      </c>
      <c r="R455" s="92"/>
      <c r="S455" s="24"/>
      <c r="T455" s="33">
        <f>SUM(T441:T454)</f>
        <v>144719.0647433</v>
      </c>
      <c r="V455" s="92"/>
      <c r="W455" s="24"/>
      <c r="X455" s="33">
        <f>SUM(X441:X454)</f>
        <v>133170.41119770001</v>
      </c>
    </row>
    <row r="456" spans="1:24">
      <c r="A456" s="7" t="s">
        <v>84</v>
      </c>
      <c r="C456" s="88">
        <v>0</v>
      </c>
      <c r="E456" s="231"/>
      <c r="F456" s="232"/>
      <c r="G456" s="232"/>
      <c r="H456" s="220">
        <v>0</v>
      </c>
      <c r="J456" s="52"/>
      <c r="K456" s="58"/>
      <c r="L456" s="36"/>
      <c r="N456" s="52"/>
      <c r="O456" s="58"/>
      <c r="P456" s="36"/>
      <c r="R456" s="52"/>
      <c r="S456" s="58"/>
      <c r="T456" s="36"/>
      <c r="V456" s="52"/>
      <c r="W456" s="58"/>
      <c r="X456" s="36"/>
    </row>
    <row r="457" spans="1:24" ht="16.5" thickBot="1">
      <c r="A457" s="17" t="s">
        <v>233</v>
      </c>
      <c r="C457" s="93">
        <v>56282445.025115147</v>
      </c>
      <c r="E457" s="226"/>
      <c r="H457" s="227">
        <v>4575592</v>
      </c>
      <c r="J457" s="47"/>
      <c r="L457" s="48">
        <f>L438+L455</f>
        <v>35524.301999999996</v>
      </c>
      <c r="N457" s="47"/>
      <c r="P457" s="48">
        <f>P438+P455</f>
        <v>14123.931</v>
      </c>
      <c r="R457" s="47"/>
      <c r="T457" s="48">
        <f>T438+T455</f>
        <v>185025.76934329999</v>
      </c>
      <c r="V457" s="47"/>
      <c r="X457" s="48">
        <f>X438+X455</f>
        <v>170224.9855977</v>
      </c>
    </row>
    <row r="458" spans="1:24" ht="16.5" thickTop="1"/>
    <row r="459" spans="1:24">
      <c r="A459" s="16" t="s">
        <v>234</v>
      </c>
      <c r="C459" s="54"/>
    </row>
    <row r="460" spans="1:24">
      <c r="A460" s="17" t="s">
        <v>35</v>
      </c>
      <c r="C460" s="54">
        <v>12</v>
      </c>
      <c r="E460" s="231"/>
      <c r="F460" s="232"/>
      <c r="G460" s="232"/>
      <c r="H460" s="256">
        <v>2694</v>
      </c>
      <c r="J460" s="52"/>
      <c r="K460" s="58"/>
      <c r="L460" s="94"/>
      <c r="N460" s="52"/>
      <c r="O460" s="58"/>
      <c r="P460" s="94"/>
      <c r="R460" s="52"/>
      <c r="S460" s="58"/>
      <c r="T460" s="94"/>
      <c r="V460" s="52"/>
      <c r="W460" s="58"/>
      <c r="X460" s="94"/>
    </row>
    <row r="461" spans="1:24">
      <c r="A461" s="17" t="s">
        <v>235</v>
      </c>
      <c r="C461" s="54">
        <v>949050</v>
      </c>
      <c r="E461" s="231"/>
      <c r="F461" s="232"/>
      <c r="G461" s="232"/>
      <c r="H461" s="256">
        <v>11364504</v>
      </c>
      <c r="J461" s="162">
        <v>7.7999999999999996E-3</v>
      </c>
      <c r="K461" s="58"/>
      <c r="L461" s="71">
        <f t="shared" ref="L461:L463" si="79">$H461*J461</f>
        <v>88643.131199999989</v>
      </c>
      <c r="N461" s="162">
        <v>3.8E-3</v>
      </c>
      <c r="O461" s="58"/>
      <c r="P461" s="71">
        <f t="shared" ref="P461:P463" si="80">$H461*N461</f>
        <v>43185.1152</v>
      </c>
      <c r="R461" s="162">
        <v>0</v>
      </c>
      <c r="S461" s="58"/>
      <c r="T461" s="71">
        <f>($H461+$L461+$P461)*R461</f>
        <v>0</v>
      </c>
      <c r="V461" s="162">
        <v>0</v>
      </c>
      <c r="W461" s="58"/>
      <c r="X461" s="71">
        <f>($H461+$L461+$P461)*V461</f>
        <v>0</v>
      </c>
    </row>
    <row r="462" spans="1:24">
      <c r="A462" s="17" t="s">
        <v>236</v>
      </c>
      <c r="C462" s="54">
        <v>237232647</v>
      </c>
      <c r="E462" s="257"/>
      <c r="F462" s="258"/>
      <c r="G462" s="258"/>
      <c r="H462" s="256">
        <v>8613741</v>
      </c>
      <c r="J462" s="151">
        <f>J$461</f>
        <v>7.7999999999999996E-3</v>
      </c>
      <c r="K462" s="95"/>
      <c r="L462" s="71">
        <f t="shared" si="79"/>
        <v>67187.179799999998</v>
      </c>
      <c r="N462" s="151">
        <f>N$461</f>
        <v>3.8E-3</v>
      </c>
      <c r="O462" s="95"/>
      <c r="P462" s="71">
        <f t="shared" si="80"/>
        <v>32732.215799999998</v>
      </c>
      <c r="R462" s="151">
        <f>R$461</f>
        <v>0</v>
      </c>
      <c r="S462" s="95"/>
      <c r="T462" s="71">
        <f>($H462+$L462+$P462)*R462</f>
        <v>0</v>
      </c>
      <c r="V462" s="151">
        <f>V$461</f>
        <v>0</v>
      </c>
      <c r="W462" s="95"/>
      <c r="X462" s="71">
        <f>($H462+$L462+$P462)*V462</f>
        <v>0</v>
      </c>
    </row>
    <row r="463" spans="1:24">
      <c r="A463" s="17" t="s">
        <v>237</v>
      </c>
      <c r="C463" s="35">
        <v>298488523</v>
      </c>
      <c r="H463" s="220">
        <v>7977812</v>
      </c>
      <c r="J463" s="151">
        <f>J$461</f>
        <v>7.7999999999999996E-3</v>
      </c>
      <c r="L463" s="165">
        <f t="shared" si="79"/>
        <v>62226.933599999997</v>
      </c>
      <c r="N463" s="151">
        <f>N$461</f>
        <v>3.8E-3</v>
      </c>
      <c r="P463" s="165">
        <f t="shared" si="80"/>
        <v>30315.685600000001</v>
      </c>
      <c r="R463" s="151">
        <f>R$461</f>
        <v>0</v>
      </c>
      <c r="T463" s="165">
        <f>($H463+$L463+$P463)*R463</f>
        <v>0</v>
      </c>
      <c r="V463" s="151">
        <f>V$461</f>
        <v>0</v>
      </c>
      <c r="X463" s="165">
        <f>($H463+$L463+$P463)*V463</f>
        <v>0</v>
      </c>
    </row>
    <row r="464" spans="1:24" ht="16.5" thickBot="1">
      <c r="A464" s="17" t="s">
        <v>29</v>
      </c>
      <c r="C464" s="93">
        <v>535721170</v>
      </c>
      <c r="E464" s="259"/>
      <c r="F464" s="232"/>
      <c r="G464" s="232"/>
      <c r="H464" s="227">
        <v>27958751</v>
      </c>
      <c r="J464" s="96"/>
      <c r="K464" s="58"/>
      <c r="L464" s="97">
        <f>SUM(L460:L463)</f>
        <v>218057.24459999998</v>
      </c>
      <c r="N464" s="96"/>
      <c r="O464" s="58"/>
      <c r="P464" s="97">
        <f>SUM(P460:P463)</f>
        <v>106233.0166</v>
      </c>
      <c r="R464" s="96"/>
      <c r="S464" s="58"/>
      <c r="T464" s="97">
        <f>SUM(T460:T463)</f>
        <v>0</v>
      </c>
      <c r="V464" s="96"/>
      <c r="W464" s="58"/>
      <c r="X464" s="97">
        <f>SUM(X460:X463)</f>
        <v>0</v>
      </c>
    </row>
    <row r="465" spans="1:24" ht="16.5" thickTop="1">
      <c r="C465" s="54"/>
      <c r="H465" s="231"/>
      <c r="L465" s="98"/>
      <c r="P465" s="98"/>
      <c r="T465" s="98"/>
      <c r="X465" s="98"/>
    </row>
    <row r="466" spans="1:24">
      <c r="A466" s="99" t="s">
        <v>238</v>
      </c>
      <c r="B466" s="9"/>
      <c r="C466" s="54"/>
      <c r="E466" s="231"/>
      <c r="F466" s="232"/>
      <c r="G466" s="232"/>
      <c r="J466" s="52"/>
      <c r="K466" s="58"/>
      <c r="L466" s="12"/>
      <c r="N466" s="52"/>
      <c r="O466" s="58"/>
      <c r="P466" s="12"/>
      <c r="R466" s="52"/>
      <c r="S466" s="58"/>
      <c r="T466" s="12"/>
      <c r="V466" s="52"/>
      <c r="W466" s="58"/>
      <c r="X466" s="12"/>
    </row>
    <row r="467" spans="1:24">
      <c r="A467" s="34" t="s">
        <v>35</v>
      </c>
      <c r="B467" s="9"/>
      <c r="C467" s="54">
        <v>12</v>
      </c>
      <c r="L467" s="12"/>
      <c r="P467" s="12"/>
      <c r="T467" s="12"/>
      <c r="X467" s="12"/>
    </row>
    <row r="468" spans="1:24">
      <c r="A468" s="34" t="s">
        <v>239</v>
      </c>
      <c r="B468" s="9"/>
      <c r="C468" s="54">
        <v>795798675.78575754</v>
      </c>
      <c r="E468" s="260"/>
      <c r="F468" s="261"/>
      <c r="G468" s="261"/>
      <c r="H468" s="213">
        <v>35062890</v>
      </c>
      <c r="J468" s="162">
        <v>1.17E-2</v>
      </c>
      <c r="K468" s="100"/>
      <c r="L468" s="68">
        <f>$H468*J468</f>
        <v>410235.81300000002</v>
      </c>
      <c r="N468" s="162">
        <v>0</v>
      </c>
      <c r="O468" s="100"/>
      <c r="P468" s="68">
        <f>$H468*N468</f>
        <v>0</v>
      </c>
      <c r="R468" s="162">
        <v>0</v>
      </c>
      <c r="S468" s="100"/>
      <c r="T468" s="68">
        <f>($H468+$L468+$P468)*R468</f>
        <v>0</v>
      </c>
      <c r="V468" s="162">
        <v>0</v>
      </c>
      <c r="W468" s="100"/>
      <c r="X468" s="68">
        <f>($H468+$L468+$P468)*V468</f>
        <v>0</v>
      </c>
    </row>
    <row r="469" spans="1:24" ht="16.5" thickBot="1">
      <c r="A469" s="17" t="s">
        <v>29</v>
      </c>
      <c r="B469" s="9"/>
      <c r="C469" s="262">
        <v>795798675.78575754</v>
      </c>
      <c r="E469" s="263"/>
      <c r="F469" s="232"/>
      <c r="G469" s="232"/>
      <c r="H469" s="264">
        <v>35062890</v>
      </c>
      <c r="J469" s="101"/>
      <c r="K469" s="58"/>
      <c r="L469" s="97">
        <f>SUM(L467:L468)</f>
        <v>410235.81300000002</v>
      </c>
      <c r="N469" s="101"/>
      <c r="O469" s="58"/>
      <c r="P469" s="97">
        <f>SUM(P467:P468)</f>
        <v>0</v>
      </c>
      <c r="R469" s="101"/>
      <c r="S469" s="58"/>
      <c r="T469" s="97">
        <f>SUM(T467:T468)</f>
        <v>0</v>
      </c>
      <c r="V469" s="101"/>
      <c r="W469" s="58"/>
      <c r="X469" s="97">
        <f>SUM(X467:X468)</f>
        <v>0</v>
      </c>
    </row>
    <row r="470" spans="1:24" ht="16.5" thickTop="1">
      <c r="A470" s="34"/>
      <c r="B470" s="9"/>
      <c r="C470" s="21"/>
      <c r="E470" s="265"/>
      <c r="F470" s="265"/>
      <c r="G470" s="265"/>
      <c r="H470" s="219"/>
      <c r="J470" s="79"/>
      <c r="K470" s="102"/>
      <c r="L470" s="33"/>
      <c r="N470" s="79"/>
      <c r="O470" s="102"/>
      <c r="P470" s="33"/>
      <c r="R470" s="79"/>
      <c r="S470" s="102"/>
      <c r="T470" s="33"/>
      <c r="V470" s="79"/>
      <c r="W470" s="102"/>
      <c r="X470" s="33"/>
    </row>
    <row r="471" spans="1:24">
      <c r="A471" s="16" t="s">
        <v>240</v>
      </c>
      <c r="C471" s="54"/>
      <c r="E471" s="231"/>
      <c r="F471" s="232"/>
      <c r="G471" s="232"/>
      <c r="J471" s="52"/>
      <c r="K471" s="58"/>
      <c r="L471" s="12"/>
      <c r="N471" s="52"/>
      <c r="O471" s="58"/>
      <c r="P471" s="12"/>
      <c r="R471" s="52"/>
      <c r="S471" s="58"/>
      <c r="T471" s="12"/>
      <c r="V471" s="52"/>
      <c r="W471" s="58"/>
      <c r="X471" s="12"/>
    </row>
    <row r="472" spans="1:24">
      <c r="A472" s="17" t="s">
        <v>35</v>
      </c>
      <c r="C472" s="54">
        <v>12</v>
      </c>
      <c r="E472" s="166"/>
      <c r="F472" s="232"/>
      <c r="G472" s="232"/>
      <c r="H472" s="213">
        <v>8136</v>
      </c>
      <c r="J472" s="18"/>
      <c r="K472" s="58"/>
      <c r="L472" s="13"/>
      <c r="N472" s="18"/>
      <c r="O472" s="58"/>
      <c r="P472" s="13"/>
      <c r="R472" s="18"/>
      <c r="S472" s="58"/>
      <c r="T472" s="13"/>
      <c r="V472" s="18"/>
      <c r="W472" s="58"/>
      <c r="X472" s="13"/>
    </row>
    <row r="473" spans="1:24">
      <c r="A473" s="17" t="s">
        <v>241</v>
      </c>
      <c r="C473" s="54">
        <v>422498</v>
      </c>
      <c r="E473" s="166"/>
      <c r="F473" s="232"/>
      <c r="G473" s="232"/>
      <c r="H473" s="213">
        <v>921045</v>
      </c>
      <c r="J473" s="18"/>
      <c r="K473" s="58"/>
      <c r="L473" s="13"/>
      <c r="N473" s="18"/>
      <c r="O473" s="58"/>
      <c r="P473" s="13"/>
      <c r="R473" s="162">
        <v>0</v>
      </c>
      <c r="S473" s="58"/>
      <c r="T473" s="13">
        <f>($H473+$L473+$P473)*R473</f>
        <v>0</v>
      </c>
      <c r="V473" s="162">
        <v>0</v>
      </c>
      <c r="W473" s="58"/>
      <c r="X473" s="13">
        <f>($H473+$L473+$P473)*V473</f>
        <v>0</v>
      </c>
    </row>
    <row r="474" spans="1:24">
      <c r="A474" s="17" t="s">
        <v>242</v>
      </c>
      <c r="C474" s="54"/>
      <c r="E474" s="238"/>
      <c r="F474" s="266"/>
      <c r="G474" s="266"/>
      <c r="H474" s="256"/>
      <c r="J474" s="32"/>
      <c r="K474" s="103"/>
      <c r="L474" s="94"/>
      <c r="N474" s="32"/>
      <c r="O474" s="103"/>
      <c r="P474" s="94"/>
      <c r="R474" s="167"/>
      <c r="S474" s="103"/>
      <c r="T474" s="94"/>
      <c r="V474" s="167"/>
      <c r="W474" s="103"/>
      <c r="X474" s="94"/>
    </row>
    <row r="475" spans="1:24">
      <c r="A475" s="17" t="s">
        <v>223</v>
      </c>
      <c r="C475" s="54">
        <v>3435490</v>
      </c>
      <c r="E475" s="249"/>
      <c r="F475" s="250"/>
      <c r="G475" s="250"/>
      <c r="H475" s="213"/>
      <c r="J475" s="84"/>
      <c r="K475" s="85"/>
      <c r="L475" s="13"/>
      <c r="N475" s="84"/>
      <c r="O475" s="85"/>
      <c r="P475" s="13"/>
      <c r="R475" s="167"/>
      <c r="S475" s="85"/>
      <c r="T475" s="13"/>
      <c r="V475" s="167"/>
      <c r="W475" s="85"/>
      <c r="X475" s="13"/>
    </row>
    <row r="476" spans="1:24">
      <c r="A476" s="17" t="s">
        <v>224</v>
      </c>
      <c r="C476" s="54">
        <v>3253488</v>
      </c>
      <c r="E476" s="249"/>
      <c r="F476" s="250"/>
      <c r="G476" s="250"/>
      <c r="H476" s="213">
        <v>1673920</v>
      </c>
      <c r="J476" s="84"/>
      <c r="K476" s="85"/>
      <c r="L476" s="13"/>
      <c r="N476" s="84"/>
      <c r="O476" s="85"/>
      <c r="P476" s="13"/>
      <c r="R476" s="167">
        <f>R$473</f>
        <v>0</v>
      </c>
      <c r="S476" s="85"/>
      <c r="T476" s="13">
        <f>($H476+$L476+$P476)*R476</f>
        <v>0</v>
      </c>
      <c r="V476" s="167">
        <f t="shared" ref="V476:V490" si="81">V$473</f>
        <v>0</v>
      </c>
      <c r="W476" s="85"/>
      <c r="X476" s="13">
        <f>($H476+$L476+$P476)*V476</f>
        <v>0</v>
      </c>
    </row>
    <row r="477" spans="1:24">
      <c r="A477" s="17" t="s">
        <v>225</v>
      </c>
      <c r="C477" s="54">
        <v>182002</v>
      </c>
      <c r="E477" s="249"/>
      <c r="F477" s="250"/>
      <c r="G477" s="250"/>
      <c r="H477" s="213">
        <v>93640</v>
      </c>
      <c r="J477" s="84"/>
      <c r="K477" s="85"/>
      <c r="L477" s="13"/>
      <c r="N477" s="84"/>
      <c r="O477" s="85"/>
      <c r="P477" s="13"/>
      <c r="R477" s="167">
        <f>R$473</f>
        <v>0</v>
      </c>
      <c r="S477" s="85"/>
      <c r="T477" s="13">
        <f>($H477+$L477+$P477)*R477</f>
        <v>0</v>
      </c>
      <c r="V477" s="167">
        <f t="shared" si="81"/>
        <v>0</v>
      </c>
      <c r="W477" s="85"/>
      <c r="X477" s="13">
        <f>($H477+$L477+$P477)*V477</f>
        <v>0</v>
      </c>
    </row>
    <row r="478" spans="1:24">
      <c r="A478" s="17" t="s">
        <v>226</v>
      </c>
      <c r="C478" s="54">
        <v>0</v>
      </c>
      <c r="E478" s="249"/>
      <c r="F478" s="250"/>
      <c r="G478" s="250"/>
      <c r="H478" s="213"/>
      <c r="J478" s="84"/>
      <c r="K478" s="85"/>
      <c r="L478" s="13"/>
      <c r="N478" s="84"/>
      <c r="O478" s="85"/>
      <c r="P478" s="13"/>
      <c r="R478" s="167"/>
      <c r="S478" s="85"/>
      <c r="T478" s="13"/>
      <c r="V478" s="167"/>
      <c r="W478" s="85"/>
      <c r="X478" s="13"/>
    </row>
    <row r="479" spans="1:24">
      <c r="A479" s="17" t="s">
        <v>224</v>
      </c>
      <c r="C479" s="54"/>
      <c r="E479" s="249"/>
      <c r="F479" s="250"/>
      <c r="G479" s="250"/>
      <c r="H479" s="213">
        <v>0</v>
      </c>
      <c r="J479" s="84"/>
      <c r="K479" s="85"/>
      <c r="L479" s="13"/>
      <c r="N479" s="84"/>
      <c r="O479" s="85"/>
      <c r="P479" s="13"/>
      <c r="R479" s="167">
        <f>R$473</f>
        <v>0</v>
      </c>
      <c r="S479" s="85"/>
      <c r="T479" s="13">
        <f>($H479+$L479+$P479)*R479</f>
        <v>0</v>
      </c>
      <c r="V479" s="167">
        <f t="shared" si="81"/>
        <v>0</v>
      </c>
      <c r="W479" s="85"/>
      <c r="X479" s="13">
        <f>($H479+$L479+$P479)*V479</f>
        <v>0</v>
      </c>
    </row>
    <row r="480" spans="1:24">
      <c r="A480" s="17" t="s">
        <v>225</v>
      </c>
      <c r="C480" s="54"/>
      <c r="E480" s="249"/>
      <c r="F480" s="250"/>
      <c r="G480" s="250"/>
      <c r="H480" s="213">
        <v>0</v>
      </c>
      <c r="J480" s="84"/>
      <c r="K480" s="85"/>
      <c r="L480" s="13"/>
      <c r="N480" s="84"/>
      <c r="O480" s="85"/>
      <c r="P480" s="13"/>
      <c r="R480" s="167">
        <f>R$473</f>
        <v>0</v>
      </c>
      <c r="S480" s="85"/>
      <c r="T480" s="13">
        <f>($H480+$L480+$P480)*R480</f>
        <v>0</v>
      </c>
      <c r="V480" s="167">
        <f t="shared" si="81"/>
        <v>0</v>
      </c>
      <c r="W480" s="85"/>
      <c r="X480" s="13">
        <f>($H480+$L480+$P480)*V480</f>
        <v>0</v>
      </c>
    </row>
    <row r="481" spans="1:24">
      <c r="A481" s="17" t="s">
        <v>243</v>
      </c>
      <c r="C481" s="54">
        <v>0</v>
      </c>
      <c r="E481" s="249"/>
      <c r="F481" s="250"/>
      <c r="G481" s="250"/>
      <c r="H481" s="213"/>
      <c r="J481" s="84"/>
      <c r="K481" s="85"/>
      <c r="L481" s="13"/>
      <c r="N481" s="84"/>
      <c r="O481" s="85"/>
      <c r="P481" s="13"/>
      <c r="R481" s="167"/>
      <c r="S481" s="85"/>
      <c r="T481" s="13"/>
      <c r="V481" s="167"/>
      <c r="W481" s="85"/>
      <c r="X481" s="13"/>
    </row>
    <row r="482" spans="1:24">
      <c r="A482" s="17" t="s">
        <v>224</v>
      </c>
      <c r="C482" s="54"/>
      <c r="E482" s="249"/>
      <c r="F482" s="250"/>
      <c r="G482" s="250"/>
      <c r="H482" s="213">
        <v>0</v>
      </c>
      <c r="J482" s="84"/>
      <c r="K482" s="85"/>
      <c r="L482" s="13"/>
      <c r="N482" s="84"/>
      <c r="O482" s="85"/>
      <c r="P482" s="13"/>
      <c r="R482" s="167">
        <f>R$473</f>
        <v>0</v>
      </c>
      <c r="S482" s="85"/>
      <c r="T482" s="13">
        <f>($H482+$L482+$P482)*R482</f>
        <v>0</v>
      </c>
      <c r="V482" s="167">
        <f t="shared" si="81"/>
        <v>0</v>
      </c>
      <c r="W482" s="85"/>
      <c r="X482" s="13">
        <f>($H482+$L482+$P482)*V482</f>
        <v>0</v>
      </c>
    </row>
    <row r="483" spans="1:24">
      <c r="A483" s="17" t="s">
        <v>225</v>
      </c>
      <c r="C483" s="54"/>
      <c r="E483" s="249"/>
      <c r="F483" s="250"/>
      <c r="G483" s="250"/>
      <c r="H483" s="213">
        <v>0</v>
      </c>
      <c r="J483" s="84"/>
      <c r="K483" s="85"/>
      <c r="L483" s="13"/>
      <c r="N483" s="84"/>
      <c r="O483" s="85"/>
      <c r="P483" s="13"/>
      <c r="R483" s="167">
        <f>R$473</f>
        <v>0</v>
      </c>
      <c r="S483" s="85"/>
      <c r="T483" s="13">
        <f>($H483+$L483+$P483)*R483</f>
        <v>0</v>
      </c>
      <c r="V483" s="167">
        <f t="shared" si="81"/>
        <v>0</v>
      </c>
      <c r="W483" s="85"/>
      <c r="X483" s="13">
        <f>($H483+$L483+$P483)*V483</f>
        <v>0</v>
      </c>
    </row>
    <row r="484" spans="1:24">
      <c r="A484" s="17" t="s">
        <v>244</v>
      </c>
      <c r="C484" s="54"/>
      <c r="E484" s="236"/>
      <c r="F484" s="266"/>
      <c r="G484" s="266"/>
      <c r="H484" s="256"/>
      <c r="J484" s="65"/>
      <c r="K484" s="103"/>
      <c r="L484" s="94"/>
      <c r="N484" s="65"/>
      <c r="O484" s="103"/>
      <c r="P484" s="94"/>
      <c r="R484" s="167"/>
      <c r="S484" s="103"/>
      <c r="T484" s="94"/>
      <c r="V484" s="167"/>
      <c r="W484" s="103"/>
      <c r="X484" s="94"/>
    </row>
    <row r="485" spans="1:24">
      <c r="A485" s="17" t="s">
        <v>245</v>
      </c>
      <c r="C485" s="54">
        <v>24807</v>
      </c>
      <c r="E485" s="238"/>
      <c r="F485" s="218"/>
      <c r="G485" s="218"/>
      <c r="H485" s="213">
        <v>346306</v>
      </c>
      <c r="J485" s="163">
        <f>J$170</f>
        <v>1.12E-2</v>
      </c>
      <c r="K485" s="24"/>
      <c r="L485" s="13">
        <f t="shared" ref="L485:L486" si="82">$H485*J485</f>
        <v>3878.6271999999999</v>
      </c>
      <c r="N485" s="163">
        <f>N$170</f>
        <v>4.3E-3</v>
      </c>
      <c r="O485" s="24"/>
      <c r="P485" s="13">
        <f t="shared" ref="P485:P486" si="83">$H485*N485</f>
        <v>1489.1158</v>
      </c>
      <c r="R485" s="167">
        <f>R$473</f>
        <v>0</v>
      </c>
      <c r="S485" s="24"/>
      <c r="T485" s="13">
        <f>($H485+$L485+$P485)*R485</f>
        <v>0</v>
      </c>
      <c r="V485" s="167">
        <f t="shared" si="81"/>
        <v>0</v>
      </c>
      <c r="W485" s="24"/>
      <c r="X485" s="13">
        <f>($H485+$L485+$P485)*V485</f>
        <v>0</v>
      </c>
    </row>
    <row r="486" spans="1:24">
      <c r="A486" s="17" t="s">
        <v>246</v>
      </c>
      <c r="C486" s="54">
        <v>765402</v>
      </c>
      <c r="E486" s="238"/>
      <c r="F486" s="218"/>
      <c r="G486" s="218"/>
      <c r="H486" s="213">
        <v>7248357</v>
      </c>
      <c r="J486" s="163">
        <f>J$170</f>
        <v>1.12E-2</v>
      </c>
      <c r="K486" s="24"/>
      <c r="L486" s="13">
        <f t="shared" si="82"/>
        <v>81181.598400000003</v>
      </c>
      <c r="N486" s="163">
        <f>N$170</f>
        <v>4.3E-3</v>
      </c>
      <c r="O486" s="24"/>
      <c r="P486" s="13">
        <f t="shared" si="83"/>
        <v>31167.935099999999</v>
      </c>
      <c r="R486" s="167">
        <f>R$473</f>
        <v>0</v>
      </c>
      <c r="S486" s="24"/>
      <c r="T486" s="13">
        <f>($H486+$L486+$P486)*R486</f>
        <v>0</v>
      </c>
      <c r="V486" s="167">
        <f t="shared" si="81"/>
        <v>0</v>
      </c>
      <c r="W486" s="24"/>
      <c r="X486" s="13">
        <f>($H486+$L486+$P486)*V486</f>
        <v>0</v>
      </c>
    </row>
    <row r="487" spans="1:24">
      <c r="A487" s="17" t="s">
        <v>247</v>
      </c>
      <c r="C487" s="21"/>
      <c r="E487" s="266"/>
      <c r="F487" s="266"/>
      <c r="G487" s="266"/>
      <c r="H487" s="219"/>
      <c r="J487" s="104"/>
      <c r="K487" s="103"/>
      <c r="L487" s="59"/>
      <c r="N487" s="104"/>
      <c r="O487" s="103"/>
      <c r="P487" s="59"/>
      <c r="R487" s="167"/>
      <c r="S487" s="103"/>
      <c r="T487" s="59"/>
      <c r="V487" s="167"/>
      <c r="W487" s="103"/>
      <c r="X487" s="59"/>
    </row>
    <row r="488" spans="1:24">
      <c r="A488" s="17" t="s">
        <v>248</v>
      </c>
      <c r="C488" s="54">
        <v>22796861</v>
      </c>
      <c r="E488" s="253"/>
      <c r="F488" s="215" t="s">
        <v>16</v>
      </c>
      <c r="G488" s="215"/>
      <c r="H488" s="213">
        <v>1060761</v>
      </c>
      <c r="J488" s="163">
        <f>J$170</f>
        <v>1.12E-2</v>
      </c>
      <c r="K488" s="24"/>
      <c r="L488" s="13">
        <f t="shared" ref="L488:L490" si="84">$H488*J488</f>
        <v>11880.5232</v>
      </c>
      <c r="N488" s="163">
        <f>N$170</f>
        <v>4.3E-3</v>
      </c>
      <c r="O488" s="24"/>
      <c r="P488" s="13">
        <f t="shared" ref="P488:P490" si="85">$H488*N488</f>
        <v>4561.2722999999996</v>
      </c>
      <c r="R488" s="167">
        <f>R$473</f>
        <v>0</v>
      </c>
      <c r="S488" s="24"/>
      <c r="T488" s="13">
        <f>($H488+$L488+$P488)*R488</f>
        <v>0</v>
      </c>
      <c r="V488" s="167">
        <f t="shared" si="81"/>
        <v>0</v>
      </c>
      <c r="W488" s="24"/>
      <c r="X488" s="13">
        <f>($H488+$L488+$P488)*V488</f>
        <v>0</v>
      </c>
    </row>
    <row r="489" spans="1:24">
      <c r="A489" s="17" t="s">
        <v>249</v>
      </c>
      <c r="C489" s="54">
        <v>204228863</v>
      </c>
      <c r="E489" s="253"/>
      <c r="F489" s="215" t="s">
        <v>16</v>
      </c>
      <c r="G489" s="215"/>
      <c r="H489" s="213">
        <v>7145764</v>
      </c>
      <c r="J489" s="163">
        <f>J$170</f>
        <v>1.12E-2</v>
      </c>
      <c r="K489" s="24"/>
      <c r="L489" s="13">
        <f t="shared" si="84"/>
        <v>80032.556800000006</v>
      </c>
      <c r="N489" s="163">
        <f>N$170</f>
        <v>4.3E-3</v>
      </c>
      <c r="O489" s="24"/>
      <c r="P489" s="13">
        <f t="shared" si="85"/>
        <v>30726.785199999998</v>
      </c>
      <c r="R489" s="167">
        <f>R$473</f>
        <v>0</v>
      </c>
      <c r="S489" s="24"/>
      <c r="T489" s="13">
        <f>($H489+$L489+$P489)*R489</f>
        <v>0</v>
      </c>
      <c r="V489" s="167">
        <f t="shared" si="81"/>
        <v>0</v>
      </c>
      <c r="W489" s="24"/>
      <c r="X489" s="13">
        <f>($H489+$L489+$P489)*V489</f>
        <v>0</v>
      </c>
    </row>
    <row r="490" spans="1:24">
      <c r="A490" s="17" t="s">
        <v>250</v>
      </c>
      <c r="C490" s="90">
        <v>394783609.25</v>
      </c>
      <c r="E490" s="254"/>
      <c r="F490" s="215" t="s">
        <v>16</v>
      </c>
      <c r="G490" s="215"/>
      <c r="H490" s="234">
        <v>11537551</v>
      </c>
      <c r="J490" s="163">
        <f>J$170</f>
        <v>1.12E-2</v>
      </c>
      <c r="K490" s="24"/>
      <c r="L490" s="68">
        <f t="shared" si="84"/>
        <v>129220.57120000001</v>
      </c>
      <c r="N490" s="163">
        <f>N$170</f>
        <v>4.3E-3</v>
      </c>
      <c r="O490" s="24"/>
      <c r="P490" s="68">
        <f t="shared" si="85"/>
        <v>49611.469299999997</v>
      </c>
      <c r="R490" s="167">
        <f>R$473</f>
        <v>0</v>
      </c>
      <c r="S490" s="24"/>
      <c r="T490" s="68">
        <f>($H490+$L490+$P490)*R490</f>
        <v>0</v>
      </c>
      <c r="V490" s="167">
        <f t="shared" si="81"/>
        <v>0</v>
      </c>
      <c r="W490" s="24"/>
      <c r="X490" s="68">
        <f>($H490+$L490+$P490)*V490</f>
        <v>0</v>
      </c>
    </row>
    <row r="491" spans="1:24" ht="16.5" thickBot="1">
      <c r="A491" s="17" t="s">
        <v>251</v>
      </c>
      <c r="C491" s="93">
        <v>621809333.25</v>
      </c>
      <c r="E491" s="259"/>
      <c r="F491" s="232"/>
      <c r="G491" s="232"/>
      <c r="H491" s="227">
        <v>30035480</v>
      </c>
      <c r="J491" s="96"/>
      <c r="K491" s="58"/>
      <c r="L491" s="97">
        <f>SUM(L472:L490)</f>
        <v>306193.87680000003</v>
      </c>
      <c r="N491" s="96"/>
      <c r="O491" s="58"/>
      <c r="P491" s="97">
        <f>SUM(P472:P490)</f>
        <v>117556.57769999999</v>
      </c>
      <c r="R491" s="96"/>
      <c r="S491" s="58"/>
      <c r="T491" s="97">
        <f>SUM(T472:T490)</f>
        <v>0</v>
      </c>
      <c r="V491" s="96"/>
      <c r="W491" s="58"/>
      <c r="X491" s="97">
        <f>SUM(X472:X490)</f>
        <v>0</v>
      </c>
    </row>
    <row r="492" spans="1:24" ht="16.5" thickTop="1">
      <c r="C492" s="54"/>
      <c r="E492" s="231"/>
      <c r="F492" s="232"/>
      <c r="G492" s="232"/>
      <c r="J492" s="52"/>
      <c r="K492" s="58"/>
      <c r="L492" s="12"/>
      <c r="N492" s="52"/>
      <c r="O492" s="58"/>
      <c r="P492" s="12"/>
      <c r="R492" s="52"/>
      <c r="S492" s="58"/>
      <c r="T492" s="12"/>
      <c r="V492" s="52"/>
      <c r="W492" s="58"/>
      <c r="X492" s="12"/>
    </row>
    <row r="493" spans="1:24">
      <c r="A493" s="16" t="s">
        <v>252</v>
      </c>
      <c r="C493" s="54"/>
    </row>
    <row r="494" spans="1:24">
      <c r="A494" s="17" t="s">
        <v>253</v>
      </c>
      <c r="C494" s="54">
        <v>60</v>
      </c>
      <c r="E494" s="166">
        <v>2.1800000000000002</v>
      </c>
      <c r="F494" s="212"/>
      <c r="G494" s="212"/>
      <c r="H494" s="213">
        <v>131</v>
      </c>
      <c r="J494" s="18"/>
      <c r="K494" s="19"/>
      <c r="L494" s="13"/>
      <c r="N494" s="18"/>
      <c r="O494" s="19"/>
      <c r="P494" s="13"/>
      <c r="R494" s="18"/>
      <c r="S494" s="19"/>
      <c r="T494" s="13"/>
      <c r="V494" s="18"/>
      <c r="W494" s="19"/>
      <c r="X494" s="13"/>
    </row>
    <row r="495" spans="1:24">
      <c r="A495" s="17" t="s">
        <v>254</v>
      </c>
      <c r="C495" s="21">
        <v>207</v>
      </c>
      <c r="E495" s="251">
        <v>2.1858</v>
      </c>
      <c r="F495" s="215"/>
      <c r="G495" s="215"/>
      <c r="H495" s="219">
        <v>452</v>
      </c>
      <c r="J495" s="106"/>
      <c r="K495" s="24"/>
      <c r="L495" s="33"/>
      <c r="N495" s="106"/>
      <c r="O495" s="24"/>
      <c r="P495" s="33"/>
      <c r="R495" s="106"/>
      <c r="S495" s="24"/>
      <c r="T495" s="33"/>
      <c r="V495" s="106"/>
      <c r="W495" s="24"/>
      <c r="X495" s="33"/>
    </row>
    <row r="496" spans="1:24">
      <c r="A496" s="17" t="s">
        <v>156</v>
      </c>
      <c r="C496" s="90">
        <v>267</v>
      </c>
      <c r="E496" s="254"/>
      <c r="F496" s="215"/>
      <c r="G496" s="215"/>
      <c r="H496" s="234">
        <v>583</v>
      </c>
      <c r="J496" s="91"/>
      <c r="K496" s="24"/>
      <c r="L496" s="68"/>
      <c r="N496" s="91"/>
      <c r="O496" s="24"/>
      <c r="P496" s="68"/>
      <c r="R496" s="91"/>
      <c r="S496" s="24"/>
      <c r="T496" s="68"/>
      <c r="V496" s="91"/>
      <c r="W496" s="24"/>
      <c r="X496" s="68"/>
    </row>
    <row r="497" spans="1:24">
      <c r="A497" s="17" t="s">
        <v>255</v>
      </c>
      <c r="C497" s="245">
        <v>7736.6128294616919</v>
      </c>
      <c r="E497" s="55"/>
      <c r="H497" s="55"/>
      <c r="J497" s="43"/>
      <c r="L497" s="9"/>
      <c r="N497" s="43"/>
      <c r="P497" s="9"/>
      <c r="R497" s="43"/>
      <c r="T497" s="9"/>
      <c r="V497" s="43"/>
      <c r="X497" s="9"/>
    </row>
    <row r="498" spans="1:24">
      <c r="A498" s="17" t="s">
        <v>85</v>
      </c>
      <c r="C498" s="245">
        <v>5</v>
      </c>
      <c r="E498" s="55"/>
      <c r="H498" s="55"/>
      <c r="J498" s="43"/>
      <c r="L498" s="9"/>
      <c r="N498" s="43"/>
      <c r="P498" s="9"/>
      <c r="R498" s="43"/>
      <c r="T498" s="9"/>
      <c r="V498" s="43"/>
      <c r="X498" s="9"/>
    </row>
    <row r="499" spans="1:24">
      <c r="A499" s="17" t="s">
        <v>84</v>
      </c>
      <c r="C499" s="245">
        <v>0</v>
      </c>
      <c r="E499" s="55"/>
      <c r="H499" s="219"/>
      <c r="J499" s="43"/>
      <c r="L499" s="33"/>
      <c r="N499" s="43"/>
      <c r="P499" s="33"/>
      <c r="R499" s="43"/>
      <c r="T499" s="33"/>
      <c r="V499" s="43"/>
      <c r="X499" s="33"/>
    </row>
    <row r="500" spans="1:24" ht="16.5" thickBot="1">
      <c r="A500" s="17" t="s">
        <v>157</v>
      </c>
      <c r="C500" s="241">
        <v>7736.6128294616919</v>
      </c>
      <c r="E500" s="242"/>
      <c r="F500" s="243"/>
      <c r="G500" s="243"/>
      <c r="H500" s="242">
        <v>583</v>
      </c>
      <c r="J500" s="73"/>
      <c r="K500" s="105"/>
      <c r="L500" s="107"/>
      <c r="N500" s="73"/>
      <c r="O500" s="105"/>
      <c r="P500" s="107"/>
      <c r="R500" s="73"/>
      <c r="S500" s="105"/>
      <c r="T500" s="107"/>
      <c r="V500" s="73"/>
      <c r="W500" s="105"/>
      <c r="X500" s="107"/>
    </row>
    <row r="501" spans="1:24" ht="16.5" thickTop="1">
      <c r="C501" s="54"/>
      <c r="E501" s="231"/>
      <c r="F501" s="232"/>
      <c r="G501" s="232"/>
      <c r="J501" s="52"/>
      <c r="K501" s="58"/>
      <c r="L501" s="12"/>
      <c r="N501" s="52"/>
      <c r="O501" s="58"/>
      <c r="P501" s="12"/>
      <c r="R501" s="52"/>
      <c r="S501" s="58"/>
      <c r="T501" s="12"/>
      <c r="V501" s="52"/>
      <c r="W501" s="58"/>
      <c r="X501" s="12"/>
    </row>
    <row r="502" spans="1:24">
      <c r="A502" s="99" t="s">
        <v>256</v>
      </c>
      <c r="B502" s="9"/>
      <c r="E502" s="231"/>
      <c r="F502" s="232"/>
      <c r="G502" s="232"/>
      <c r="J502" s="52"/>
      <c r="K502" s="58"/>
      <c r="N502" s="52"/>
      <c r="O502" s="58"/>
      <c r="R502" s="52"/>
      <c r="S502" s="58"/>
      <c r="V502" s="52"/>
      <c r="W502" s="58"/>
    </row>
    <row r="503" spans="1:24">
      <c r="A503" s="34" t="s">
        <v>257</v>
      </c>
      <c r="B503" s="9"/>
      <c r="C503" s="267"/>
      <c r="E503" s="231"/>
      <c r="F503" s="232"/>
      <c r="G503" s="232"/>
      <c r="H503" s="213">
        <v>33040.269999999997</v>
      </c>
      <c r="J503" s="52"/>
      <c r="K503" s="58"/>
      <c r="L503" s="13"/>
      <c r="N503" s="52"/>
      <c r="O503" s="58"/>
      <c r="P503" s="13"/>
      <c r="R503" s="52"/>
      <c r="S503" s="58"/>
      <c r="T503" s="13"/>
      <c r="V503" s="52"/>
      <c r="W503" s="58"/>
      <c r="X503" s="13"/>
    </row>
    <row r="504" spans="1:24">
      <c r="A504" s="34" t="s">
        <v>258</v>
      </c>
      <c r="B504" s="9"/>
      <c r="C504" s="267"/>
      <c r="E504" s="231"/>
      <c r="F504" s="232"/>
      <c r="G504" s="232"/>
      <c r="H504" s="213">
        <v>2726577.8500000006</v>
      </c>
      <c r="J504" s="52"/>
      <c r="K504" s="58"/>
      <c r="L504" s="13"/>
      <c r="N504" s="52"/>
      <c r="O504" s="58"/>
      <c r="P504" s="13"/>
      <c r="R504" s="52"/>
      <c r="S504" s="58"/>
      <c r="T504" s="13"/>
      <c r="V504" s="52"/>
      <c r="W504" s="58"/>
      <c r="X504" s="13"/>
    </row>
    <row r="505" spans="1:24">
      <c r="A505" s="34" t="s">
        <v>259</v>
      </c>
      <c r="B505" s="9"/>
      <c r="C505" s="267"/>
      <c r="E505" s="231"/>
      <c r="F505" s="232"/>
      <c r="G505" s="232"/>
      <c r="H505" s="213">
        <v>-5447.4699999999866</v>
      </c>
      <c r="J505" s="52"/>
      <c r="K505" s="58"/>
      <c r="L505" s="13"/>
      <c r="N505" s="52"/>
      <c r="O505" s="58"/>
      <c r="P505" s="13"/>
      <c r="R505" s="52"/>
      <c r="S505" s="58"/>
      <c r="T505" s="13"/>
      <c r="V505" s="52"/>
      <c r="W505" s="58"/>
      <c r="X505" s="13"/>
    </row>
    <row r="506" spans="1:24">
      <c r="A506" s="34" t="s">
        <v>260</v>
      </c>
      <c r="B506" s="9"/>
      <c r="C506" s="267"/>
      <c r="E506" s="231"/>
      <c r="F506" s="232"/>
      <c r="G506" s="232"/>
      <c r="H506" s="213">
        <v>206563.33000000002</v>
      </c>
      <c r="J506" s="52"/>
      <c r="K506" s="58"/>
      <c r="L506" s="13"/>
      <c r="N506" s="52"/>
      <c r="O506" s="58"/>
      <c r="P506" s="13"/>
      <c r="R506" s="52"/>
      <c r="S506" s="58"/>
      <c r="T506" s="13"/>
      <c r="V506" s="52"/>
      <c r="W506" s="58"/>
      <c r="X506" s="13"/>
    </row>
    <row r="507" spans="1:24">
      <c r="A507" s="34" t="s">
        <v>261</v>
      </c>
      <c r="B507" s="9"/>
      <c r="C507" s="267"/>
      <c r="E507" s="231"/>
      <c r="F507" s="232"/>
      <c r="G507" s="232"/>
      <c r="H507" s="213">
        <v>4661.6400000000003</v>
      </c>
      <c r="J507" s="52"/>
      <c r="K507" s="58"/>
      <c r="L507" s="13"/>
      <c r="N507" s="52"/>
      <c r="O507" s="58"/>
      <c r="P507" s="13"/>
      <c r="R507" s="52"/>
      <c r="S507" s="58"/>
      <c r="T507" s="13"/>
      <c r="V507" s="52"/>
      <c r="W507" s="58"/>
      <c r="X507" s="13"/>
    </row>
    <row r="508" spans="1:24">
      <c r="A508" s="34" t="s">
        <v>262</v>
      </c>
      <c r="B508" s="9"/>
      <c r="C508" s="267"/>
      <c r="E508" s="231"/>
      <c r="F508" s="232"/>
      <c r="G508" s="232"/>
      <c r="H508" s="213">
        <v>0</v>
      </c>
      <c r="J508" s="52"/>
      <c r="K508" s="58"/>
      <c r="L508" s="13"/>
      <c r="N508" s="52"/>
      <c r="O508" s="58"/>
      <c r="P508" s="13"/>
      <c r="R508" s="52"/>
      <c r="S508" s="58"/>
      <c r="T508" s="13"/>
      <c r="V508" s="52"/>
      <c r="W508" s="58"/>
      <c r="X508" s="13"/>
    </row>
    <row r="509" spans="1:24" ht="16.5" thickBot="1">
      <c r="A509" s="34" t="s">
        <v>263</v>
      </c>
      <c r="B509" s="9"/>
      <c r="C509" s="268"/>
      <c r="E509" s="263"/>
      <c r="F509" s="232"/>
      <c r="G509" s="232"/>
      <c r="H509" s="222">
        <v>2965395.6200000006</v>
      </c>
      <c r="J509" s="101"/>
      <c r="K509" s="58"/>
      <c r="L509" s="39">
        <f>SUM(L503:L508)</f>
        <v>0</v>
      </c>
      <c r="N509" s="101"/>
      <c r="O509" s="58"/>
      <c r="P509" s="39">
        <f>SUM(P503:P508)</f>
        <v>0</v>
      </c>
      <c r="R509" s="101"/>
      <c r="S509" s="58"/>
      <c r="T509" s="39">
        <f>SUM(T503:T508)</f>
        <v>0</v>
      </c>
      <c r="V509" s="101"/>
      <c r="W509" s="58"/>
      <c r="X509" s="39">
        <f>SUM(X503:X508)</f>
        <v>0</v>
      </c>
    </row>
    <row r="510" spans="1:24" ht="16.5" thickTop="1">
      <c r="A510" s="43"/>
      <c r="B510" s="9"/>
      <c r="E510" s="231"/>
      <c r="F510" s="232"/>
      <c r="G510" s="232"/>
      <c r="H510" s="213"/>
      <c r="J510" s="52"/>
      <c r="K510" s="58"/>
      <c r="L510" s="13"/>
      <c r="N510" s="52"/>
      <c r="O510" s="58"/>
      <c r="P510" s="13"/>
      <c r="R510" s="52"/>
      <c r="S510" s="58"/>
      <c r="T510" s="13"/>
      <c r="V510" s="52"/>
      <c r="W510" s="58"/>
      <c r="X510" s="13"/>
    </row>
    <row r="511" spans="1:24" ht="16.5" thickBot="1">
      <c r="A511" s="38" t="s">
        <v>264</v>
      </c>
      <c r="B511" s="40"/>
      <c r="C511" s="268">
        <v>23244284921.518604</v>
      </c>
      <c r="E511" s="200"/>
      <c r="H511" s="222">
        <f>H29+H49+H71+H86+H101+H113+H153+H165+H176+H184+H200+H216+H268+H351+H360+H366+H383+H396+H457+H464+H469+H491+H500+H509</f>
        <v>1938306488.6199999</v>
      </c>
      <c r="J511" s="38"/>
      <c r="L511" s="39">
        <f>L29+L49+L71+L86+L101+L113+L153+L165+L176+L184+L200+L216+L268+L351+L360+L366+L383+L396+L457+L464+L469+L491+L500+L509</f>
        <v>14242826.354999999</v>
      </c>
      <c r="N511" s="38"/>
      <c r="P511" s="39">
        <f>P29+P49+P71+P86+P101+P113+P153+P165+P176+P184+P200+P216+P268+P351+P360+P366+P383+P396+P457+P464+P469+P491+P500+P509</f>
        <v>7137158.2791000009</v>
      </c>
      <c r="R511" s="38"/>
      <c r="T511" s="39">
        <f>T29+T49+T71+T86+T101+T113+T153+T165+T176+T184+T200+T216+T268+T351+T360+T366+T383+T396+T457+T464+T469+T491+T500+T509</f>
        <v>74513471.498249039</v>
      </c>
      <c r="V511" s="38"/>
      <c r="X511" s="39">
        <f>X29+X49+X71+X86+X101+X113+X153+X165+X176+X184+X200+X216+X268+X351+X360+X366+X383+X396+X457+X464+X469+X491+X500+X509</f>
        <v>68578884.37718758</v>
      </c>
    </row>
    <row r="512" spans="1:24" s="9" customFormat="1" ht="16.5" thickTop="1">
      <c r="A512" s="7"/>
      <c r="B512" s="8"/>
      <c r="C512" s="89"/>
      <c r="D512" s="55"/>
      <c r="E512" s="89"/>
      <c r="F512" s="55"/>
      <c r="G512" s="55"/>
      <c r="H512" s="213"/>
      <c r="J512" s="7"/>
      <c r="L512" s="13"/>
      <c r="N512" s="7"/>
      <c r="P512" s="13"/>
      <c r="R512" s="7"/>
      <c r="T512" s="13"/>
      <c r="V512" s="7"/>
      <c r="X512" s="13"/>
    </row>
    <row r="513" spans="1:24" s="9" customFormat="1">
      <c r="A513" s="7"/>
      <c r="B513" s="8"/>
      <c r="C513" s="89"/>
      <c r="D513" s="55"/>
      <c r="E513" s="89"/>
      <c r="F513" s="55"/>
      <c r="G513" s="55"/>
      <c r="H513" s="213"/>
      <c r="J513" s="7"/>
      <c r="L513" s="13"/>
      <c r="N513" s="7"/>
      <c r="P513" s="13"/>
      <c r="R513" s="7"/>
      <c r="T513" s="13"/>
      <c r="V513" s="7"/>
      <c r="X513" s="13"/>
    </row>
    <row r="514" spans="1:24" s="9" customFormat="1">
      <c r="A514" s="7"/>
      <c r="B514" s="8"/>
      <c r="C514" s="89"/>
      <c r="D514" s="55"/>
      <c r="E514" s="89"/>
      <c r="F514" s="55"/>
      <c r="G514" s="55"/>
      <c r="H514" s="213"/>
      <c r="J514" s="7"/>
      <c r="L514" s="13"/>
      <c r="N514" s="7"/>
      <c r="P514" s="13"/>
      <c r="R514" s="7"/>
      <c r="T514" s="13"/>
      <c r="V514" s="7"/>
      <c r="X514" s="13"/>
    </row>
  </sheetData>
  <printOptions horizontalCentered="1"/>
  <pageMargins left="0.25" right="0.25" top="0.75" bottom="0.5" header="0.3" footer="0.3"/>
  <pageSetup scale="59" fitToHeight="11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zoomScale="80" zoomScaleNormal="80" workbookViewId="0">
      <selection activeCell="AE19" sqref="AE19"/>
    </sheetView>
  </sheetViews>
  <sheetFormatPr defaultColWidth="9" defaultRowHeight="15.75"/>
  <cols>
    <col min="1" max="1" width="4.625" style="113" customWidth="1"/>
    <col min="2" max="2" width="1.625" style="113" customWidth="1"/>
    <col min="3" max="3" width="35.625" style="113" customWidth="1"/>
    <col min="4" max="4" width="1.5" style="129" customWidth="1"/>
    <col min="5" max="5" width="6.875" style="113" bestFit="1" customWidth="1"/>
    <col min="6" max="6" width="0.75" style="129" customWidth="1"/>
    <col min="7" max="7" width="10.125" style="129" bestFit="1" customWidth="1"/>
    <col min="8" max="8" width="0.75" style="129" customWidth="1"/>
    <col min="9" max="9" width="13.375" style="129" customWidth="1"/>
    <col min="10" max="10" width="1.75" style="129" customWidth="1"/>
    <col min="11" max="11" width="9.875" style="129" bestFit="1" customWidth="1"/>
    <col min="12" max="12" width="1.75" style="129" customWidth="1"/>
    <col min="13" max="13" width="7.375" style="129" bestFit="1" customWidth="1"/>
    <col min="14" max="14" width="1.875" style="129" customWidth="1"/>
    <col min="15" max="15" width="9.875" style="129" bestFit="1" customWidth="1"/>
    <col min="16" max="16" width="1.75" style="129" customWidth="1"/>
    <col min="17" max="17" width="9.875" style="129" bestFit="1" customWidth="1"/>
    <col min="18" max="18" width="1.75" style="129" customWidth="1"/>
    <col min="19" max="19" width="7.375" style="129" bestFit="1" customWidth="1"/>
    <col min="20" max="20" width="1.875" style="129" customWidth="1"/>
    <col min="21" max="21" width="9.875" style="129" bestFit="1" customWidth="1"/>
    <col min="22" max="22" width="2.125" style="113" customWidth="1"/>
    <col min="23" max="23" width="6.125" style="113" bestFit="1" customWidth="1"/>
    <col min="24" max="24" width="1.5" style="113" customWidth="1"/>
    <col min="25" max="25" width="5.125" style="113" bestFit="1" customWidth="1"/>
    <col min="26" max="26" width="1.125" style="113" customWidth="1"/>
    <col min="27" max="27" width="7.25" style="113" bestFit="1" customWidth="1"/>
    <col min="28" max="28" width="1.125" style="113" customWidth="1"/>
    <col min="29" max="29" width="5.625" style="113" bestFit="1" customWidth="1"/>
    <col min="30" max="16384" width="9" style="113"/>
  </cols>
  <sheetData>
    <row r="1" spans="1:29">
      <c r="A1" s="353" t="s">
        <v>351</v>
      </c>
      <c r="B1" s="110"/>
      <c r="C1" s="110"/>
      <c r="D1" s="111"/>
      <c r="E1" s="110"/>
      <c r="F1" s="111"/>
      <c r="G1" s="111"/>
      <c r="H1" s="111"/>
      <c r="I1" s="111"/>
      <c r="J1" s="111"/>
      <c r="K1" s="112"/>
      <c r="L1" s="111"/>
      <c r="M1" s="112"/>
      <c r="N1" s="112"/>
      <c r="O1" s="112"/>
      <c r="P1" s="111"/>
      <c r="Q1" s="112"/>
      <c r="R1" s="111"/>
      <c r="S1" s="112"/>
      <c r="T1" s="112"/>
      <c r="U1" s="112"/>
      <c r="V1" s="116"/>
      <c r="W1" s="116"/>
      <c r="X1" s="116"/>
      <c r="Y1" s="116"/>
      <c r="Z1" s="116"/>
      <c r="AA1" s="116"/>
      <c r="AB1" s="116"/>
      <c r="AC1" s="116"/>
    </row>
    <row r="2" spans="1:29" s="115" customFormat="1">
      <c r="A2" s="110" t="s">
        <v>265</v>
      </c>
      <c r="B2" s="110"/>
      <c r="C2" s="110"/>
      <c r="D2" s="111"/>
      <c r="E2" s="110"/>
      <c r="F2" s="111"/>
      <c r="G2" s="111"/>
      <c r="H2" s="111"/>
      <c r="I2" s="111"/>
      <c r="J2" s="111"/>
      <c r="K2" s="112"/>
      <c r="L2" s="111"/>
      <c r="M2" s="112"/>
      <c r="N2" s="112"/>
      <c r="O2" s="112"/>
      <c r="P2" s="111"/>
      <c r="Q2" s="112"/>
      <c r="R2" s="111"/>
      <c r="S2" s="112"/>
      <c r="T2" s="112"/>
      <c r="U2" s="112"/>
      <c r="V2" s="116"/>
      <c r="W2" s="116"/>
      <c r="X2" s="116"/>
      <c r="Y2" s="116"/>
      <c r="Z2" s="116"/>
      <c r="AA2" s="116"/>
      <c r="AB2" s="116"/>
      <c r="AC2" s="116"/>
    </row>
    <row r="3" spans="1:29" s="115" customFormat="1">
      <c r="A3" s="110" t="s">
        <v>348</v>
      </c>
      <c r="B3" s="110"/>
      <c r="C3" s="110"/>
      <c r="D3" s="111"/>
      <c r="E3" s="110"/>
      <c r="F3" s="111"/>
      <c r="G3" s="111"/>
      <c r="H3" s="111"/>
      <c r="I3" s="111"/>
      <c r="J3" s="111"/>
      <c r="K3" s="112"/>
      <c r="L3" s="111"/>
      <c r="M3" s="112"/>
      <c r="N3" s="112"/>
      <c r="O3" s="112"/>
      <c r="P3" s="111"/>
      <c r="Q3" s="112"/>
      <c r="R3" s="111"/>
      <c r="S3" s="112"/>
      <c r="T3" s="112"/>
      <c r="U3" s="112"/>
      <c r="V3" s="116"/>
      <c r="W3" s="116"/>
      <c r="X3" s="116"/>
      <c r="Y3" s="116"/>
      <c r="Z3" s="116"/>
      <c r="AA3" s="116"/>
      <c r="AB3" s="116"/>
      <c r="AC3" s="116"/>
    </row>
    <row r="4" spans="1:29" s="115" customFormat="1">
      <c r="A4" s="110" t="s">
        <v>266</v>
      </c>
      <c r="B4" s="110"/>
      <c r="C4" s="110"/>
      <c r="D4" s="111"/>
      <c r="E4" s="110"/>
      <c r="F4" s="111"/>
      <c r="G4" s="111"/>
      <c r="H4" s="111"/>
      <c r="I4" s="111"/>
      <c r="J4" s="111"/>
      <c r="K4" s="112"/>
      <c r="L4" s="111"/>
      <c r="M4" s="112"/>
      <c r="N4" s="112"/>
      <c r="O4" s="112"/>
      <c r="P4" s="111"/>
      <c r="Q4" s="112"/>
      <c r="R4" s="111"/>
      <c r="S4" s="112"/>
      <c r="T4" s="112"/>
      <c r="U4" s="112"/>
      <c r="V4" s="116"/>
      <c r="W4" s="116"/>
      <c r="X4" s="116"/>
      <c r="Y4" s="116"/>
      <c r="Z4" s="116"/>
      <c r="AA4" s="116"/>
      <c r="AB4" s="116"/>
      <c r="AC4" s="116"/>
    </row>
    <row r="5" spans="1:29" s="115" customFormat="1">
      <c r="A5" s="110" t="s">
        <v>2</v>
      </c>
      <c r="B5" s="110"/>
      <c r="C5" s="110"/>
      <c r="D5" s="111"/>
      <c r="E5" s="110"/>
      <c r="F5" s="111"/>
      <c r="G5" s="111"/>
      <c r="H5" s="111"/>
      <c r="I5" s="111"/>
      <c r="J5" s="111"/>
      <c r="K5" s="112"/>
      <c r="L5" s="111"/>
      <c r="M5" s="112"/>
      <c r="N5" s="112"/>
      <c r="O5" s="112"/>
      <c r="P5" s="111"/>
      <c r="Q5" s="112"/>
      <c r="R5" s="111"/>
      <c r="S5" s="112"/>
      <c r="T5" s="112"/>
      <c r="U5" s="112"/>
      <c r="V5" s="116"/>
      <c r="W5" s="116"/>
      <c r="X5" s="116"/>
      <c r="Y5" s="116"/>
      <c r="Z5" s="116"/>
      <c r="AA5" s="116"/>
      <c r="AB5" s="116"/>
      <c r="AC5" s="116"/>
    </row>
    <row r="6" spans="1:29">
      <c r="A6" s="110" t="s">
        <v>3</v>
      </c>
      <c r="B6" s="110"/>
      <c r="C6" s="110"/>
      <c r="D6" s="111"/>
      <c r="E6" s="110"/>
      <c r="F6" s="111"/>
      <c r="G6" s="111"/>
      <c r="H6" s="111"/>
      <c r="I6" s="111"/>
      <c r="J6" s="111"/>
      <c r="K6" s="112"/>
      <c r="L6" s="111"/>
      <c r="M6" s="112"/>
      <c r="N6" s="112"/>
      <c r="O6" s="112"/>
      <c r="P6" s="111"/>
      <c r="Q6" s="112"/>
      <c r="R6" s="111"/>
      <c r="S6" s="112"/>
      <c r="T6" s="112"/>
      <c r="U6" s="112"/>
      <c r="V6" s="116"/>
      <c r="W6" s="116"/>
      <c r="X6" s="116"/>
      <c r="Y6" s="116"/>
      <c r="Z6" s="116"/>
      <c r="AA6" s="116"/>
      <c r="AB6" s="116"/>
      <c r="AC6" s="116"/>
    </row>
    <row r="7" spans="1:29">
      <c r="A7" s="110"/>
      <c r="B7" s="110"/>
      <c r="C7" s="110"/>
      <c r="D7" s="111"/>
      <c r="E7" s="110"/>
      <c r="F7" s="111"/>
      <c r="G7" s="111"/>
      <c r="H7" s="111"/>
      <c r="I7" s="111"/>
      <c r="J7" s="111"/>
      <c r="K7" s="112"/>
      <c r="L7" s="111"/>
      <c r="M7" s="112"/>
      <c r="N7" s="112"/>
      <c r="O7" s="112"/>
      <c r="P7" s="111"/>
      <c r="Q7" s="112"/>
      <c r="R7" s="111"/>
      <c r="S7" s="112"/>
      <c r="T7" s="112"/>
      <c r="U7" s="112"/>
    </row>
    <row r="8" spans="1:29" ht="12" customHeight="1">
      <c r="A8" s="110"/>
      <c r="B8" s="110"/>
      <c r="C8" s="110"/>
      <c r="D8" s="111"/>
      <c r="E8" s="110"/>
      <c r="F8" s="111"/>
      <c r="G8" s="111"/>
      <c r="H8" s="111"/>
      <c r="I8" s="111"/>
      <c r="J8" s="111"/>
      <c r="P8" s="111"/>
    </row>
    <row r="9" spans="1:29">
      <c r="D9" s="119"/>
      <c r="E9" s="120"/>
      <c r="F9" s="119"/>
      <c r="G9" s="119" t="s">
        <v>267</v>
      </c>
      <c r="H9" s="119"/>
      <c r="I9" s="119"/>
      <c r="J9" s="119"/>
      <c r="W9" s="152" t="s">
        <v>275</v>
      </c>
      <c r="X9" s="152"/>
      <c r="Y9" s="186"/>
      <c r="Z9" s="152"/>
      <c r="AA9" s="152"/>
      <c r="AB9" s="152"/>
      <c r="AC9" s="186"/>
    </row>
    <row r="10" spans="1:29" s="123" customFormat="1">
      <c r="A10" s="123" t="s">
        <v>268</v>
      </c>
      <c r="D10" s="119"/>
      <c r="E10" s="120" t="s">
        <v>269</v>
      </c>
      <c r="F10" s="119"/>
      <c r="G10" s="121" t="s">
        <v>85</v>
      </c>
      <c r="H10" s="119"/>
      <c r="I10" s="119" t="s">
        <v>270</v>
      </c>
      <c r="J10" s="121"/>
      <c r="K10" s="152" t="s">
        <v>321</v>
      </c>
      <c r="L10" s="152"/>
      <c r="M10" s="118"/>
      <c r="N10" s="118"/>
      <c r="O10" s="118"/>
      <c r="P10" s="119"/>
      <c r="Q10" s="152" t="s">
        <v>354</v>
      </c>
      <c r="R10" s="152"/>
      <c r="S10" s="118"/>
      <c r="T10" s="118"/>
      <c r="U10" s="118"/>
      <c r="W10" s="152" t="s">
        <v>313</v>
      </c>
      <c r="X10" s="152"/>
      <c r="Y10" s="186"/>
      <c r="Z10" s="121"/>
      <c r="AA10" s="152" t="s">
        <v>314</v>
      </c>
      <c r="AB10" s="152"/>
      <c r="AC10" s="186"/>
    </row>
    <row r="11" spans="1:29" s="123" customFormat="1">
      <c r="A11" s="185" t="s">
        <v>271</v>
      </c>
      <c r="C11" s="124" t="s">
        <v>272</v>
      </c>
      <c r="E11" s="124" t="s">
        <v>271</v>
      </c>
      <c r="G11" s="117" t="s">
        <v>273</v>
      </c>
      <c r="I11" s="117" t="s">
        <v>273</v>
      </c>
      <c r="K11" s="195" t="s">
        <v>313</v>
      </c>
      <c r="L11" s="121"/>
      <c r="M11" s="183" t="s">
        <v>312</v>
      </c>
      <c r="N11" s="184"/>
      <c r="O11" s="183" t="s">
        <v>314</v>
      </c>
      <c r="P11" s="121"/>
      <c r="Q11" s="195" t="s">
        <v>313</v>
      </c>
      <c r="R11" s="121"/>
      <c r="S11" s="183" t="s">
        <v>312</v>
      </c>
      <c r="T11" s="184"/>
      <c r="U11" s="183" t="s">
        <v>314</v>
      </c>
      <c r="W11" s="125" t="s">
        <v>274</v>
      </c>
      <c r="Y11" s="187" t="s">
        <v>320</v>
      </c>
      <c r="AA11" s="125" t="s">
        <v>274</v>
      </c>
      <c r="AC11" s="187" t="s">
        <v>320</v>
      </c>
    </row>
    <row r="12" spans="1:29" s="123" customFormat="1">
      <c r="C12" s="126">
        <v>-1</v>
      </c>
      <c r="D12" s="127"/>
      <c r="E12" s="126">
        <f>MIN($A12:D12)-1</f>
        <v>-2</v>
      </c>
      <c r="F12" s="127"/>
      <c r="G12" s="126">
        <f>MIN($A12:F12)-1</f>
        <v>-3</v>
      </c>
      <c r="H12" s="127"/>
      <c r="I12" s="126">
        <f>MIN($A12:H12)-1</f>
        <v>-4</v>
      </c>
      <c r="J12" s="127"/>
      <c r="K12" s="126">
        <f>MIN($A12:J12)-1</f>
        <v>-5</v>
      </c>
      <c r="L12" s="127"/>
      <c r="M12" s="126">
        <f>MIN($A12:L12)-1</f>
        <v>-6</v>
      </c>
      <c r="N12" s="126"/>
      <c r="O12" s="126">
        <f>MIN($A12:N12)-1</f>
        <v>-7</v>
      </c>
      <c r="P12" s="127"/>
      <c r="Q12" s="126">
        <f>MIN($A12:P12)-1</f>
        <v>-8</v>
      </c>
      <c r="R12" s="127"/>
      <c r="S12" s="126">
        <f>MIN($A12:R12)-1</f>
        <v>-9</v>
      </c>
      <c r="T12" s="126"/>
      <c r="U12" s="126">
        <f>MIN($A12:T12)-1</f>
        <v>-10</v>
      </c>
      <c r="W12" s="126">
        <f>MIN($A12:V12)-1</f>
        <v>-11</v>
      </c>
      <c r="X12" s="127"/>
      <c r="Y12" s="126">
        <f>MIN($A12:X12)-1</f>
        <v>-12</v>
      </c>
      <c r="Z12" s="127"/>
      <c r="AA12" s="126">
        <f>MIN($A12:Z12)-1</f>
        <v>-13</v>
      </c>
      <c r="AB12" s="127"/>
      <c r="AC12" s="126">
        <f>MIN($A12:AB12)-1</f>
        <v>-14</v>
      </c>
    </row>
    <row r="13" spans="1:29" s="123" customFormat="1">
      <c r="D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W13" s="188"/>
      <c r="X13" s="188"/>
      <c r="Y13" s="189"/>
      <c r="Z13" s="188"/>
      <c r="AA13" s="188"/>
      <c r="AB13" s="188"/>
      <c r="AC13" s="189"/>
    </row>
    <row r="14" spans="1:29" ht="18.75" customHeight="1">
      <c r="C14" s="123" t="s">
        <v>276</v>
      </c>
      <c r="W14" s="190"/>
      <c r="X14" s="190"/>
      <c r="Y14" s="191"/>
      <c r="Z14" s="190"/>
      <c r="AA14" s="190"/>
      <c r="AB14" s="190"/>
      <c r="AC14" s="191"/>
    </row>
    <row r="15" spans="1:29">
      <c r="A15" s="113">
        <v>1</v>
      </c>
      <c r="C15" s="113" t="s">
        <v>276</v>
      </c>
      <c r="E15" s="130" t="s">
        <v>277</v>
      </c>
      <c r="G15" s="108">
        <v>740189</v>
      </c>
      <c r="I15" s="108">
        <v>6200666.1794248829</v>
      </c>
      <c r="K15" s="153">
        <f>('Rate Design'!H29+'Rate Design'!L29+'Rate Design'!P29+'Rate Design'!H49+'Rate Design'!L49+'Rate Design'!P49)/1000</f>
        <v>691453.900608</v>
      </c>
      <c r="L15" s="154"/>
      <c r="M15" s="153">
        <f>('Rate Design'!T29+'Rate Design'!T49)/1000</f>
        <v>27654.509923526399</v>
      </c>
      <c r="N15" s="153"/>
      <c r="O15" s="153">
        <f>K15+M15</f>
        <v>719108.41053152643</v>
      </c>
      <c r="Q15" s="153">
        <f>K15</f>
        <v>691453.900608</v>
      </c>
      <c r="R15" s="154"/>
      <c r="S15" s="153">
        <f>('Rate Design'!X29+'Rate Design'!X49)/1000</f>
        <v>25483.024155859199</v>
      </c>
      <c r="T15" s="153"/>
      <c r="U15" s="153">
        <f>Q15+S15</f>
        <v>716936.92476385925</v>
      </c>
      <c r="W15" s="153">
        <f>Q15-K15</f>
        <v>0</v>
      </c>
      <c r="X15" s="132"/>
      <c r="Y15" s="192">
        <f>W15/K15</f>
        <v>0</v>
      </c>
      <c r="Z15" s="132"/>
      <c r="AA15" s="153">
        <f>U15-O15</f>
        <v>-2171.4857676671818</v>
      </c>
      <c r="AB15" s="132"/>
      <c r="AC15" s="192">
        <f>AA15/O15</f>
        <v>-3.0196917959312087E-3</v>
      </c>
    </row>
    <row r="16" spans="1:29">
      <c r="A16" s="113">
        <f>MAX(A$14:A15)+1</f>
        <v>2</v>
      </c>
      <c r="C16" s="113" t="s">
        <v>278</v>
      </c>
      <c r="E16" s="134">
        <v>2</v>
      </c>
      <c r="G16" s="108">
        <v>447</v>
      </c>
      <c r="I16" s="108">
        <v>3185.6706103628849</v>
      </c>
      <c r="K16" s="153">
        <f>('Rate Design'!H71+'Rate Design'!L71+'Rate Design'!P71)/1000</f>
        <v>355.00934100000001</v>
      </c>
      <c r="L16" s="154"/>
      <c r="M16" s="153">
        <f>'Rate Design'!T71/1000</f>
        <v>14.009773065299999</v>
      </c>
      <c r="N16" s="153"/>
      <c r="O16" s="153">
        <f>K16+M16</f>
        <v>369.01911406530002</v>
      </c>
      <c r="Q16" s="153">
        <f t="shared" ref="Q16:Q17" si="0">K16</f>
        <v>355.00934100000001</v>
      </c>
      <c r="R16" s="154"/>
      <c r="S16" s="153">
        <f>'Rate Design'!X71/1000</f>
        <v>12.9096985059</v>
      </c>
      <c r="T16" s="153"/>
      <c r="U16" s="153">
        <f>Q16+S16</f>
        <v>367.9190395059</v>
      </c>
      <c r="W16" s="153">
        <f t="shared" ref="W16:W17" si="1">Q16-K16</f>
        <v>0</v>
      </c>
      <c r="X16" s="132"/>
      <c r="Y16" s="192">
        <f t="shared" ref="Y16:Y18" si="2">W16/K16</f>
        <v>0</v>
      </c>
      <c r="Z16" s="132"/>
      <c r="AA16" s="153">
        <f t="shared" ref="AA16:AA17" si="3">U16-O16</f>
        <v>-1.1000745594000136</v>
      </c>
      <c r="AB16" s="132"/>
      <c r="AC16" s="192">
        <f t="shared" ref="AC16:AC17" si="4">AA16/O16</f>
        <v>-2.9810774495690464E-3</v>
      </c>
    </row>
    <row r="17" spans="1:29">
      <c r="A17" s="113">
        <f>MAX(A$14:A16)+1</f>
        <v>3</v>
      </c>
      <c r="C17" s="135" t="s">
        <v>279</v>
      </c>
      <c r="E17" s="136" t="s">
        <v>280</v>
      </c>
      <c r="G17" s="137"/>
      <c r="I17" s="137"/>
      <c r="K17" s="155">
        <v>33.04027</v>
      </c>
      <c r="L17" s="154"/>
      <c r="M17" s="155"/>
      <c r="N17" s="155"/>
      <c r="O17" s="155">
        <f>K17+M17</f>
        <v>33.04027</v>
      </c>
      <c r="Q17" s="155">
        <f t="shared" si="0"/>
        <v>33.04027</v>
      </c>
      <c r="R17" s="154"/>
      <c r="S17" s="155"/>
      <c r="T17" s="155"/>
      <c r="U17" s="155">
        <f>Q17+S17</f>
        <v>33.04027</v>
      </c>
      <c r="W17" s="155">
        <f t="shared" si="1"/>
        <v>0</v>
      </c>
      <c r="X17" s="132"/>
      <c r="Y17" s="193">
        <f t="shared" si="2"/>
        <v>0</v>
      </c>
      <c r="Z17" s="132"/>
      <c r="AA17" s="155">
        <f t="shared" si="3"/>
        <v>0</v>
      </c>
      <c r="AB17" s="132"/>
      <c r="AC17" s="193">
        <f t="shared" si="4"/>
        <v>0</v>
      </c>
    </row>
    <row r="18" spans="1:29">
      <c r="A18" s="113">
        <f>MAX(A$14:A17)+1</f>
        <v>4</v>
      </c>
      <c r="C18" s="123" t="s">
        <v>281</v>
      </c>
      <c r="G18" s="108">
        <f>SUM(G15:G17)</f>
        <v>740636</v>
      </c>
      <c r="I18" s="108">
        <f>SUM(I15:I17)</f>
        <v>6203851.8500352455</v>
      </c>
      <c r="K18" s="153">
        <f>SUM(K15:K17)</f>
        <v>691841.95021899999</v>
      </c>
      <c r="L18" s="154"/>
      <c r="M18" s="153">
        <f>SUM(M15:M17)</f>
        <v>27668.519696591698</v>
      </c>
      <c r="N18" s="153"/>
      <c r="O18" s="153">
        <f>SUM(O15:O17)</f>
        <v>719510.46991559176</v>
      </c>
      <c r="Q18" s="153">
        <f>SUM(Q15:Q17)</f>
        <v>691841.95021899999</v>
      </c>
      <c r="R18" s="154"/>
      <c r="S18" s="153">
        <f>SUM(S15:S17)</f>
        <v>25495.933854365099</v>
      </c>
      <c r="T18" s="153"/>
      <c r="U18" s="153">
        <f>SUM(U15:U17)</f>
        <v>717337.88407336513</v>
      </c>
      <c r="W18" s="153">
        <f>SUM(W15:W17)</f>
        <v>0</v>
      </c>
      <c r="X18" s="132"/>
      <c r="Y18" s="192">
        <f t="shared" si="2"/>
        <v>0</v>
      </c>
      <c r="Z18" s="132"/>
      <c r="AA18" s="153">
        <f>SUM(AA15:AA17)</f>
        <v>-2172.5858422265819</v>
      </c>
      <c r="AB18" s="132"/>
      <c r="AC18" s="192">
        <f>AA18/O18</f>
        <v>-3.0195333258756546E-3</v>
      </c>
    </row>
    <row r="19" spans="1:29" ht="24.75" customHeight="1">
      <c r="C19" s="123" t="s">
        <v>282</v>
      </c>
      <c r="G19" s="108"/>
      <c r="I19" s="108"/>
      <c r="K19" s="153"/>
      <c r="L19" s="154"/>
      <c r="M19" s="153"/>
      <c r="N19" s="153"/>
      <c r="O19" s="153"/>
      <c r="Q19" s="153"/>
      <c r="R19" s="154"/>
      <c r="S19" s="153"/>
      <c r="T19" s="153"/>
      <c r="U19" s="153"/>
      <c r="W19" s="153"/>
      <c r="X19" s="132"/>
      <c r="Y19" s="192"/>
      <c r="Z19" s="132"/>
      <c r="AA19" s="153"/>
      <c r="AB19" s="132"/>
      <c r="AC19" s="192"/>
    </row>
    <row r="20" spans="1:29">
      <c r="A20" s="113">
        <f>MAX(A$14:A19)+1</f>
        <v>5</v>
      </c>
      <c r="C20" s="113" t="s">
        <v>283</v>
      </c>
      <c r="E20" s="138">
        <v>6</v>
      </c>
      <c r="G20" s="108">
        <v>13072</v>
      </c>
      <c r="I20" s="108">
        <v>5783806.2612344306</v>
      </c>
      <c r="K20" s="153">
        <f>('Rate Design'!H86+'Rate Design'!L86+'Rate Design'!P86)/1000</f>
        <v>499804.08865659998</v>
      </c>
      <c r="L20" s="154"/>
      <c r="M20" s="153">
        <f>'Rate Design'!T86/1000</f>
        <v>19997.26993582362</v>
      </c>
      <c r="N20" s="153"/>
      <c r="O20" s="153">
        <f t="shared" ref="O20:O22" si="5">K20+M20</f>
        <v>519801.35859242361</v>
      </c>
      <c r="Q20" s="153">
        <f t="shared" ref="Q20:Q22" si="6">K20</f>
        <v>499804.08865659998</v>
      </c>
      <c r="R20" s="154"/>
      <c r="S20" s="153">
        <f>'Rate Design'!X86/1000</f>
        <v>18375.869670756838</v>
      </c>
      <c r="T20" s="153"/>
      <c r="U20" s="153">
        <f t="shared" ref="U20:U22" si="7">Q20+S20</f>
        <v>518179.95832735684</v>
      </c>
      <c r="W20" s="153">
        <f t="shared" ref="W20:W22" si="8">Q20-K20</f>
        <v>0</v>
      </c>
      <c r="X20" s="132"/>
      <c r="Y20" s="192">
        <f t="shared" ref="Y20:Y47" si="9">W20/K20</f>
        <v>0</v>
      </c>
      <c r="Z20" s="132"/>
      <c r="AA20" s="153">
        <f t="shared" ref="AA20:AA22" si="10">U20-O20</f>
        <v>-1621.400265066768</v>
      </c>
      <c r="AB20" s="132"/>
      <c r="AC20" s="192">
        <f t="shared" ref="AC20:AC47" si="11">AA20/O20</f>
        <v>-3.11926900202296E-3</v>
      </c>
    </row>
    <row r="21" spans="1:29">
      <c r="A21" s="113">
        <f>MAX(A$14:A20)+1</f>
        <v>6</v>
      </c>
      <c r="C21" s="113" t="s">
        <v>284</v>
      </c>
      <c r="E21" s="134" t="s">
        <v>285</v>
      </c>
      <c r="G21" s="108">
        <v>2276</v>
      </c>
      <c r="I21" s="108">
        <v>292031.09985016566</v>
      </c>
      <c r="K21" s="153">
        <f>('Rate Design'!H113+'Rate Design'!L113+'Rate Design'!P113)/1000</f>
        <v>34577.9444649</v>
      </c>
      <c r="L21" s="154"/>
      <c r="M21" s="153">
        <f>'Rate Design'!T113/1000</f>
        <v>1383.7207182328198</v>
      </c>
      <c r="N21" s="153"/>
      <c r="O21" s="153">
        <f t="shared" si="5"/>
        <v>35961.66518313282</v>
      </c>
      <c r="Q21" s="153">
        <f t="shared" si="6"/>
        <v>34577.9444649</v>
      </c>
      <c r="R21" s="154"/>
      <c r="S21" s="153">
        <f>'Rate Design'!X113/1000</f>
        <v>1271.16927225216</v>
      </c>
      <c r="T21" s="153"/>
      <c r="U21" s="153">
        <f t="shared" si="7"/>
        <v>35849.113737152162</v>
      </c>
      <c r="W21" s="153">
        <f t="shared" si="8"/>
        <v>0</v>
      </c>
      <c r="X21" s="132"/>
      <c r="Y21" s="192">
        <f t="shared" si="9"/>
        <v>0</v>
      </c>
      <c r="Z21" s="132"/>
      <c r="AA21" s="153">
        <f t="shared" si="10"/>
        <v>-112.55144598065817</v>
      </c>
      <c r="AB21" s="132"/>
      <c r="AC21" s="192">
        <f t="shared" si="11"/>
        <v>-3.129761800725747E-3</v>
      </c>
    </row>
    <row r="22" spans="1:29">
      <c r="A22" s="113">
        <f>MAX(A$14:A21)+1</f>
        <v>7</v>
      </c>
      <c r="C22" s="113" t="s">
        <v>286</v>
      </c>
      <c r="E22" s="134" t="s">
        <v>287</v>
      </c>
      <c r="G22" s="139">
        <v>37</v>
      </c>
      <c r="I22" s="139">
        <v>3907.4969999999998</v>
      </c>
      <c r="K22" s="155">
        <f>('Rate Design'!H101+'Rate Design'!L101+'Rate Design'!P101)/1000</f>
        <v>349.13026679999996</v>
      </c>
      <c r="L22" s="154"/>
      <c r="M22" s="155">
        <f>'Rate Design'!T101/1000</f>
        <v>13.24696545876</v>
      </c>
      <c r="N22" s="155"/>
      <c r="O22" s="155">
        <f t="shared" si="5"/>
        <v>362.37723225875993</v>
      </c>
      <c r="Q22" s="155">
        <f t="shared" si="6"/>
        <v>349.13026679999996</v>
      </c>
      <c r="R22" s="154"/>
      <c r="S22" s="155">
        <f>'Rate Design'!X101/1000</f>
        <v>12.172887178320002</v>
      </c>
      <c r="T22" s="155"/>
      <c r="U22" s="155">
        <f t="shared" si="7"/>
        <v>361.30315397831998</v>
      </c>
      <c r="W22" s="155">
        <f t="shared" si="8"/>
        <v>0</v>
      </c>
      <c r="X22" s="132"/>
      <c r="Y22" s="193">
        <f t="shared" si="9"/>
        <v>0</v>
      </c>
      <c r="Z22" s="132"/>
      <c r="AA22" s="155">
        <f t="shared" si="10"/>
        <v>-1.0740782804399487</v>
      </c>
      <c r="AB22" s="132"/>
      <c r="AC22" s="193">
        <f t="shared" si="11"/>
        <v>-2.9639783761938716E-3</v>
      </c>
    </row>
    <row r="23" spans="1:29">
      <c r="A23" s="113">
        <f>MAX(A$14:A22)+1</f>
        <v>8</v>
      </c>
      <c r="C23" s="140" t="s">
        <v>288</v>
      </c>
      <c r="G23" s="108">
        <f>SUM(G20:G22)</f>
        <v>15385</v>
      </c>
      <c r="I23" s="108">
        <f>SUM(I20:I22)</f>
        <v>6079744.8580845967</v>
      </c>
      <c r="K23" s="153">
        <f>SUM(K20:K22)</f>
        <v>534731.16338829999</v>
      </c>
      <c r="L23" s="154"/>
      <c r="M23" s="153">
        <f>SUM(M20:M22)</f>
        <v>21394.237619515199</v>
      </c>
      <c r="N23" s="153"/>
      <c r="O23" s="153">
        <f>SUM(O20:O22)</f>
        <v>556125.40100781526</v>
      </c>
      <c r="Q23" s="153">
        <f>SUM(Q20:Q22)</f>
        <v>534731.16338829999</v>
      </c>
      <c r="R23" s="154"/>
      <c r="S23" s="153">
        <f>SUM(S20:S22)</f>
        <v>19659.211830187316</v>
      </c>
      <c r="T23" s="153"/>
      <c r="U23" s="153">
        <f>SUM(U20:U22)</f>
        <v>554390.37521848734</v>
      </c>
      <c r="W23" s="153">
        <f>SUM(W20:W22)</f>
        <v>0</v>
      </c>
      <c r="X23" s="132"/>
      <c r="Y23" s="192">
        <f t="shared" si="9"/>
        <v>0</v>
      </c>
      <c r="Z23" s="132"/>
      <c r="AA23" s="153">
        <f>SUM(AA20:AA22)</f>
        <v>-1735.0257893278663</v>
      </c>
      <c r="AB23" s="132"/>
      <c r="AC23" s="192">
        <f t="shared" si="11"/>
        <v>-3.1198463263566768E-3</v>
      </c>
    </row>
    <row r="24" spans="1:29" ht="23.1" customHeight="1">
      <c r="A24" s="113">
        <f>MAX(A$14:A23)+1</f>
        <v>9</v>
      </c>
      <c r="C24" s="135" t="s">
        <v>289</v>
      </c>
      <c r="E24" s="113">
        <v>8</v>
      </c>
      <c r="F24" s="108"/>
      <c r="G24" s="108">
        <v>274</v>
      </c>
      <c r="I24" s="108">
        <v>2187047.3255884075</v>
      </c>
      <c r="K24" s="153">
        <f>('Rate Design'!H165+'Rate Design'!L165+'Rate Design'!P165)/1000</f>
        <v>169294.18385600002</v>
      </c>
      <c r="L24" s="154"/>
      <c r="M24" s="153">
        <f>'Rate Design'!T165/1000</f>
        <v>6779.4841986255997</v>
      </c>
      <c r="N24" s="153"/>
      <c r="O24" s="153">
        <f t="shared" ref="O24:O26" si="12">K24+M24</f>
        <v>176073.66805462562</v>
      </c>
      <c r="Q24" s="153">
        <f t="shared" ref="Q24:Q26" si="13">K24</f>
        <v>169294.18385600002</v>
      </c>
      <c r="R24" s="154"/>
      <c r="S24" s="153">
        <f>'Rate Design'!X165/1000</f>
        <v>6238.4779782864007</v>
      </c>
      <c r="T24" s="153"/>
      <c r="U24" s="153">
        <f t="shared" ref="U24:U26" si="14">Q24+S24</f>
        <v>175532.66183428641</v>
      </c>
      <c r="W24" s="153">
        <f t="shared" ref="W24:W26" si="15">Q24-K24</f>
        <v>0</v>
      </c>
      <c r="X24" s="132"/>
      <c r="Y24" s="192">
        <f t="shared" si="9"/>
        <v>0</v>
      </c>
      <c r="Z24" s="132"/>
      <c r="AA24" s="153">
        <f t="shared" ref="AA24:AA26" si="16">U24-O24</f>
        <v>-541.00622033921536</v>
      </c>
      <c r="AB24" s="132"/>
      <c r="AC24" s="192">
        <f t="shared" si="11"/>
        <v>-3.0726128802597103E-3</v>
      </c>
    </row>
    <row r="25" spans="1:29" ht="23.1" customHeight="1">
      <c r="A25" s="113">
        <f>MAX(A$14:A24)+1</f>
        <v>10</v>
      </c>
      <c r="C25" s="113" t="s">
        <v>290</v>
      </c>
      <c r="E25" s="113">
        <v>9</v>
      </c>
      <c r="G25" s="108">
        <v>149</v>
      </c>
      <c r="I25" s="108">
        <v>5027435.5407653069</v>
      </c>
      <c r="K25" s="153">
        <f>('Rate Design'!H176+'Rate Design'!L176+'Rate Design'!P176)/1000</f>
        <v>288973.31579149998</v>
      </c>
      <c r="L25" s="154"/>
      <c r="M25" s="153">
        <f>'Rate Design'!T176/1000</f>
        <v>11569.228816339148</v>
      </c>
      <c r="N25" s="153"/>
      <c r="O25" s="153">
        <f t="shared" si="12"/>
        <v>300542.54460783914</v>
      </c>
      <c r="Q25" s="153">
        <f t="shared" si="13"/>
        <v>288973.31579149998</v>
      </c>
      <c r="R25" s="154"/>
      <c r="S25" s="153">
        <f>'Rate Design'!X176/1000</f>
        <v>10645.998586606349</v>
      </c>
      <c r="T25" s="153"/>
      <c r="U25" s="153">
        <f t="shared" si="14"/>
        <v>299619.31437810633</v>
      </c>
      <c r="W25" s="153">
        <f t="shared" si="15"/>
        <v>0</v>
      </c>
      <c r="X25" s="132"/>
      <c r="Y25" s="192">
        <f t="shared" si="9"/>
        <v>0</v>
      </c>
      <c r="Z25" s="132"/>
      <c r="AA25" s="153">
        <f t="shared" si="16"/>
        <v>-923.23022973281331</v>
      </c>
      <c r="AB25" s="132"/>
      <c r="AC25" s="192">
        <f t="shared" si="11"/>
        <v>-3.0718786617631253E-3</v>
      </c>
    </row>
    <row r="26" spans="1:29">
      <c r="A26" s="113">
        <f>MAX(A$14:A25)+1</f>
        <v>11</v>
      </c>
      <c r="C26" s="113" t="s">
        <v>291</v>
      </c>
      <c r="E26" s="134" t="s">
        <v>292</v>
      </c>
      <c r="G26" s="139">
        <v>9</v>
      </c>
      <c r="I26" s="139">
        <v>42590.781425473026</v>
      </c>
      <c r="K26" s="155">
        <f>('Rate Design'!H184+'Rate Design'!L184+'Rate Design'!P184)/1000</f>
        <v>3339.4833149999999</v>
      </c>
      <c r="L26" s="154"/>
      <c r="M26" s="155">
        <f>'Rate Design'!T184/1000</f>
        <v>133.45390599449999</v>
      </c>
      <c r="N26" s="155"/>
      <c r="O26" s="155">
        <f t="shared" si="12"/>
        <v>3472.9372209945</v>
      </c>
      <c r="Q26" s="155">
        <f t="shared" si="13"/>
        <v>3339.4833149999999</v>
      </c>
      <c r="R26" s="154"/>
      <c r="S26" s="155">
        <f>'Rate Design'!X184/1000</f>
        <v>122.85706978650001</v>
      </c>
      <c r="T26" s="155"/>
      <c r="U26" s="155">
        <f t="shared" si="14"/>
        <v>3462.3403847865002</v>
      </c>
      <c r="W26" s="155">
        <f t="shared" si="15"/>
        <v>0</v>
      </c>
      <c r="X26" s="132"/>
      <c r="Y26" s="193">
        <f t="shared" si="9"/>
        <v>0</v>
      </c>
      <c r="Z26" s="132"/>
      <c r="AA26" s="155">
        <f t="shared" si="16"/>
        <v>-10.596836207999786</v>
      </c>
      <c r="AB26" s="132"/>
      <c r="AC26" s="193">
        <f t="shared" si="11"/>
        <v>-3.0512605134178925E-3</v>
      </c>
    </row>
    <row r="27" spans="1:29">
      <c r="A27" s="113">
        <f>MAX(A$14:A26)+1</f>
        <v>12</v>
      </c>
      <c r="C27" s="140" t="s">
        <v>293</v>
      </c>
      <c r="G27" s="108">
        <f>SUM(G25:G26)</f>
        <v>158</v>
      </c>
      <c r="I27" s="108">
        <f>SUM(I25:I26)</f>
        <v>5070026.3221907802</v>
      </c>
      <c r="K27" s="153">
        <f>SUM(K25:K26)</f>
        <v>292312.7991065</v>
      </c>
      <c r="L27" s="154"/>
      <c r="M27" s="153">
        <f>SUM(M25:M26)</f>
        <v>11702.682722333648</v>
      </c>
      <c r="N27" s="153"/>
      <c r="O27" s="153">
        <f>SUM(O25:O26)</f>
        <v>304015.48182883364</v>
      </c>
      <c r="Q27" s="153">
        <f>SUM(Q25:Q26)</f>
        <v>292312.7991065</v>
      </c>
      <c r="R27" s="154"/>
      <c r="S27" s="153">
        <f>SUM(S25:S26)</f>
        <v>10768.855656392849</v>
      </c>
      <c r="T27" s="153"/>
      <c r="U27" s="153">
        <f>SUM(U25:U26)</f>
        <v>303081.65476289281</v>
      </c>
      <c r="W27" s="153">
        <f>SUM(W25:W26)</f>
        <v>0</v>
      </c>
      <c r="X27" s="132"/>
      <c r="Y27" s="192">
        <f t="shared" si="9"/>
        <v>0</v>
      </c>
      <c r="Z27" s="132"/>
      <c r="AA27" s="153">
        <f>SUM(AA25:AA26)</f>
        <v>-933.8270659408131</v>
      </c>
      <c r="AB27" s="132"/>
      <c r="AC27" s="192">
        <f t="shared" si="11"/>
        <v>-3.0716431292356849E-3</v>
      </c>
    </row>
    <row r="28" spans="1:29" ht="23.1" customHeight="1">
      <c r="A28" s="113">
        <f>MAX(A$14:A27)+1</f>
        <v>13</v>
      </c>
      <c r="C28" s="113" t="s">
        <v>294</v>
      </c>
      <c r="E28" s="134">
        <v>10</v>
      </c>
      <c r="G28" s="108">
        <v>2784.3333333333335</v>
      </c>
      <c r="I28" s="108">
        <v>173133.39199999999</v>
      </c>
      <c r="K28" s="153">
        <f>('Rate Design'!H200+'Rate Design'!L200+'Rate Design'!P200)/1000</f>
        <v>13369.5241768</v>
      </c>
      <c r="L28" s="154"/>
      <c r="M28" s="153">
        <f>'Rate Design'!T200/1000</f>
        <v>534.50069856647997</v>
      </c>
      <c r="N28" s="153"/>
      <c r="O28" s="153">
        <f t="shared" ref="O28:O29" si="17">K28+M28</f>
        <v>13904.02487536648</v>
      </c>
      <c r="Q28" s="153">
        <f t="shared" ref="Q28:Q29" si="18">K28</f>
        <v>13369.5241768</v>
      </c>
      <c r="R28" s="154"/>
      <c r="S28" s="153">
        <f>'Rate Design'!X200/1000</f>
        <v>491.58458408304</v>
      </c>
      <c r="T28" s="153"/>
      <c r="U28" s="153">
        <f t="shared" ref="U28:U29" si="19">Q28+S28</f>
        <v>13861.10876088304</v>
      </c>
      <c r="W28" s="153">
        <f t="shared" ref="W28:W29" si="20">Q28-K28</f>
        <v>0</v>
      </c>
      <c r="X28" s="132"/>
      <c r="Y28" s="192">
        <f t="shared" si="9"/>
        <v>0</v>
      </c>
      <c r="Z28" s="132"/>
      <c r="AA28" s="153">
        <f t="shared" ref="AA28:AA29" si="21">U28-O28</f>
        <v>-42.916114483439742</v>
      </c>
      <c r="AB28" s="132"/>
      <c r="AC28" s="192">
        <f t="shared" si="11"/>
        <v>-3.0865964976424546E-3</v>
      </c>
    </row>
    <row r="29" spans="1:29">
      <c r="A29" s="113">
        <f>MAX(A$14:A28)+1</f>
        <v>14</v>
      </c>
      <c r="C29" s="113" t="s">
        <v>295</v>
      </c>
      <c r="E29" s="134" t="s">
        <v>296</v>
      </c>
      <c r="G29" s="139">
        <v>261</v>
      </c>
      <c r="I29" s="139">
        <v>16756.608</v>
      </c>
      <c r="K29" s="155">
        <f>('Rate Design'!H216+'Rate Design'!L216+'Rate Design'!P216)/1000</f>
        <v>1301.1633088000001</v>
      </c>
      <c r="L29" s="154"/>
      <c r="M29" s="155">
        <f>'Rate Design'!T216/1000</f>
        <v>52.06664349167999</v>
      </c>
      <c r="N29" s="155"/>
      <c r="O29" s="155">
        <f t="shared" si="17"/>
        <v>1353.2299522916801</v>
      </c>
      <c r="Q29" s="155">
        <f t="shared" si="18"/>
        <v>1301.1633088000001</v>
      </c>
      <c r="R29" s="154"/>
      <c r="S29" s="155">
        <f>'Rate Design'!X216/1000</f>
        <v>47.886110072640001</v>
      </c>
      <c r="T29" s="155"/>
      <c r="U29" s="155">
        <f t="shared" si="19"/>
        <v>1349.04941887264</v>
      </c>
      <c r="W29" s="155">
        <f t="shared" si="20"/>
        <v>0</v>
      </c>
      <c r="X29" s="132"/>
      <c r="Y29" s="193">
        <f t="shared" si="9"/>
        <v>0</v>
      </c>
      <c r="Z29" s="132"/>
      <c r="AA29" s="155">
        <f t="shared" si="21"/>
        <v>-4.1805334190401027</v>
      </c>
      <c r="AB29" s="132"/>
      <c r="AC29" s="193">
        <f t="shared" si="11"/>
        <v>-3.0893000941639042E-3</v>
      </c>
    </row>
    <row r="30" spans="1:29">
      <c r="A30" s="113">
        <f>MAX(A$14:A29)+1</f>
        <v>15</v>
      </c>
      <c r="C30" s="140" t="s">
        <v>297</v>
      </c>
      <c r="G30" s="108">
        <f>SUM(G28:G29)</f>
        <v>3045.3333333333335</v>
      </c>
      <c r="I30" s="108">
        <f>SUM(I28:I29)</f>
        <v>189890</v>
      </c>
      <c r="K30" s="153">
        <f>SUM(K28:K29)</f>
        <v>14670.687485599999</v>
      </c>
      <c r="L30" s="154"/>
      <c r="M30" s="153">
        <f>SUM(M28:M29)</f>
        <v>586.56734205815997</v>
      </c>
      <c r="N30" s="153"/>
      <c r="O30" s="153">
        <f>SUM(O28:O29)</f>
        <v>15257.25482765816</v>
      </c>
      <c r="Q30" s="153">
        <f>SUM(Q28:Q29)</f>
        <v>14670.687485599999</v>
      </c>
      <c r="R30" s="154"/>
      <c r="S30" s="153">
        <f>SUM(S28:S29)</f>
        <v>539.47069415568001</v>
      </c>
      <c r="T30" s="153"/>
      <c r="U30" s="153">
        <f>SUM(U28:U29)</f>
        <v>15210.158179755681</v>
      </c>
      <c r="W30" s="153">
        <f>SUM(W28:W29)</f>
        <v>0</v>
      </c>
      <c r="X30" s="132"/>
      <c r="Y30" s="192">
        <f t="shared" si="9"/>
        <v>0</v>
      </c>
      <c r="Z30" s="132"/>
      <c r="AA30" s="153">
        <f>SUM(AA28:AA29)</f>
        <v>-47.096647902479845</v>
      </c>
      <c r="AB30" s="132"/>
      <c r="AC30" s="192">
        <f t="shared" si="11"/>
        <v>-3.0868362909626202E-3</v>
      </c>
    </row>
    <row r="31" spans="1:29" ht="23.1" customHeight="1">
      <c r="A31" s="113">
        <f>MAX(A$14:A30)+1</f>
        <v>16</v>
      </c>
      <c r="C31" s="113" t="s">
        <v>298</v>
      </c>
      <c r="E31" s="113">
        <v>21</v>
      </c>
      <c r="G31" s="108">
        <v>5</v>
      </c>
      <c r="I31" s="108">
        <v>4048.7003377015881</v>
      </c>
      <c r="K31" s="153">
        <f>('Rate Design'!H383+'Rate Design'!L383+'Rate Design'!P383)/1000</f>
        <v>482.30669029999996</v>
      </c>
      <c r="L31" s="154"/>
      <c r="M31" s="153">
        <f>'Rate Design'!T383/1000</f>
        <v>19.272279626179998</v>
      </c>
      <c r="N31" s="153"/>
      <c r="O31" s="153">
        <f t="shared" ref="O31:O37" si="22">K31+M31</f>
        <v>501.57896992617998</v>
      </c>
      <c r="Q31" s="153">
        <f t="shared" ref="Q31:Q37" si="23">K31</f>
        <v>482.30669029999996</v>
      </c>
      <c r="R31" s="154"/>
      <c r="S31" s="153">
        <f>'Rate Design'!X383/1000</f>
        <v>17.753282217220004</v>
      </c>
      <c r="T31" s="153"/>
      <c r="U31" s="153">
        <f t="shared" ref="U31:U37" si="24">Q31+S31</f>
        <v>500.05997251721999</v>
      </c>
      <c r="W31" s="153">
        <f t="shared" ref="W31:W37" si="25">Q31-K31</f>
        <v>0</v>
      </c>
      <c r="X31" s="132"/>
      <c r="Y31" s="192">
        <f t="shared" si="9"/>
        <v>0</v>
      </c>
      <c r="Z31" s="132"/>
      <c r="AA31" s="153">
        <f t="shared" ref="AA31:AA37" si="26">U31-O31</f>
        <v>-1.51899740895999</v>
      </c>
      <c r="AB31" s="132"/>
      <c r="AC31" s="192">
        <f t="shared" si="11"/>
        <v>-3.028431214298217E-3</v>
      </c>
    </row>
    <row r="32" spans="1:29">
      <c r="A32" s="113">
        <f>MAX(A$14:A31)+1</f>
        <v>17</v>
      </c>
      <c r="C32" s="113" t="s">
        <v>299</v>
      </c>
      <c r="E32" s="138">
        <v>23</v>
      </c>
      <c r="G32" s="108">
        <v>82668</v>
      </c>
      <c r="I32" s="108">
        <v>1390888.2107534346</v>
      </c>
      <c r="K32" s="153">
        <f>('Rate Design'!H396+'Rate Design'!L396+'Rate Design'!P396)/1000</f>
        <v>140459.30447249999</v>
      </c>
      <c r="L32" s="154"/>
      <c r="M32" s="153">
        <f>'Rate Design'!T396/1000</f>
        <v>5613.1823523174999</v>
      </c>
      <c r="N32" s="153"/>
      <c r="O32" s="153">
        <f t="shared" si="22"/>
        <v>146072.48682481749</v>
      </c>
      <c r="Q32" s="153">
        <f t="shared" si="23"/>
        <v>140459.30447249999</v>
      </c>
      <c r="R32" s="154"/>
      <c r="S32" s="153">
        <f>'Rate Design'!X396/1000</f>
        <v>5169.3493291110008</v>
      </c>
      <c r="T32" s="153"/>
      <c r="U32" s="153">
        <f t="shared" si="24"/>
        <v>145628.65380161098</v>
      </c>
      <c r="W32" s="153">
        <f t="shared" si="25"/>
        <v>0</v>
      </c>
      <c r="X32" s="132"/>
      <c r="Y32" s="192">
        <f t="shared" si="9"/>
        <v>0</v>
      </c>
      <c r="Z32" s="132"/>
      <c r="AA32" s="153">
        <f t="shared" si="26"/>
        <v>-443.83302320650546</v>
      </c>
      <c r="AB32" s="132"/>
      <c r="AC32" s="192">
        <f t="shared" si="11"/>
        <v>-3.0384436717284594E-3</v>
      </c>
    </row>
    <row r="33" spans="1:29">
      <c r="A33" s="113">
        <f>MAX(A$14:A32)+1</f>
        <v>18</v>
      </c>
      <c r="C33" s="113" t="s">
        <v>300</v>
      </c>
      <c r="E33" s="113">
        <v>31</v>
      </c>
      <c r="G33" s="108">
        <v>4</v>
      </c>
      <c r="I33" s="108">
        <v>56282.44502511515</v>
      </c>
      <c r="K33" s="153">
        <f>('Rate Design'!H457+'Rate Design'!L457+'Rate Design'!P457)/1000</f>
        <v>4625.2402330000004</v>
      </c>
      <c r="L33" s="154"/>
      <c r="M33" s="153">
        <f>'Rate Design'!T457/1000</f>
        <v>185.0257693433</v>
      </c>
      <c r="N33" s="153"/>
      <c r="O33" s="153">
        <f t="shared" si="22"/>
        <v>4810.2660023433</v>
      </c>
      <c r="Q33" s="153">
        <f t="shared" si="23"/>
        <v>4625.2402330000004</v>
      </c>
      <c r="R33" s="154"/>
      <c r="S33" s="153">
        <f>'Rate Design'!X457/1000</f>
        <v>170.2249855977</v>
      </c>
      <c r="T33" s="153"/>
      <c r="U33" s="153">
        <f t="shared" si="24"/>
        <v>4795.4652185977002</v>
      </c>
      <c r="W33" s="153">
        <f t="shared" si="25"/>
        <v>0</v>
      </c>
      <c r="X33" s="132"/>
      <c r="Y33" s="192">
        <f t="shared" si="9"/>
        <v>0</v>
      </c>
      <c r="Z33" s="132"/>
      <c r="AA33" s="153">
        <f t="shared" si="26"/>
        <v>-14.800783745599801</v>
      </c>
      <c r="AB33" s="132"/>
      <c r="AC33" s="192">
        <f t="shared" si="11"/>
        <v>-3.0769158583724195E-3</v>
      </c>
    </row>
    <row r="34" spans="1:29">
      <c r="A34" s="113">
        <f>MAX(A$14:A33)+1</f>
        <v>19</v>
      </c>
      <c r="C34" s="135" t="s">
        <v>234</v>
      </c>
      <c r="E34" s="134" t="s">
        <v>280</v>
      </c>
      <c r="G34" s="108">
        <v>1</v>
      </c>
      <c r="I34" s="108">
        <v>535721.17000000004</v>
      </c>
      <c r="K34" s="153">
        <f>('Rate Design'!H464+'Rate Design'!L464+'Rate Design'!P464)/1000</f>
        <v>28283.041261200004</v>
      </c>
      <c r="L34" s="154"/>
      <c r="M34" s="153"/>
      <c r="N34" s="153"/>
      <c r="O34" s="153">
        <f t="shared" si="22"/>
        <v>28283.041261200004</v>
      </c>
      <c r="Q34" s="153">
        <f t="shared" si="23"/>
        <v>28283.041261200004</v>
      </c>
      <c r="R34" s="154"/>
      <c r="S34" s="153"/>
      <c r="T34" s="153"/>
      <c r="U34" s="153">
        <f t="shared" si="24"/>
        <v>28283.041261200004</v>
      </c>
      <c r="W34" s="153">
        <f t="shared" si="25"/>
        <v>0</v>
      </c>
      <c r="X34" s="132"/>
      <c r="Y34" s="192">
        <f t="shared" si="9"/>
        <v>0</v>
      </c>
      <c r="Z34" s="132"/>
      <c r="AA34" s="153">
        <f t="shared" si="26"/>
        <v>0</v>
      </c>
      <c r="AB34" s="132"/>
      <c r="AC34" s="192">
        <f t="shared" si="11"/>
        <v>0</v>
      </c>
    </row>
    <row r="35" spans="1:29">
      <c r="A35" s="113">
        <f>MAX(A$14:A34)+1</f>
        <v>20</v>
      </c>
      <c r="C35" s="135" t="s">
        <v>238</v>
      </c>
      <c r="E35" s="134" t="s">
        <v>280</v>
      </c>
      <c r="G35" s="108">
        <v>1</v>
      </c>
      <c r="I35" s="108">
        <v>795798.67578575748</v>
      </c>
      <c r="K35" s="153">
        <f>('Rate Design'!H469+'Rate Design'!L469+'Rate Design'!P469)/1000</f>
        <v>35473.125812999999</v>
      </c>
      <c r="L35" s="154"/>
      <c r="M35" s="153"/>
      <c r="N35" s="153"/>
      <c r="O35" s="153">
        <f t="shared" si="22"/>
        <v>35473.125812999999</v>
      </c>
      <c r="Q35" s="153">
        <f t="shared" si="23"/>
        <v>35473.125812999999</v>
      </c>
      <c r="R35" s="154"/>
      <c r="S35" s="153"/>
      <c r="T35" s="153"/>
      <c r="U35" s="153">
        <f t="shared" si="24"/>
        <v>35473.125812999999</v>
      </c>
      <c r="W35" s="153">
        <f t="shared" si="25"/>
        <v>0</v>
      </c>
      <c r="X35" s="132"/>
      <c r="Y35" s="192">
        <f t="shared" si="9"/>
        <v>0</v>
      </c>
      <c r="Z35" s="132"/>
      <c r="AA35" s="153">
        <f t="shared" si="26"/>
        <v>0</v>
      </c>
      <c r="AB35" s="132"/>
      <c r="AC35" s="192">
        <f t="shared" si="11"/>
        <v>0</v>
      </c>
    </row>
    <row r="36" spans="1:29">
      <c r="A36" s="113">
        <f>MAX(A$14:A35)+1</f>
        <v>21</v>
      </c>
      <c r="C36" s="135" t="s">
        <v>240</v>
      </c>
      <c r="E36" s="134" t="s">
        <v>280</v>
      </c>
      <c r="G36" s="108">
        <v>1</v>
      </c>
      <c r="I36" s="108">
        <v>621809.33325000003</v>
      </c>
      <c r="K36" s="153">
        <f>('Rate Design'!H491+'Rate Design'!L491+'Rate Design'!P491)/1000</f>
        <v>30459.230454500001</v>
      </c>
      <c r="L36" s="154"/>
      <c r="M36" s="153"/>
      <c r="N36" s="153"/>
      <c r="O36" s="153">
        <f t="shared" si="22"/>
        <v>30459.230454500001</v>
      </c>
      <c r="Q36" s="153">
        <f t="shared" si="23"/>
        <v>30459.230454500001</v>
      </c>
      <c r="R36" s="154"/>
      <c r="S36" s="153"/>
      <c r="T36" s="153"/>
      <c r="U36" s="153">
        <f t="shared" si="24"/>
        <v>30459.230454500001</v>
      </c>
      <c r="W36" s="153">
        <f t="shared" si="25"/>
        <v>0</v>
      </c>
      <c r="X36" s="132"/>
      <c r="Y36" s="192">
        <f t="shared" si="9"/>
        <v>0</v>
      </c>
      <c r="Z36" s="132"/>
      <c r="AA36" s="153">
        <f t="shared" si="26"/>
        <v>0</v>
      </c>
      <c r="AB36" s="132"/>
      <c r="AC36" s="192">
        <f t="shared" si="11"/>
        <v>0</v>
      </c>
    </row>
    <row r="37" spans="1:29">
      <c r="A37" s="113">
        <f>MAX(A$14:A36)+1</f>
        <v>22</v>
      </c>
      <c r="C37" s="135" t="s">
        <v>279</v>
      </c>
      <c r="E37" s="136" t="s">
        <v>280</v>
      </c>
      <c r="G37" s="137"/>
      <c r="I37" s="137"/>
      <c r="K37" s="155">
        <v>2927.6937100000005</v>
      </c>
      <c r="L37" s="154"/>
      <c r="M37" s="155"/>
      <c r="N37" s="155"/>
      <c r="O37" s="155">
        <f t="shared" si="22"/>
        <v>2927.6937100000005</v>
      </c>
      <c r="Q37" s="155">
        <f t="shared" si="23"/>
        <v>2927.6937100000005</v>
      </c>
      <c r="R37" s="154"/>
      <c r="S37" s="155"/>
      <c r="T37" s="155"/>
      <c r="U37" s="155">
        <f t="shared" si="24"/>
        <v>2927.6937100000005</v>
      </c>
      <c r="W37" s="155">
        <f t="shared" si="25"/>
        <v>0</v>
      </c>
      <c r="X37" s="132"/>
      <c r="Y37" s="193">
        <f t="shared" si="9"/>
        <v>0</v>
      </c>
      <c r="Z37" s="132"/>
      <c r="AA37" s="155">
        <f t="shared" si="26"/>
        <v>0</v>
      </c>
      <c r="AB37" s="132"/>
      <c r="AC37" s="193">
        <f t="shared" si="11"/>
        <v>0</v>
      </c>
    </row>
    <row r="38" spans="1:29">
      <c r="A38" s="113">
        <f>MAX(A$14:A37)+1</f>
        <v>23</v>
      </c>
      <c r="C38" s="123" t="s">
        <v>301</v>
      </c>
      <c r="G38" s="108">
        <f>SUM(G20:G22,G24:G26,G28:G29,G31:G37)</f>
        <v>101542.33333333333</v>
      </c>
      <c r="I38" s="108">
        <f>SUM(I20:I22,I24:I26,I28:I29,I31:I37)</f>
        <v>16931257.041015793</v>
      </c>
      <c r="K38" s="153">
        <f>SUM(K20:K22,K24:K26,K28:K29,K31:K37)</f>
        <v>1253718.7764708998</v>
      </c>
      <c r="L38" s="154"/>
      <c r="M38" s="153">
        <f>SUM(M20:M22,M24:M26,M28:M29,M31:M37)</f>
        <v>46280.452283819584</v>
      </c>
      <c r="N38" s="153"/>
      <c r="O38" s="153">
        <f>SUM(O20:O22,O24:O26,O28:O29,O31:O37)</f>
        <v>1299999.2287547195</v>
      </c>
      <c r="Q38" s="153">
        <f>SUM(Q20:Q22,Q24:Q26,Q28:Q29,Q31:Q37)</f>
        <v>1253718.7764708998</v>
      </c>
      <c r="R38" s="154"/>
      <c r="S38" s="153">
        <f>SUM(S20:S22,S24:S26,S28:S29,S31:S37)</f>
        <v>42563.343755948168</v>
      </c>
      <c r="T38" s="153"/>
      <c r="U38" s="153">
        <f>SUM(U20:U22,U24:U26,U28:U29,U31:U37)</f>
        <v>1296282.1202268484</v>
      </c>
      <c r="W38" s="153">
        <f>SUM(W20:W22,W24:W26,W28:W29,W31:W37)</f>
        <v>0</v>
      </c>
      <c r="X38" s="132"/>
      <c r="Y38" s="192">
        <f t="shared" si="9"/>
        <v>0</v>
      </c>
      <c r="Z38" s="132"/>
      <c r="AA38" s="153">
        <f>SUM(AA20:AA22,AA24:AA26,AA28:AA29,AA31:AA37)</f>
        <v>-3717.1085278714399</v>
      </c>
      <c r="AB38" s="132"/>
      <c r="AC38" s="192">
        <f t="shared" si="11"/>
        <v>-2.8593159485425929E-3</v>
      </c>
    </row>
    <row r="39" spans="1:29" ht="28.5" customHeight="1">
      <c r="C39" s="123" t="s">
        <v>302</v>
      </c>
      <c r="G39" s="108"/>
      <c r="I39" s="108"/>
      <c r="K39" s="153"/>
      <c r="L39" s="154"/>
      <c r="M39" s="153"/>
      <c r="N39" s="153"/>
      <c r="O39" s="153"/>
      <c r="Q39" s="153"/>
      <c r="R39" s="154"/>
      <c r="S39" s="153"/>
      <c r="T39" s="153"/>
      <c r="U39" s="153"/>
      <c r="W39" s="153"/>
      <c r="X39" s="132"/>
      <c r="Y39" s="192"/>
      <c r="Z39" s="132"/>
      <c r="AA39" s="153"/>
      <c r="AB39" s="132"/>
      <c r="AC39" s="192"/>
    </row>
    <row r="40" spans="1:29">
      <c r="A40" s="113">
        <f>MAX(A$14:A39)+1</f>
        <v>24</v>
      </c>
      <c r="C40" s="113" t="s">
        <v>303</v>
      </c>
      <c r="E40" s="113">
        <v>7</v>
      </c>
      <c r="G40" s="108">
        <v>8046</v>
      </c>
      <c r="I40" s="108">
        <v>12440.930563737753</v>
      </c>
      <c r="K40" s="153">
        <f>('Rate Design'!H153+'Rate Design'!L153+'Rate Design'!P153)/1000</f>
        <v>3014.3552060000002</v>
      </c>
      <c r="L40" s="154"/>
      <c r="M40" s="153">
        <f>'Rate Design'!T153/1000</f>
        <v>120.57420824</v>
      </c>
      <c r="N40" s="153"/>
      <c r="O40" s="153">
        <f>K40+M40</f>
        <v>3134.9294142400004</v>
      </c>
      <c r="Q40" s="153">
        <f t="shared" ref="Q40:Q44" si="27">K40</f>
        <v>3014.3552060000002</v>
      </c>
      <c r="R40" s="154"/>
      <c r="S40" s="153">
        <f>'Rate Design'!X153/1000</f>
        <v>110.9282715808</v>
      </c>
      <c r="T40" s="153"/>
      <c r="U40" s="153">
        <f>Q40+S40</f>
        <v>3125.2834775808001</v>
      </c>
      <c r="W40" s="153">
        <f>Q40-K40</f>
        <v>0</v>
      </c>
      <c r="X40" s="132"/>
      <c r="Y40" s="192">
        <f t="shared" si="9"/>
        <v>0</v>
      </c>
      <c r="Z40" s="132"/>
      <c r="AA40" s="153">
        <f t="shared" ref="AA40:AA44" si="28">U40-O40</f>
        <v>-9.645936659200288</v>
      </c>
      <c r="AB40" s="132"/>
      <c r="AC40" s="192">
        <f t="shared" si="11"/>
        <v>-3.0769230769231684E-3</v>
      </c>
    </row>
    <row r="41" spans="1:29">
      <c r="A41" s="113">
        <f>MAX(A$14:A40)+1</f>
        <v>25</v>
      </c>
      <c r="C41" s="113" t="s">
        <v>304</v>
      </c>
      <c r="E41" s="113">
        <v>11</v>
      </c>
      <c r="G41" s="108">
        <v>809.41666666666663</v>
      </c>
      <c r="I41" s="108">
        <v>16496.197391013095</v>
      </c>
      <c r="K41" s="153">
        <f>('Rate Design'!H268+'Rate Design'!L268+'Rate Design'!P268)/1000</f>
        <v>5004.7848889999996</v>
      </c>
      <c r="L41" s="154"/>
      <c r="M41" s="153">
        <f>'Rate Design'!T268/1000</f>
        <v>200.19139555999999</v>
      </c>
      <c r="N41" s="153"/>
      <c r="O41" s="153">
        <f t="shared" ref="O41:O44" si="29">K41+M41</f>
        <v>5204.9762845599998</v>
      </c>
      <c r="Q41" s="153">
        <f t="shared" si="27"/>
        <v>5004.7848889999996</v>
      </c>
      <c r="R41" s="154"/>
      <c r="S41" s="153">
        <f>'Rate Design'!X268/1000</f>
        <v>184.17608391519997</v>
      </c>
      <c r="T41" s="153"/>
      <c r="U41" s="153">
        <f t="shared" ref="U41:U44" si="30">Q41+S41</f>
        <v>5188.9609729151998</v>
      </c>
      <c r="W41" s="153">
        <f t="shared" ref="W41:W44" si="31">Q41-K41</f>
        <v>0</v>
      </c>
      <c r="X41" s="132"/>
      <c r="Y41" s="192">
        <f t="shared" si="9"/>
        <v>0</v>
      </c>
      <c r="Z41" s="132"/>
      <c r="AA41" s="153">
        <f t="shared" si="28"/>
        <v>-16.015311644800022</v>
      </c>
      <c r="AB41" s="132"/>
      <c r="AC41" s="192">
        <f t="shared" si="11"/>
        <v>-3.0769230769230813E-3</v>
      </c>
    </row>
    <row r="42" spans="1:29">
      <c r="A42" s="113">
        <f>MAX(A$14:A41)+1</f>
        <v>26</v>
      </c>
      <c r="C42" s="113" t="s">
        <v>305</v>
      </c>
      <c r="E42" s="113">
        <v>12</v>
      </c>
      <c r="G42" s="108">
        <v>839</v>
      </c>
      <c r="I42" s="141">
        <v>56516.774129293255</v>
      </c>
      <c r="K42" s="153">
        <f>('Rate Design'!H351+'Rate Design'!L351+'Rate Design'!P351)/1000</f>
        <v>4166.0058216999996</v>
      </c>
      <c r="L42" s="154"/>
      <c r="M42" s="153">
        <f>'Rate Design'!T351/1000</f>
        <v>166.640232868</v>
      </c>
      <c r="N42" s="153"/>
      <c r="O42" s="153">
        <f t="shared" si="29"/>
        <v>4332.6460545679993</v>
      </c>
      <c r="Q42" s="153">
        <f t="shared" si="27"/>
        <v>4166.0058216999996</v>
      </c>
      <c r="R42" s="154"/>
      <c r="S42" s="153">
        <f>'Rate Design'!X351/1000</f>
        <v>153.30901423856</v>
      </c>
      <c r="T42" s="153"/>
      <c r="U42" s="153">
        <f t="shared" si="30"/>
        <v>4319.3148359385596</v>
      </c>
      <c r="W42" s="153">
        <f t="shared" si="31"/>
        <v>0</v>
      </c>
      <c r="X42" s="132"/>
      <c r="Y42" s="192">
        <f t="shared" si="9"/>
        <v>0</v>
      </c>
      <c r="Z42" s="132"/>
      <c r="AA42" s="153">
        <f t="shared" si="28"/>
        <v>-13.331218629439718</v>
      </c>
      <c r="AB42" s="132"/>
      <c r="AC42" s="192">
        <f t="shared" si="11"/>
        <v>-3.0769230769230123E-3</v>
      </c>
    </row>
    <row r="43" spans="1:29">
      <c r="A43" s="113">
        <f>MAX(A$14:A42)+1</f>
        <v>27</v>
      </c>
      <c r="C43" s="113" t="s">
        <v>306</v>
      </c>
      <c r="E43" s="113">
        <v>15</v>
      </c>
      <c r="G43" s="108">
        <v>2466</v>
      </c>
      <c r="I43" s="141">
        <v>6177.9471587633907</v>
      </c>
      <c r="K43" s="153">
        <f>('Rate Design'!H366+'Rate Design'!L366+'Rate Design'!P366)/1000</f>
        <v>688.10322499999995</v>
      </c>
      <c r="L43" s="156"/>
      <c r="M43" s="157">
        <f>'Rate Design'!T366/1000</f>
        <v>27.421976744999998</v>
      </c>
      <c r="N43" s="157"/>
      <c r="O43" s="157">
        <f t="shared" si="29"/>
        <v>715.525201745</v>
      </c>
      <c r="Q43" s="153">
        <f t="shared" si="27"/>
        <v>688.10322499999995</v>
      </c>
      <c r="R43" s="156"/>
      <c r="S43" s="157">
        <f>'Rate Design'!X366/1000</f>
        <v>25.320675844999997</v>
      </c>
      <c r="T43" s="157"/>
      <c r="U43" s="157">
        <f t="shared" si="30"/>
        <v>713.42390084499993</v>
      </c>
      <c r="W43" s="157">
        <f t="shared" si="31"/>
        <v>0</v>
      </c>
      <c r="X43" s="142"/>
      <c r="Y43" s="194">
        <f t="shared" si="9"/>
        <v>0</v>
      </c>
      <c r="Z43" s="142"/>
      <c r="AA43" s="157">
        <f t="shared" si="28"/>
        <v>-2.1013009000000693</v>
      </c>
      <c r="AB43" s="142"/>
      <c r="AC43" s="194">
        <f t="shared" si="11"/>
        <v>-2.9367252122992787E-3</v>
      </c>
    </row>
    <row r="44" spans="1:29">
      <c r="A44" s="113">
        <f>MAX(A$14:A43)+1</f>
        <v>28</v>
      </c>
      <c r="C44" s="113" t="s">
        <v>307</v>
      </c>
      <c r="E44" s="113">
        <v>15</v>
      </c>
      <c r="G44" s="139">
        <v>515</v>
      </c>
      <c r="I44" s="139">
        <v>17536.444611929484</v>
      </c>
      <c r="K44" s="155">
        <f>('Rate Design'!H360+'Rate Design'!L360+'Rate Design'!P360)/1000</f>
        <v>1247.2527825</v>
      </c>
      <c r="L44" s="154"/>
      <c r="M44" s="155">
        <f>'Rate Design'!T360/1000</f>
        <v>49.671704424750004</v>
      </c>
      <c r="N44" s="155"/>
      <c r="O44" s="155">
        <f t="shared" si="29"/>
        <v>1296.92448692475</v>
      </c>
      <c r="Q44" s="155">
        <f t="shared" si="27"/>
        <v>1247.2527825</v>
      </c>
      <c r="R44" s="154"/>
      <c r="S44" s="155">
        <f>'Rate Design'!X360/1000</f>
        <v>45.872721294750008</v>
      </c>
      <c r="T44" s="155"/>
      <c r="U44" s="155">
        <f t="shared" si="30"/>
        <v>1293.1255037947499</v>
      </c>
      <c r="W44" s="155">
        <f t="shared" si="31"/>
        <v>0</v>
      </c>
      <c r="X44" s="132"/>
      <c r="Y44" s="193">
        <f t="shared" si="9"/>
        <v>0</v>
      </c>
      <c r="Z44" s="132"/>
      <c r="AA44" s="155">
        <f t="shared" si="28"/>
        <v>-3.7989831300001242</v>
      </c>
      <c r="AB44" s="132"/>
      <c r="AC44" s="193">
        <f t="shared" si="11"/>
        <v>-2.9292246143090583E-3</v>
      </c>
    </row>
    <row r="45" spans="1:29">
      <c r="A45" s="113">
        <f>MAX(A$14:A44)+1</f>
        <v>29</v>
      </c>
      <c r="C45" s="140" t="s">
        <v>308</v>
      </c>
      <c r="D45" s="143"/>
      <c r="F45" s="143"/>
      <c r="G45" s="108">
        <f>SUM(G40:G44)</f>
        <v>12675.416666666666</v>
      </c>
      <c r="H45" s="143"/>
      <c r="I45" s="108">
        <f>SUM(I40:I44)</f>
        <v>109168.29385473697</v>
      </c>
      <c r="J45" s="143"/>
      <c r="K45" s="153">
        <f>SUM(K40:K44)</f>
        <v>14120.5019242</v>
      </c>
      <c r="L45" s="153"/>
      <c r="M45" s="153">
        <f>SUM(M40:M44)</f>
        <v>564.49951783775009</v>
      </c>
      <c r="N45" s="153"/>
      <c r="O45" s="153">
        <f>SUM(O40:O44)</f>
        <v>14685.00144203775</v>
      </c>
      <c r="P45" s="143"/>
      <c r="Q45" s="153">
        <f>SUM(Q40:Q44)</f>
        <v>14120.5019242</v>
      </c>
      <c r="R45" s="153"/>
      <c r="S45" s="153">
        <f>SUM(S40:S44)</f>
        <v>519.60676687430998</v>
      </c>
      <c r="T45" s="153"/>
      <c r="U45" s="153">
        <f>SUM(U40:U44)</f>
        <v>14640.108691074311</v>
      </c>
      <c r="W45" s="153">
        <f>SUM(W40:W44)</f>
        <v>0</v>
      </c>
      <c r="X45" s="131"/>
      <c r="Y45" s="192">
        <f t="shared" si="9"/>
        <v>0</v>
      </c>
      <c r="Z45" s="131"/>
      <c r="AA45" s="153">
        <f>SUM(AA40:AA44)</f>
        <v>-44.892750963440221</v>
      </c>
      <c r="AB45" s="131"/>
      <c r="AC45" s="192">
        <f t="shared" si="11"/>
        <v>-3.0570477735826986E-3</v>
      </c>
    </row>
    <row r="46" spans="1:29" ht="23.1" customHeight="1">
      <c r="A46" s="113">
        <f>MAX(A$14:A45)+1</f>
        <v>30</v>
      </c>
      <c r="C46" s="135" t="s">
        <v>309</v>
      </c>
      <c r="E46" s="134" t="s">
        <v>280</v>
      </c>
      <c r="G46" s="108">
        <v>5</v>
      </c>
      <c r="I46" s="108">
        <v>7.7366128294616923</v>
      </c>
      <c r="K46" s="153">
        <v>0.58299999999999996</v>
      </c>
      <c r="L46" s="154"/>
      <c r="M46" s="153"/>
      <c r="N46" s="153"/>
      <c r="O46" s="153">
        <f t="shared" ref="O46:O47" si="32">K46+M46</f>
        <v>0.58299999999999996</v>
      </c>
      <c r="Q46" s="153">
        <f t="shared" ref="Q46:Q47" si="33">K46</f>
        <v>0.58299999999999996</v>
      </c>
      <c r="R46" s="154"/>
      <c r="S46" s="153"/>
      <c r="T46" s="153"/>
      <c r="U46" s="153">
        <f t="shared" ref="U46:U47" si="34">Q46+S46</f>
        <v>0.58299999999999996</v>
      </c>
      <c r="W46" s="153">
        <f t="shared" ref="W46:W47" si="35">Q46-K46</f>
        <v>0</v>
      </c>
      <c r="X46" s="132"/>
      <c r="Y46" s="192">
        <f t="shared" si="9"/>
        <v>0</v>
      </c>
      <c r="Z46" s="132"/>
      <c r="AA46" s="153">
        <f t="shared" ref="AA46:AA47" si="36">U46-O46</f>
        <v>0</v>
      </c>
      <c r="AB46" s="132"/>
      <c r="AC46" s="192">
        <f t="shared" si="11"/>
        <v>0</v>
      </c>
    </row>
    <row r="47" spans="1:29">
      <c r="A47" s="113">
        <f>MAX(A$14:A46)+1</f>
        <v>31</v>
      </c>
      <c r="C47" s="135" t="s">
        <v>279</v>
      </c>
      <c r="D47" s="144"/>
      <c r="E47" s="136" t="s">
        <v>280</v>
      </c>
      <c r="F47" s="144"/>
      <c r="G47" s="145"/>
      <c r="H47" s="144"/>
      <c r="I47" s="145"/>
      <c r="J47" s="144"/>
      <c r="K47" s="155">
        <v>4.6616400000000002</v>
      </c>
      <c r="L47" s="154"/>
      <c r="M47" s="155"/>
      <c r="N47" s="155"/>
      <c r="O47" s="155">
        <f t="shared" si="32"/>
        <v>4.6616400000000002</v>
      </c>
      <c r="P47" s="144"/>
      <c r="Q47" s="155">
        <f t="shared" si="33"/>
        <v>4.6616400000000002</v>
      </c>
      <c r="R47" s="154"/>
      <c r="S47" s="155"/>
      <c r="T47" s="155"/>
      <c r="U47" s="155">
        <f t="shared" si="34"/>
        <v>4.6616400000000002</v>
      </c>
      <c r="W47" s="155">
        <f t="shared" si="35"/>
        <v>0</v>
      </c>
      <c r="X47" s="132"/>
      <c r="Y47" s="193">
        <f t="shared" si="9"/>
        <v>0</v>
      </c>
      <c r="Z47" s="132"/>
      <c r="AA47" s="155">
        <f t="shared" si="36"/>
        <v>0</v>
      </c>
      <c r="AB47" s="132"/>
      <c r="AC47" s="193">
        <f t="shared" si="11"/>
        <v>0</v>
      </c>
    </row>
    <row r="48" spans="1:29">
      <c r="A48" s="113">
        <f>MAX(A$14:A47)+1</f>
        <v>32</v>
      </c>
      <c r="C48" s="123" t="s">
        <v>310</v>
      </c>
      <c r="E48" s="146"/>
      <c r="G48" s="139">
        <f>SUM(G45:G47)</f>
        <v>12680.416666666666</v>
      </c>
      <c r="I48" s="139">
        <f>SUM(I45:I47)</f>
        <v>109176.03046756644</v>
      </c>
      <c r="K48" s="155">
        <f>SUM(K45:K47)</f>
        <v>14125.746564200001</v>
      </c>
      <c r="L48" s="154"/>
      <c r="M48" s="171">
        <f>SUM(M45:M47)</f>
        <v>564.49951783775009</v>
      </c>
      <c r="N48" s="171"/>
      <c r="O48" s="171">
        <f>SUM(O45:O47)</f>
        <v>14690.246082037751</v>
      </c>
      <c r="Q48" s="155">
        <f>SUM(Q45:Q47)</f>
        <v>14125.746564200001</v>
      </c>
      <c r="R48" s="154"/>
      <c r="S48" s="171">
        <f>SUM(S45:S47)</f>
        <v>519.60676687430998</v>
      </c>
      <c r="T48" s="171"/>
      <c r="U48" s="171">
        <f>SUM(U45:U47)</f>
        <v>14645.353331074311</v>
      </c>
      <c r="W48" s="171">
        <f>SUM(W45:W47)</f>
        <v>0</v>
      </c>
      <c r="X48" s="132"/>
      <c r="Y48" s="196">
        <f t="shared" ref="Y48:Y50" si="37">W48/K48</f>
        <v>0</v>
      </c>
      <c r="Z48" s="132"/>
      <c r="AA48" s="171">
        <f>SUM(AA45:AA47)</f>
        <v>-44.892750963440221</v>
      </c>
      <c r="AB48" s="132"/>
      <c r="AC48" s="196">
        <f t="shared" ref="AC48:AC49" si="38">AA48/O48</f>
        <v>-3.0559563612982681E-3</v>
      </c>
    </row>
    <row r="49" spans="1:29" ht="27.75" customHeight="1" thickBot="1">
      <c r="A49" s="113">
        <f>MAX(A$14:A48)+1</f>
        <v>33</v>
      </c>
      <c r="C49" s="123" t="s">
        <v>311</v>
      </c>
      <c r="E49" s="146"/>
      <c r="G49" s="109">
        <f>G48+G38+G18</f>
        <v>854858.75</v>
      </c>
      <c r="I49" s="109">
        <f>I48+I38+I18</f>
        <v>23244284.921518605</v>
      </c>
      <c r="K49" s="158">
        <f>K48+K38+K18</f>
        <v>1959686.4732540997</v>
      </c>
      <c r="L49" s="154"/>
      <c r="M49" s="172">
        <f>M48+M38+M18</f>
        <v>74513.47149824904</v>
      </c>
      <c r="N49" s="172"/>
      <c r="O49" s="172">
        <f>O48+O38+O18</f>
        <v>2034199.9447523491</v>
      </c>
      <c r="Q49" s="158">
        <f>Q48+Q38+Q18</f>
        <v>1959686.4732540997</v>
      </c>
      <c r="R49" s="154"/>
      <c r="S49" s="172">
        <f>S48+S38+S18</f>
        <v>68578.884377187584</v>
      </c>
      <c r="T49" s="172"/>
      <c r="U49" s="172">
        <f>U48+U38+U18</f>
        <v>2028265.357631288</v>
      </c>
      <c r="W49" s="172">
        <f>W48+W38+W18</f>
        <v>0</v>
      </c>
      <c r="X49" s="132"/>
      <c r="Y49" s="197">
        <f t="shared" si="37"/>
        <v>0</v>
      </c>
      <c r="Z49" s="132"/>
      <c r="AA49" s="172">
        <f>AA48+AA38+AA18</f>
        <v>-5934.5871210614623</v>
      </c>
      <c r="AB49" s="132"/>
      <c r="AC49" s="197">
        <f t="shared" si="38"/>
        <v>-2.9174059985455168E-3</v>
      </c>
    </row>
    <row r="50" spans="1:29" ht="33" thickTop="1" thickBot="1">
      <c r="A50" s="113">
        <f>MAX(A$14:A49)+1</f>
        <v>34</v>
      </c>
      <c r="C50" s="147" t="s">
        <v>315</v>
      </c>
      <c r="E50" s="146"/>
      <c r="G50" s="109">
        <f>G49-G17-G34-G35-G36-G37-G46-G47</f>
        <v>854850.75</v>
      </c>
      <c r="I50" s="109">
        <f>I49-I17-I34-I35-I36-I37-I46-I47</f>
        <v>21290948.005870014</v>
      </c>
      <c r="K50" s="158">
        <f>K49-K17-K34-K35-K36-K37-K46-K47</f>
        <v>1862505.0971053995</v>
      </c>
      <c r="L50" s="154"/>
      <c r="M50" s="173">
        <f>M49-M17-M34-M35-M36-M37-M46-M47</f>
        <v>74513.47149824904</v>
      </c>
      <c r="N50" s="173"/>
      <c r="O50" s="173">
        <f>O49-O17-O34-O35-O36-O37-O46-O47</f>
        <v>1937018.5686036488</v>
      </c>
      <c r="Q50" s="158">
        <f>Q49-Q17-Q34-Q35-Q36-Q37-Q46-Q47</f>
        <v>1862505.0971053995</v>
      </c>
      <c r="R50" s="154"/>
      <c r="S50" s="173">
        <f>S49-S17-S34-S35-S36-S37-S46-S47</f>
        <v>68578.884377187584</v>
      </c>
      <c r="T50" s="173"/>
      <c r="U50" s="173">
        <f>U49-U17-U34-U35-U36-U37-U46-U47</f>
        <v>1931083.9814825878</v>
      </c>
      <c r="W50" s="173">
        <f>W49-W17-W34-W35-W36-W37-W46-W47</f>
        <v>0</v>
      </c>
      <c r="X50" s="132"/>
      <c r="Y50" s="198">
        <f t="shared" si="37"/>
        <v>0</v>
      </c>
      <c r="Z50" s="132"/>
      <c r="AA50" s="173">
        <f>AA49-AA17-AA34-AA35-AA36-AA37-AA46-AA47</f>
        <v>-5934.5871210614623</v>
      </c>
      <c r="AB50" s="132"/>
      <c r="AC50" s="198">
        <f>AA50/O50</f>
        <v>-3.0637739964153089E-3</v>
      </c>
    </row>
    <row r="51" spans="1:29" ht="16.5" thickTop="1"/>
  </sheetData>
  <printOptions horizontalCentered="1"/>
  <pageMargins left="0.25" right="0.25" top="1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zoomScaleNormal="100" workbookViewId="0">
      <selection activeCell="U33" sqref="U33"/>
    </sheetView>
  </sheetViews>
  <sheetFormatPr defaultColWidth="8" defaultRowHeight="12.75"/>
  <cols>
    <col min="1" max="1" width="7" style="281" customWidth="1"/>
    <col min="2" max="2" width="1.75" style="277" customWidth="1"/>
    <col min="3" max="3" width="7.875" style="282" bestFit="1" customWidth="1"/>
    <col min="4" max="4" width="1.5" style="277" customWidth="1"/>
    <col min="5" max="5" width="9" style="282" bestFit="1" customWidth="1"/>
    <col min="6" max="6" width="1.375" style="277" customWidth="1"/>
    <col min="7" max="7" width="8" style="289" bestFit="1" customWidth="1"/>
    <col min="8" max="8" width="1.375" style="277" customWidth="1"/>
    <col min="9" max="9" width="6.25" style="277" bestFit="1" customWidth="1"/>
    <col min="10" max="10" width="2.125" style="277" customWidth="1"/>
    <col min="11" max="11" width="7.875" style="282" bestFit="1" customWidth="1"/>
    <col min="12" max="12" width="0.875" style="277" customWidth="1"/>
    <col min="13" max="13" width="9" style="282" bestFit="1" customWidth="1"/>
    <col min="14" max="14" width="1.875" style="277" customWidth="1"/>
    <col min="15" max="15" width="7.375" style="289" bestFit="1" customWidth="1"/>
    <col min="16" max="16" width="0.75" style="277" customWidth="1"/>
    <col min="17" max="17" width="6.25" style="277" bestFit="1" customWidth="1"/>
    <col min="18" max="18" width="3.125" style="277" customWidth="1"/>
    <col min="19" max="19" width="10" style="277" bestFit="1" customWidth="1"/>
    <col min="20" max="20" width="7.625" style="277" bestFit="1" customWidth="1"/>
    <col min="21" max="21" width="9.75" style="277" customWidth="1"/>
    <col min="22" max="22" width="5.625" style="277" bestFit="1" customWidth="1"/>
    <col min="23" max="23" width="6.875" style="277" bestFit="1" customWidth="1"/>
    <col min="24" max="24" width="8.375" style="277" bestFit="1" customWidth="1"/>
    <col min="25" max="27" width="8.125" style="277" bestFit="1" customWidth="1"/>
    <col min="28" max="16384" width="8" style="277"/>
  </cols>
  <sheetData>
    <row r="1" spans="1:24" ht="16.5">
      <c r="A1" s="269" t="s">
        <v>265</v>
      </c>
      <c r="B1" s="270"/>
      <c r="C1" s="271"/>
      <c r="D1" s="270"/>
      <c r="E1" s="271"/>
      <c r="F1" s="270"/>
      <c r="G1" s="272"/>
      <c r="H1" s="270"/>
      <c r="I1" s="270"/>
      <c r="J1" s="270"/>
      <c r="K1" s="271"/>
      <c r="L1" s="270"/>
      <c r="M1" s="271"/>
      <c r="N1" s="270"/>
      <c r="O1" s="272"/>
      <c r="P1" s="270"/>
      <c r="Q1" s="273"/>
      <c r="R1" s="274"/>
      <c r="S1" s="274"/>
      <c r="T1" s="275"/>
      <c r="U1" s="276"/>
    </row>
    <row r="2" spans="1:24" ht="16.5">
      <c r="A2" s="269" t="s">
        <v>322</v>
      </c>
      <c r="B2" s="270"/>
      <c r="C2" s="271"/>
      <c r="D2" s="270"/>
      <c r="E2" s="271"/>
      <c r="F2" s="270"/>
      <c r="G2" s="272"/>
      <c r="H2" s="270"/>
      <c r="I2" s="270"/>
      <c r="J2" s="270"/>
      <c r="K2" s="271"/>
      <c r="L2" s="270"/>
      <c r="M2" s="271"/>
      <c r="N2" s="270"/>
      <c r="O2" s="272"/>
      <c r="P2" s="270"/>
      <c r="Q2" s="273"/>
      <c r="R2" s="274"/>
      <c r="S2" s="274"/>
      <c r="T2" s="275"/>
      <c r="U2" s="278"/>
    </row>
    <row r="3" spans="1:24" ht="16.5">
      <c r="A3" s="269" t="s">
        <v>323</v>
      </c>
      <c r="B3" s="270"/>
      <c r="C3" s="271"/>
      <c r="D3" s="270"/>
      <c r="E3" s="271"/>
      <c r="F3" s="270"/>
      <c r="G3" s="272"/>
      <c r="H3" s="270"/>
      <c r="I3" s="270"/>
      <c r="J3" s="270"/>
      <c r="K3" s="271"/>
      <c r="L3" s="270"/>
      <c r="M3" s="271"/>
      <c r="N3" s="270"/>
      <c r="O3" s="272"/>
      <c r="P3" s="270"/>
      <c r="Q3" s="273"/>
      <c r="R3" s="274"/>
      <c r="S3" s="274"/>
      <c r="T3" s="275"/>
      <c r="U3" s="276"/>
    </row>
    <row r="4" spans="1:24" ht="16.5">
      <c r="A4" s="269" t="s">
        <v>324</v>
      </c>
      <c r="B4" s="270"/>
      <c r="C4" s="271"/>
      <c r="D4" s="270"/>
      <c r="E4" s="271"/>
      <c r="F4" s="270"/>
      <c r="G4" s="272"/>
      <c r="H4" s="270"/>
      <c r="I4" s="270"/>
      <c r="J4" s="270"/>
      <c r="K4" s="271"/>
      <c r="L4" s="270"/>
      <c r="M4" s="271"/>
      <c r="N4" s="270"/>
      <c r="O4" s="272"/>
      <c r="P4" s="270"/>
      <c r="Q4" s="273"/>
      <c r="R4" s="274"/>
      <c r="S4" s="274"/>
      <c r="T4" s="279"/>
      <c r="U4" s="280"/>
    </row>
    <row r="5" spans="1:24" ht="16.5">
      <c r="A5" s="269"/>
      <c r="B5" s="270"/>
      <c r="C5" s="271"/>
      <c r="D5" s="270"/>
      <c r="E5" s="271"/>
      <c r="F5" s="270"/>
      <c r="G5" s="272"/>
      <c r="H5" s="270"/>
      <c r="I5" s="270"/>
      <c r="J5" s="270"/>
      <c r="K5" s="271"/>
      <c r="L5" s="270"/>
      <c r="M5" s="271"/>
      <c r="N5" s="270"/>
      <c r="O5" s="272"/>
      <c r="P5" s="270"/>
      <c r="Q5" s="273"/>
    </row>
    <row r="6" spans="1:24">
      <c r="G6" s="365"/>
      <c r="H6" s="365"/>
      <c r="I6" s="365"/>
      <c r="K6" s="283"/>
      <c r="L6" s="273"/>
      <c r="M6" s="283"/>
      <c r="O6" s="365"/>
      <c r="P6" s="365"/>
      <c r="Q6" s="365"/>
    </row>
    <row r="7" spans="1:24">
      <c r="C7" s="284" t="s">
        <v>325</v>
      </c>
      <c r="D7" s="285"/>
      <c r="E7" s="286"/>
      <c r="F7" s="287"/>
      <c r="G7" s="288"/>
      <c r="H7" s="287"/>
      <c r="I7" s="287"/>
      <c r="K7" s="284" t="s">
        <v>326</v>
      </c>
      <c r="L7" s="285"/>
      <c r="M7" s="286"/>
      <c r="N7" s="287"/>
      <c r="O7" s="288"/>
      <c r="P7" s="287"/>
      <c r="Q7" s="287"/>
      <c r="W7" s="270"/>
      <c r="X7" s="270"/>
    </row>
    <row r="8" spans="1:24" ht="15.75">
      <c r="C8" s="286" t="s">
        <v>327</v>
      </c>
      <c r="D8" s="287"/>
      <c r="E8" s="286"/>
      <c r="G8" s="286" t="s">
        <v>275</v>
      </c>
      <c r="H8" s="287"/>
      <c r="I8" s="286"/>
      <c r="K8" s="286" t="s">
        <v>327</v>
      </c>
      <c r="L8" s="287"/>
      <c r="M8" s="286"/>
      <c r="O8" s="286" t="s">
        <v>275</v>
      </c>
      <c r="P8" s="287"/>
      <c r="Q8" s="286"/>
      <c r="T8" s="289"/>
      <c r="U8" s="289"/>
      <c r="W8" s="270"/>
      <c r="X8" s="270"/>
    </row>
    <row r="9" spans="1:24">
      <c r="A9" s="290" t="s">
        <v>328</v>
      </c>
      <c r="C9" s="291" t="s">
        <v>318</v>
      </c>
      <c r="E9" s="292" t="s">
        <v>329</v>
      </c>
      <c r="G9" s="293" t="s">
        <v>330</v>
      </c>
      <c r="I9" s="294" t="s">
        <v>319</v>
      </c>
      <c r="K9" s="291" t="s">
        <v>318</v>
      </c>
      <c r="M9" s="292" t="s">
        <v>329</v>
      </c>
      <c r="O9" s="293" t="s">
        <v>330</v>
      </c>
      <c r="Q9" s="294" t="s">
        <v>319</v>
      </c>
      <c r="W9" s="295"/>
      <c r="X9" s="295"/>
    </row>
    <row r="10" spans="1:24">
      <c r="A10" s="281">
        <v>100</v>
      </c>
      <c r="C10" s="282">
        <f>ROUND($T$12+((MIN(400,$A10)*$T$13+MAX(0,MIN(600,$A10-400))*$T$14+MAX(0,$A10-1000)*$T$15)/100+MAX(0,$T$16-($T$12+(MIN(400,$A10)*$T$13+MAX(0,MIN(600,$A10-400))*$T$14+MAX(0,$A10-1000)*$T$15)/100)))*(1+$T$31)*(1+$T$18)+$T$17,2)</f>
        <v>15.59</v>
      </c>
      <c r="E10" s="282">
        <f>ROUND($U$12+((MIN(400,$A10)*$U$13+MAX(0,MIN(600,$A10-400))*$U$14+MAX(0,$A10-1000)*$U$15)/100+MAX(0,$U$16-($U$12+(MIN(400,$A10)*$U$13+MAX(0,MIN(600,$A10-400))*$U$14+MAX(0,$A10-1000)*$U$15)/100)))*(1+$U$31)*(1+$U$18)+$U$17,2)</f>
        <v>15.56</v>
      </c>
      <c r="F10" s="282"/>
      <c r="G10" s="296">
        <f t="shared" ref="G10:G16" si="0">E10-C10</f>
        <v>-2.9999999999999361E-2</v>
      </c>
      <c r="I10" s="297">
        <f t="shared" ref="I10:I16" si="1">ROUND(IF(C10=0,0,E10/C10-1),3)</f>
        <v>-2E-3</v>
      </c>
      <c r="K10" s="282">
        <f>ROUND($T$20+((MIN(400,$A10)*$T$21+MAX(0,MIN(600,$A10-400))*$T$22+MAX(0,$A10-1000)*$T$23)/100+MAX(0,$T$24-($T$20+(MIN(400,$A10)*$T$21+MAX(0,MIN(600,$A10-400))*$T$22+MAX(0,$A10-1000)*$T$23)/100)))*(1+$T$31)*(1+$T$26)+$T$25,2)</f>
        <v>15.59</v>
      </c>
      <c r="M10" s="282">
        <f>ROUND($U$20+((MIN(400,$A10)*$U$21+MAX(0,MIN(600,$A10-400))*$U$22+MAX(0,$A10-1000)*$U$23)/100+MAX(0,$U$24-($U$20+(MIN(400,$A10)*$U$21+MAX(0,MIN(600,$A10-400))*$U$22+MAX(0,$A10-1000)*$U$23)/100)))*(1+$U$31)*(1+$U$26)+$U$25,2)</f>
        <v>15.56</v>
      </c>
      <c r="N10" s="282"/>
      <c r="O10" s="296">
        <f t="shared" ref="O10:O18" si="2">M10-K10</f>
        <v>-2.9999999999999361E-2</v>
      </c>
      <c r="Q10" s="297">
        <f t="shared" ref="Q10:Q18" si="3">ROUND(IF(K10=0,0,M10/K10-1),3)</f>
        <v>-2E-3</v>
      </c>
      <c r="S10" s="298" t="s">
        <v>331</v>
      </c>
      <c r="T10" s="299" t="s">
        <v>318</v>
      </c>
      <c r="U10" s="300" t="s">
        <v>329</v>
      </c>
      <c r="W10" s="301"/>
      <c r="X10" s="301"/>
    </row>
    <row r="11" spans="1:24" ht="13.5">
      <c r="A11" s="281">
        <v>200</v>
      </c>
      <c r="C11" s="282">
        <f t="shared" ref="C11:C31" si="4">ROUND($T$12+((MIN(400,$A11)*$T$13+MAX(0,MIN(600,$A11-400))*$T$14+MAX(0,$A11-1000)*$T$15)/100+MAX(0,$T$16-($T$12+(MIN(400,$A11)*$T$13+MAX(0,MIN(600,$A11-400))*$T$14+MAX(0,$A11-1000)*$T$15)/100)))*(1+$T$31)*(1+$T$18)+$T$17,2)</f>
        <v>24.93</v>
      </c>
      <c r="E11" s="282">
        <f t="shared" ref="E11:E31" si="5">ROUND($U$12+((MIN(400,$A11)*$U$13+MAX(0,MIN(600,$A11-400))*$U$14+MAX(0,$A11-1000)*$U$15)/100+MAX(0,$U$16-($U$12+(MIN(400,$A11)*$U$13+MAX(0,MIN(600,$A11-400))*$U$14+MAX(0,$A11-1000)*$U$15)/100)))*(1+$U$31)*(1+$U$18)+$U$17,2)</f>
        <v>24.87</v>
      </c>
      <c r="F11" s="282"/>
      <c r="G11" s="296">
        <f t="shared" si="0"/>
        <v>-5.9999999999998721E-2</v>
      </c>
      <c r="I11" s="297">
        <f t="shared" si="1"/>
        <v>-2E-3</v>
      </c>
      <c r="K11" s="282">
        <f t="shared" ref="K11:K31" si="6">ROUND($T$20+((MIN(400,$A11)*$T$21+MAX(0,MIN(600,$A11-400))*$T$22+MAX(0,$A11-1000)*$T$23)/100+MAX(0,$T$24-($T$20+(MIN(400,$A11)*$T$21+MAX(0,MIN(600,$A11-400))*$T$22+MAX(0,$A11-1000)*$T$23)/100)))*(1+$T$31)*(1+$T$26)+$T$25,2)</f>
        <v>24.93</v>
      </c>
      <c r="M11" s="282">
        <f t="shared" ref="M11:M31" si="7">ROUND($U$20+((MIN(400,$A11)*$U$21+MAX(0,MIN(600,$A11-400))*$U$22+MAX(0,$A11-1000)*$U$23)/100+MAX(0,$U$24-($U$20+(MIN(400,$A11)*$U$21+MAX(0,MIN(600,$A11-400))*$U$22+MAX(0,$A11-1000)*$U$23)/100)))*(1+$U$31)*(1+$U$26)+$U$25,2)</f>
        <v>24.87</v>
      </c>
      <c r="N11" s="282"/>
      <c r="O11" s="296">
        <f t="shared" si="2"/>
        <v>-5.9999999999998721E-2</v>
      </c>
      <c r="Q11" s="297">
        <f t="shared" si="3"/>
        <v>-2E-3</v>
      </c>
      <c r="S11" s="302" t="s">
        <v>325</v>
      </c>
      <c r="T11" s="274"/>
      <c r="U11" s="303"/>
      <c r="W11" s="301"/>
      <c r="X11" s="301"/>
    </row>
    <row r="12" spans="1:24">
      <c r="A12" s="281">
        <v>300</v>
      </c>
      <c r="C12" s="282">
        <f t="shared" si="4"/>
        <v>34.26</v>
      </c>
      <c r="E12" s="282">
        <f t="shared" si="5"/>
        <v>34.17</v>
      </c>
      <c r="F12" s="282"/>
      <c r="G12" s="296">
        <f t="shared" si="0"/>
        <v>-8.9999999999996305E-2</v>
      </c>
      <c r="I12" s="297">
        <f t="shared" si="1"/>
        <v>-3.0000000000000001E-3</v>
      </c>
      <c r="K12" s="282">
        <f t="shared" si="6"/>
        <v>34.26</v>
      </c>
      <c r="M12" s="282">
        <f t="shared" si="7"/>
        <v>34.17</v>
      </c>
      <c r="N12" s="282"/>
      <c r="O12" s="296">
        <f t="shared" si="2"/>
        <v>-8.9999999999996305E-2</v>
      </c>
      <c r="Q12" s="297">
        <f t="shared" si="3"/>
        <v>-3.0000000000000001E-3</v>
      </c>
      <c r="S12" s="304" t="s">
        <v>332</v>
      </c>
      <c r="T12" s="305">
        <v>6</v>
      </c>
      <c r="U12" s="306">
        <v>6</v>
      </c>
      <c r="V12" s="307"/>
      <c r="W12" s="301"/>
      <c r="X12" s="301"/>
    </row>
    <row r="13" spans="1:24">
      <c r="A13" s="281">
        <v>400</v>
      </c>
      <c r="C13" s="282">
        <f t="shared" si="4"/>
        <v>43.6</v>
      </c>
      <c r="E13" s="282">
        <f t="shared" si="5"/>
        <v>43.48</v>
      </c>
      <c r="F13" s="282"/>
      <c r="G13" s="296">
        <f t="shared" si="0"/>
        <v>-0.12000000000000455</v>
      </c>
      <c r="I13" s="297">
        <f t="shared" si="1"/>
        <v>-3.0000000000000001E-3</v>
      </c>
      <c r="K13" s="282">
        <f t="shared" si="6"/>
        <v>43.6</v>
      </c>
      <c r="M13" s="282">
        <f t="shared" si="7"/>
        <v>43.48</v>
      </c>
      <c r="N13" s="282"/>
      <c r="O13" s="296">
        <f t="shared" si="2"/>
        <v>-0.12000000000000455</v>
      </c>
      <c r="Q13" s="297">
        <f t="shared" si="3"/>
        <v>-3.0000000000000001E-3</v>
      </c>
      <c r="S13" s="304" t="s">
        <v>333</v>
      </c>
      <c r="T13" s="308">
        <v>8.8498000000000001</v>
      </c>
      <c r="U13" s="309">
        <v>8.8498000000000001</v>
      </c>
      <c r="V13" s="307"/>
      <c r="W13" s="301"/>
      <c r="X13" s="301"/>
    </row>
    <row r="14" spans="1:24">
      <c r="A14" s="281">
        <v>500</v>
      </c>
      <c r="C14" s="282">
        <f t="shared" si="4"/>
        <v>55.77</v>
      </c>
      <c r="E14" s="282">
        <f t="shared" si="5"/>
        <v>55.61</v>
      </c>
      <c r="F14" s="282"/>
      <c r="G14" s="296">
        <f t="shared" si="0"/>
        <v>-0.16000000000000369</v>
      </c>
      <c r="I14" s="297">
        <f t="shared" si="1"/>
        <v>-3.0000000000000001E-3</v>
      </c>
      <c r="K14" s="282">
        <f t="shared" si="6"/>
        <v>54.89</v>
      </c>
      <c r="M14" s="282">
        <f t="shared" si="7"/>
        <v>54.73</v>
      </c>
      <c r="N14" s="282"/>
      <c r="O14" s="296">
        <f t="shared" si="2"/>
        <v>-0.16000000000000369</v>
      </c>
      <c r="Q14" s="297">
        <f t="shared" si="3"/>
        <v>-3.0000000000000001E-3</v>
      </c>
      <c r="S14" s="304" t="s">
        <v>334</v>
      </c>
      <c r="T14" s="308">
        <v>11.542899999999999</v>
      </c>
      <c r="U14" s="309">
        <v>11.542899999999999</v>
      </c>
      <c r="V14" s="307"/>
      <c r="W14" s="301"/>
      <c r="X14" s="301"/>
    </row>
    <row r="15" spans="1:24">
      <c r="A15" s="281">
        <v>600</v>
      </c>
      <c r="C15" s="282">
        <f t="shared" si="4"/>
        <v>67.95</v>
      </c>
      <c r="E15" s="282">
        <f t="shared" si="5"/>
        <v>67.75</v>
      </c>
      <c r="F15" s="282"/>
      <c r="G15" s="296">
        <f t="shared" si="0"/>
        <v>-0.20000000000000284</v>
      </c>
      <c r="I15" s="297">
        <f t="shared" si="1"/>
        <v>-3.0000000000000001E-3</v>
      </c>
      <c r="K15" s="282">
        <f t="shared" si="6"/>
        <v>66.19</v>
      </c>
      <c r="M15" s="282">
        <f t="shared" si="7"/>
        <v>65.989999999999995</v>
      </c>
      <c r="N15" s="282"/>
      <c r="O15" s="296">
        <f t="shared" si="2"/>
        <v>-0.20000000000000284</v>
      </c>
      <c r="Q15" s="297">
        <f t="shared" si="3"/>
        <v>-3.0000000000000001E-3</v>
      </c>
      <c r="S15" s="304" t="s">
        <v>335</v>
      </c>
      <c r="T15" s="308">
        <v>14.450799999999999</v>
      </c>
      <c r="U15" s="309">
        <v>14.450799999999999</v>
      </c>
      <c r="V15" s="307"/>
      <c r="W15" s="301"/>
      <c r="X15" s="301"/>
    </row>
    <row r="16" spans="1:24">
      <c r="A16" s="281">
        <v>700</v>
      </c>
      <c r="C16" s="282">
        <f t="shared" si="4"/>
        <v>80.12</v>
      </c>
      <c r="E16" s="282">
        <f t="shared" si="5"/>
        <v>79.88</v>
      </c>
      <c r="F16" s="282"/>
      <c r="G16" s="296">
        <f t="shared" si="0"/>
        <v>-0.24000000000000909</v>
      </c>
      <c r="I16" s="297">
        <f t="shared" si="1"/>
        <v>-3.0000000000000001E-3</v>
      </c>
      <c r="K16" s="282">
        <f t="shared" si="6"/>
        <v>77.48</v>
      </c>
      <c r="M16" s="282">
        <f t="shared" si="7"/>
        <v>77.25</v>
      </c>
      <c r="N16" s="282"/>
      <c r="O16" s="296">
        <f t="shared" si="2"/>
        <v>-0.23000000000000398</v>
      </c>
      <c r="Q16" s="297">
        <f t="shared" si="3"/>
        <v>-3.0000000000000001E-3</v>
      </c>
      <c r="S16" s="304" t="s">
        <v>336</v>
      </c>
      <c r="T16" s="305">
        <v>8</v>
      </c>
      <c r="U16" s="306">
        <v>8</v>
      </c>
      <c r="V16" s="307"/>
      <c r="W16" s="301"/>
      <c r="X16" s="301"/>
    </row>
    <row r="17" spans="1:24">
      <c r="A17" s="281">
        <f>T38</f>
        <v>663.32999948009433</v>
      </c>
      <c r="B17" s="277" t="s">
        <v>337</v>
      </c>
      <c r="F17" s="282"/>
      <c r="G17" s="296"/>
      <c r="I17" s="297"/>
      <c r="K17" s="282">
        <f t="shared" si="6"/>
        <v>73.34</v>
      </c>
      <c r="M17" s="282">
        <f t="shared" si="7"/>
        <v>73.12</v>
      </c>
      <c r="N17" s="282"/>
      <c r="O17" s="296">
        <f t="shared" si="2"/>
        <v>-0.21999999999999886</v>
      </c>
      <c r="Q17" s="297">
        <f t="shared" si="3"/>
        <v>-3.0000000000000001E-3</v>
      </c>
      <c r="S17" s="304" t="s">
        <v>338</v>
      </c>
      <c r="T17" s="305">
        <v>0.26</v>
      </c>
      <c r="U17" s="306">
        <v>0.26</v>
      </c>
      <c r="V17" s="307"/>
      <c r="W17" s="301"/>
      <c r="X17" s="301"/>
    </row>
    <row r="18" spans="1:24">
      <c r="A18" s="281">
        <f>T39</f>
        <v>698.09515617157388</v>
      </c>
      <c r="B18" s="277" t="s">
        <v>339</v>
      </c>
      <c r="C18" s="282">
        <f t="shared" si="4"/>
        <v>79.89</v>
      </c>
      <c r="E18" s="282">
        <f t="shared" si="5"/>
        <v>79.650000000000006</v>
      </c>
      <c r="F18" s="282"/>
      <c r="G18" s="296">
        <f t="shared" ref="G18:G31" si="8">E18-C18</f>
        <v>-0.23999999999999488</v>
      </c>
      <c r="I18" s="297">
        <f t="shared" ref="I18:I31" si="9">ROUND(IF(C18=0,0,E18/C18-1),3)</f>
        <v>-3.0000000000000001E-3</v>
      </c>
      <c r="K18" s="282">
        <f t="shared" si="6"/>
        <v>77.260000000000005</v>
      </c>
      <c r="M18" s="282">
        <f t="shared" si="7"/>
        <v>77.03</v>
      </c>
      <c r="N18" s="282"/>
      <c r="O18" s="296">
        <f t="shared" si="2"/>
        <v>-0.23000000000000398</v>
      </c>
      <c r="Q18" s="297">
        <f t="shared" si="3"/>
        <v>-3.0000000000000001E-3</v>
      </c>
      <c r="S18" s="304" t="s">
        <v>312</v>
      </c>
      <c r="T18" s="310">
        <v>4.3299999999999998E-2</v>
      </c>
      <c r="U18" s="311">
        <f>'Rate Design'!V16</f>
        <v>3.9899999999999998E-2</v>
      </c>
      <c r="V18" s="307"/>
      <c r="W18" s="301"/>
      <c r="X18" s="301"/>
    </row>
    <row r="19" spans="1:24" ht="13.5">
      <c r="A19" s="281">
        <f>T37</f>
        <v>746.76637542484116</v>
      </c>
      <c r="B19" s="277" t="s">
        <v>340</v>
      </c>
      <c r="C19" s="282">
        <f t="shared" si="4"/>
        <v>85.82</v>
      </c>
      <c r="E19" s="282">
        <f t="shared" si="5"/>
        <v>85.56</v>
      </c>
      <c r="F19" s="282"/>
      <c r="G19" s="296">
        <f t="shared" si="8"/>
        <v>-0.25999999999999091</v>
      </c>
      <c r="I19" s="297">
        <f t="shared" si="9"/>
        <v>-3.0000000000000001E-3</v>
      </c>
      <c r="N19" s="282"/>
      <c r="O19" s="296"/>
      <c r="Q19" s="297"/>
      <c r="S19" s="302" t="s">
        <v>326</v>
      </c>
      <c r="T19" s="274"/>
      <c r="U19" s="303"/>
      <c r="V19" s="307"/>
      <c r="W19" s="301"/>
      <c r="X19" s="301"/>
    </row>
    <row r="20" spans="1:24">
      <c r="A20" s="281">
        <v>800</v>
      </c>
      <c r="C20" s="282">
        <f t="shared" si="4"/>
        <v>92.3</v>
      </c>
      <c r="E20" s="282">
        <f t="shared" si="5"/>
        <v>92.02</v>
      </c>
      <c r="F20" s="282"/>
      <c r="G20" s="296">
        <f t="shared" si="8"/>
        <v>-0.28000000000000114</v>
      </c>
      <c r="I20" s="297">
        <f t="shared" si="9"/>
        <v>-3.0000000000000001E-3</v>
      </c>
      <c r="K20" s="282">
        <f t="shared" si="6"/>
        <v>88.77</v>
      </c>
      <c r="M20" s="282">
        <f t="shared" si="7"/>
        <v>88.5</v>
      </c>
      <c r="N20" s="282"/>
      <c r="O20" s="296">
        <f t="shared" ref="O20:O31" si="10">M20-K20</f>
        <v>-0.26999999999999602</v>
      </c>
      <c r="Q20" s="297">
        <f t="shared" ref="Q20:Q31" si="11">ROUND(IF(K20=0,0,M20/K20-1),3)</f>
        <v>-3.0000000000000001E-3</v>
      </c>
      <c r="S20" s="304" t="s">
        <v>332</v>
      </c>
      <c r="T20" s="312">
        <v>6</v>
      </c>
      <c r="U20" s="313">
        <v>6</v>
      </c>
      <c r="V20" s="307"/>
      <c r="W20" s="301"/>
      <c r="X20" s="301"/>
    </row>
    <row r="21" spans="1:24">
      <c r="A21" s="281">
        <v>900</v>
      </c>
      <c r="C21" s="282">
        <f t="shared" si="4"/>
        <v>104.47</v>
      </c>
      <c r="E21" s="282">
        <f t="shared" si="5"/>
        <v>104.15</v>
      </c>
      <c r="F21" s="282"/>
      <c r="G21" s="296">
        <f t="shared" si="8"/>
        <v>-0.31999999999999318</v>
      </c>
      <c r="I21" s="297">
        <f t="shared" si="9"/>
        <v>-3.0000000000000001E-3</v>
      </c>
      <c r="K21" s="282">
        <f t="shared" si="6"/>
        <v>100.07</v>
      </c>
      <c r="M21" s="282">
        <f t="shared" si="7"/>
        <v>99.76</v>
      </c>
      <c r="N21" s="282"/>
      <c r="O21" s="296">
        <f t="shared" si="10"/>
        <v>-0.30999999999998806</v>
      </c>
      <c r="Q21" s="297">
        <f t="shared" si="11"/>
        <v>-3.0000000000000001E-3</v>
      </c>
      <c r="S21" s="304" t="s">
        <v>333</v>
      </c>
      <c r="T21" s="314">
        <v>8.8498000000000001</v>
      </c>
      <c r="U21" s="315">
        <v>8.8498000000000001</v>
      </c>
      <c r="V21" s="307"/>
      <c r="W21" s="301"/>
      <c r="X21" s="301"/>
    </row>
    <row r="22" spans="1:24">
      <c r="A22" s="281">
        <v>1000</v>
      </c>
      <c r="C22" s="282">
        <f t="shared" si="4"/>
        <v>116.65</v>
      </c>
      <c r="E22" s="282">
        <f t="shared" si="5"/>
        <v>116.29</v>
      </c>
      <c r="F22" s="282"/>
      <c r="G22" s="296">
        <f t="shared" si="8"/>
        <v>-0.35999999999999943</v>
      </c>
      <c r="I22" s="297">
        <f t="shared" si="9"/>
        <v>-3.0000000000000001E-3</v>
      </c>
      <c r="K22" s="282">
        <f t="shared" si="6"/>
        <v>111.36</v>
      </c>
      <c r="M22" s="282">
        <f t="shared" si="7"/>
        <v>111.02</v>
      </c>
      <c r="N22" s="282"/>
      <c r="O22" s="296">
        <f t="shared" si="10"/>
        <v>-0.34000000000000341</v>
      </c>
      <c r="Q22" s="297">
        <f t="shared" si="11"/>
        <v>-3.0000000000000001E-3</v>
      </c>
      <c r="S22" s="304" t="s">
        <v>334</v>
      </c>
      <c r="T22" s="314">
        <v>10.7072</v>
      </c>
      <c r="U22" s="315">
        <v>10.7072</v>
      </c>
      <c r="V22" s="307"/>
      <c r="W22" s="301"/>
      <c r="X22" s="301"/>
    </row>
    <row r="23" spans="1:24">
      <c r="A23" s="281">
        <v>1100</v>
      </c>
      <c r="C23" s="282">
        <f t="shared" si="4"/>
        <v>131.88999999999999</v>
      </c>
      <c r="E23" s="282">
        <f t="shared" si="5"/>
        <v>131.47999999999999</v>
      </c>
      <c r="F23" s="282"/>
      <c r="G23" s="296">
        <f t="shared" si="8"/>
        <v>-0.40999999999999659</v>
      </c>
      <c r="I23" s="297">
        <f t="shared" si="9"/>
        <v>-3.0000000000000001E-3</v>
      </c>
      <c r="K23" s="282">
        <f t="shared" si="6"/>
        <v>122.65</v>
      </c>
      <c r="M23" s="282">
        <f t="shared" si="7"/>
        <v>122.27</v>
      </c>
      <c r="N23" s="282"/>
      <c r="O23" s="296">
        <f t="shared" si="10"/>
        <v>-0.38000000000000966</v>
      </c>
      <c r="Q23" s="297">
        <f t="shared" si="11"/>
        <v>-3.0000000000000001E-3</v>
      </c>
      <c r="S23" s="304" t="s">
        <v>335</v>
      </c>
      <c r="T23" s="314">
        <v>10.7072</v>
      </c>
      <c r="U23" s="315">
        <v>10.7072</v>
      </c>
      <c r="V23" s="307"/>
      <c r="W23" s="301"/>
      <c r="X23" s="301"/>
    </row>
    <row r="24" spans="1:24">
      <c r="A24" s="281">
        <v>1200</v>
      </c>
      <c r="C24" s="282">
        <f t="shared" si="4"/>
        <v>147.13</v>
      </c>
      <c r="E24" s="282">
        <f t="shared" si="5"/>
        <v>146.66999999999999</v>
      </c>
      <c r="F24" s="282"/>
      <c r="G24" s="296">
        <f t="shared" si="8"/>
        <v>-0.46000000000000796</v>
      </c>
      <c r="I24" s="297">
        <f t="shared" si="9"/>
        <v>-3.0000000000000001E-3</v>
      </c>
      <c r="K24" s="282">
        <f t="shared" si="6"/>
        <v>133.94999999999999</v>
      </c>
      <c r="M24" s="282">
        <f t="shared" si="7"/>
        <v>133.53</v>
      </c>
      <c r="N24" s="282"/>
      <c r="O24" s="296">
        <f t="shared" si="10"/>
        <v>-0.41999999999998749</v>
      </c>
      <c r="Q24" s="297">
        <f t="shared" si="11"/>
        <v>-3.0000000000000001E-3</v>
      </c>
      <c r="S24" s="304" t="s">
        <v>336</v>
      </c>
      <c r="T24" s="312">
        <v>8</v>
      </c>
      <c r="U24" s="313">
        <v>8</v>
      </c>
      <c r="V24" s="307"/>
      <c r="W24" s="301"/>
      <c r="X24" s="301"/>
    </row>
    <row r="25" spans="1:24">
      <c r="A25" s="281">
        <v>1300</v>
      </c>
      <c r="C25" s="282">
        <f t="shared" si="4"/>
        <v>162.38</v>
      </c>
      <c r="E25" s="282">
        <f t="shared" si="5"/>
        <v>161.87</v>
      </c>
      <c r="F25" s="282"/>
      <c r="G25" s="296">
        <f t="shared" si="8"/>
        <v>-0.50999999999999091</v>
      </c>
      <c r="I25" s="297">
        <f t="shared" si="9"/>
        <v>-3.0000000000000001E-3</v>
      </c>
      <c r="K25" s="282">
        <f t="shared" si="6"/>
        <v>145.24</v>
      </c>
      <c r="M25" s="282">
        <f t="shared" si="7"/>
        <v>144.79</v>
      </c>
      <c r="N25" s="282"/>
      <c r="O25" s="296">
        <f t="shared" si="10"/>
        <v>-0.45000000000001705</v>
      </c>
      <c r="Q25" s="297">
        <f t="shared" si="11"/>
        <v>-3.0000000000000001E-3</v>
      </c>
      <c r="S25" s="304" t="s">
        <v>338</v>
      </c>
      <c r="T25" s="312">
        <v>0.26</v>
      </c>
      <c r="U25" s="313">
        <v>0.26</v>
      </c>
      <c r="V25" s="307"/>
      <c r="W25" s="301"/>
      <c r="X25" s="301"/>
    </row>
    <row r="26" spans="1:24">
      <c r="A26" s="281">
        <v>1400</v>
      </c>
      <c r="C26" s="282">
        <f t="shared" si="4"/>
        <v>177.62</v>
      </c>
      <c r="E26" s="282">
        <f t="shared" si="5"/>
        <v>177.06</v>
      </c>
      <c r="F26" s="282"/>
      <c r="G26" s="296">
        <f t="shared" si="8"/>
        <v>-0.56000000000000227</v>
      </c>
      <c r="I26" s="297">
        <f t="shared" si="9"/>
        <v>-3.0000000000000001E-3</v>
      </c>
      <c r="K26" s="282">
        <f t="shared" si="6"/>
        <v>156.54</v>
      </c>
      <c r="M26" s="282">
        <f t="shared" si="7"/>
        <v>156.05000000000001</v>
      </c>
      <c r="N26" s="282"/>
      <c r="O26" s="296">
        <f t="shared" si="10"/>
        <v>-0.48999999999998067</v>
      </c>
      <c r="Q26" s="297">
        <f t="shared" si="11"/>
        <v>-3.0000000000000001E-3</v>
      </c>
      <c r="S26" s="316" t="s">
        <v>312</v>
      </c>
      <c r="T26" s="317">
        <f>T18</f>
        <v>4.3299999999999998E-2</v>
      </c>
      <c r="U26" s="318">
        <f>U18</f>
        <v>3.9899999999999998E-2</v>
      </c>
      <c r="V26" s="307"/>
      <c r="W26" s="301"/>
      <c r="X26" s="301"/>
    </row>
    <row r="27" spans="1:24">
      <c r="A27" s="281">
        <v>1500</v>
      </c>
      <c r="C27" s="282">
        <f t="shared" si="4"/>
        <v>192.86</v>
      </c>
      <c r="E27" s="282">
        <f t="shared" si="5"/>
        <v>192.25</v>
      </c>
      <c r="F27" s="282"/>
      <c r="G27" s="296">
        <f t="shared" si="8"/>
        <v>-0.61000000000001364</v>
      </c>
      <c r="I27" s="297">
        <f t="shared" si="9"/>
        <v>-3.0000000000000001E-3</v>
      </c>
      <c r="K27" s="282">
        <f t="shared" si="6"/>
        <v>167.83</v>
      </c>
      <c r="M27" s="282">
        <f t="shared" si="7"/>
        <v>167.3</v>
      </c>
      <c r="N27" s="282"/>
      <c r="O27" s="296">
        <f t="shared" si="10"/>
        <v>-0.53000000000000114</v>
      </c>
      <c r="Q27" s="297">
        <f t="shared" si="11"/>
        <v>-3.0000000000000001E-3</v>
      </c>
      <c r="V27" s="307"/>
      <c r="W27" s="301"/>
      <c r="X27" s="301"/>
    </row>
    <row r="28" spans="1:24">
      <c r="A28" s="281">
        <v>2000</v>
      </c>
      <c r="C28" s="282">
        <f t="shared" si="4"/>
        <v>269.07</v>
      </c>
      <c r="E28" s="282">
        <f t="shared" si="5"/>
        <v>268.22000000000003</v>
      </c>
      <c r="F28" s="282"/>
      <c r="G28" s="296">
        <f t="shared" si="8"/>
        <v>-0.84999999999996589</v>
      </c>
      <c r="I28" s="297">
        <f t="shared" si="9"/>
        <v>-3.0000000000000001E-3</v>
      </c>
      <c r="K28" s="282">
        <f t="shared" si="6"/>
        <v>224.3</v>
      </c>
      <c r="M28" s="282">
        <f t="shared" si="7"/>
        <v>223.59</v>
      </c>
      <c r="N28" s="282"/>
      <c r="O28" s="296">
        <f t="shared" si="10"/>
        <v>-0.71000000000000796</v>
      </c>
      <c r="Q28" s="297">
        <f t="shared" si="11"/>
        <v>-3.0000000000000001E-3</v>
      </c>
      <c r="T28" s="308"/>
      <c r="U28" s="308"/>
      <c r="V28" s="307"/>
      <c r="W28" s="301"/>
      <c r="X28" s="301"/>
    </row>
    <row r="29" spans="1:24">
      <c r="A29" s="281">
        <v>3000</v>
      </c>
      <c r="C29" s="282">
        <f t="shared" si="4"/>
        <v>421.5</v>
      </c>
      <c r="E29" s="282">
        <f t="shared" si="5"/>
        <v>420.14</v>
      </c>
      <c r="F29" s="282"/>
      <c r="G29" s="296">
        <f t="shared" si="8"/>
        <v>-1.3600000000000136</v>
      </c>
      <c r="I29" s="297">
        <f t="shared" si="9"/>
        <v>-3.0000000000000001E-3</v>
      </c>
      <c r="K29" s="282">
        <f t="shared" si="6"/>
        <v>337.23</v>
      </c>
      <c r="M29" s="282">
        <f t="shared" si="7"/>
        <v>336.16</v>
      </c>
      <c r="N29" s="282"/>
      <c r="O29" s="296">
        <f t="shared" si="10"/>
        <v>-1.0699999999999932</v>
      </c>
      <c r="Q29" s="297">
        <f t="shared" si="11"/>
        <v>-3.0000000000000001E-3</v>
      </c>
      <c r="S29" s="277" t="s">
        <v>341</v>
      </c>
      <c r="T29" s="319">
        <v>6.4000000000000003E-3</v>
      </c>
      <c r="U29" s="320">
        <v>6.4000000000000003E-3</v>
      </c>
      <c r="V29" s="307"/>
      <c r="W29" s="301"/>
      <c r="X29" s="301"/>
    </row>
    <row r="30" spans="1:24">
      <c r="A30" s="281">
        <v>4000</v>
      </c>
      <c r="C30" s="282">
        <f t="shared" si="4"/>
        <v>573.91999999999996</v>
      </c>
      <c r="E30" s="282">
        <f t="shared" si="5"/>
        <v>572.07000000000005</v>
      </c>
      <c r="F30" s="282"/>
      <c r="G30" s="296">
        <f t="shared" si="8"/>
        <v>-1.8499999999999091</v>
      </c>
      <c r="I30" s="297">
        <f t="shared" si="9"/>
        <v>-3.0000000000000001E-3</v>
      </c>
      <c r="K30" s="282">
        <f t="shared" si="6"/>
        <v>450.17</v>
      </c>
      <c r="M30" s="282">
        <f t="shared" si="7"/>
        <v>448.72</v>
      </c>
      <c r="N30" s="282"/>
      <c r="O30" s="296">
        <f t="shared" si="10"/>
        <v>-1.4499999999999886</v>
      </c>
      <c r="Q30" s="297">
        <f t="shared" si="11"/>
        <v>-3.0000000000000001E-3</v>
      </c>
      <c r="S30" s="277" t="s">
        <v>342</v>
      </c>
      <c r="T30" s="319">
        <v>4.5999999999999999E-3</v>
      </c>
      <c r="U30" s="320">
        <v>4.5999999999999999E-3</v>
      </c>
      <c r="V30" s="307"/>
      <c r="W30" s="301"/>
      <c r="X30" s="301"/>
    </row>
    <row r="31" spans="1:24">
      <c r="A31" s="281">
        <v>5000</v>
      </c>
      <c r="C31" s="282">
        <f t="shared" si="4"/>
        <v>726.34</v>
      </c>
      <c r="E31" s="282">
        <f t="shared" si="5"/>
        <v>724</v>
      </c>
      <c r="F31" s="282"/>
      <c r="G31" s="296">
        <f t="shared" si="8"/>
        <v>-2.3400000000000318</v>
      </c>
      <c r="I31" s="297">
        <f t="shared" si="9"/>
        <v>-3.0000000000000001E-3</v>
      </c>
      <c r="K31" s="282">
        <f t="shared" si="6"/>
        <v>563.11</v>
      </c>
      <c r="M31" s="282">
        <f t="shared" si="7"/>
        <v>561.29</v>
      </c>
      <c r="N31" s="282"/>
      <c r="O31" s="296">
        <f t="shared" si="10"/>
        <v>-1.82000000000005</v>
      </c>
      <c r="Q31" s="297">
        <f t="shared" si="11"/>
        <v>-3.0000000000000001E-3</v>
      </c>
      <c r="S31" s="274" t="s">
        <v>343</v>
      </c>
      <c r="T31" s="321">
        <f>SUM(T29:T30)</f>
        <v>1.0999999999999999E-2</v>
      </c>
      <c r="U31" s="322">
        <f>SUM(U29:U30)</f>
        <v>1.0999999999999999E-2</v>
      </c>
      <c r="V31" s="307"/>
      <c r="W31" s="301"/>
      <c r="X31" s="301"/>
    </row>
    <row r="32" spans="1:24">
      <c r="R32" s="323"/>
      <c r="W32" s="301"/>
      <c r="X32" s="301"/>
    </row>
    <row r="33" spans="1:28">
      <c r="S33" s="277" t="s">
        <v>344</v>
      </c>
      <c r="T33" s="274"/>
      <c r="U33" s="321">
        <f>'Rate Spread'!AC18</f>
        <v>-3.0195333258756546E-3</v>
      </c>
      <c r="W33" s="301"/>
      <c r="X33" s="301"/>
    </row>
    <row r="34" spans="1:28" ht="15.75">
      <c r="A34" s="324" t="s">
        <v>357</v>
      </c>
      <c r="W34" s="301"/>
      <c r="X34" s="301"/>
    </row>
    <row r="35" spans="1:28">
      <c r="A35" s="281" t="s">
        <v>345</v>
      </c>
      <c r="T35" s="326" t="s">
        <v>346</v>
      </c>
      <c r="U35" s="327"/>
      <c r="V35" s="327"/>
      <c r="W35" s="328" t="s">
        <v>275</v>
      </c>
      <c r="X35" s="329"/>
    </row>
    <row r="36" spans="1:28" ht="15.75">
      <c r="A36" s="324"/>
      <c r="S36" s="274"/>
      <c r="T36" s="330" t="s">
        <v>328</v>
      </c>
      <c r="U36" s="330" t="s">
        <v>318</v>
      </c>
      <c r="V36" s="330" t="s">
        <v>329</v>
      </c>
      <c r="W36" s="331" t="s">
        <v>330</v>
      </c>
      <c r="X36" s="332" t="s">
        <v>319</v>
      </c>
    </row>
    <row r="37" spans="1:28">
      <c r="A37" s="343"/>
      <c r="B37" s="274"/>
      <c r="C37" s="325"/>
      <c r="D37" s="274"/>
      <c r="E37" s="325"/>
      <c r="F37" s="274"/>
      <c r="G37" s="312"/>
      <c r="H37" s="274"/>
      <c r="I37" s="274"/>
      <c r="J37" s="274"/>
      <c r="K37" s="325"/>
      <c r="S37" s="333" t="s">
        <v>325</v>
      </c>
      <c r="T37" s="334">
        <v>746.76637542484116</v>
      </c>
      <c r="U37" s="335">
        <f>C19</f>
        <v>85.82</v>
      </c>
      <c r="V37" s="335">
        <f>E19</f>
        <v>85.56</v>
      </c>
      <c r="W37" s="335">
        <f>V37-U37</f>
        <v>-0.25999999999999091</v>
      </c>
      <c r="X37" s="336">
        <f>V37/U37-1</f>
        <v>-3.029596830575465E-3</v>
      </c>
    </row>
    <row r="38" spans="1:28">
      <c r="A38" s="343"/>
      <c r="B38" s="274"/>
      <c r="C38" s="344"/>
      <c r="D38" s="345"/>
      <c r="E38" s="283"/>
      <c r="F38" s="273"/>
      <c r="G38" s="346"/>
      <c r="H38" s="273"/>
      <c r="I38" s="273"/>
      <c r="J38" s="274"/>
      <c r="K38" s="325"/>
      <c r="S38" s="337" t="s">
        <v>326</v>
      </c>
      <c r="T38" s="334">
        <v>663.32999948009433</v>
      </c>
      <c r="U38" s="335">
        <f>K17</f>
        <v>73.34</v>
      </c>
      <c r="V38" s="335">
        <f>M17</f>
        <v>73.12</v>
      </c>
      <c r="W38" s="335">
        <f>V38-U38</f>
        <v>-0.21999999999999886</v>
      </c>
      <c r="X38" s="338">
        <f>V38/U38-1</f>
        <v>-2.9997272975184064E-3</v>
      </c>
    </row>
    <row r="39" spans="1:28">
      <c r="A39" s="343"/>
      <c r="B39" s="274"/>
      <c r="C39" s="283"/>
      <c r="D39" s="273"/>
      <c r="E39" s="283"/>
      <c r="F39" s="274"/>
      <c r="G39" s="283"/>
      <c r="H39" s="273"/>
      <c r="I39" s="283"/>
      <c r="J39" s="274"/>
      <c r="K39" s="325"/>
      <c r="S39" s="339" t="s">
        <v>347</v>
      </c>
      <c r="T39" s="340">
        <v>698.09515617157388</v>
      </c>
      <c r="U39" s="341">
        <f>(C18*5+K18*7)/12</f>
        <v>78.355833333333337</v>
      </c>
      <c r="V39" s="341">
        <f>(E18*5+M18*7)/12</f>
        <v>78.12166666666667</v>
      </c>
      <c r="W39" s="341">
        <f>V39-U39</f>
        <v>-0.23416666666666686</v>
      </c>
      <c r="X39" s="342">
        <f>V39/U39-1</f>
        <v>-2.9885033022429841E-3</v>
      </c>
    </row>
    <row r="40" spans="1:28">
      <c r="A40" s="347"/>
      <c r="B40" s="274"/>
      <c r="C40" s="283"/>
      <c r="D40" s="274"/>
      <c r="E40" s="348"/>
      <c r="F40" s="274"/>
      <c r="G40" s="349"/>
      <c r="H40" s="274"/>
      <c r="I40" s="350"/>
      <c r="J40" s="351"/>
      <c r="K40" s="351"/>
      <c r="L40" s="297"/>
      <c r="M40" s="297"/>
      <c r="N40" s="297"/>
      <c r="O40" s="297"/>
      <c r="S40" s="339" t="s">
        <v>347</v>
      </c>
      <c r="T40" s="340">
        <v>700</v>
      </c>
      <c r="U40" s="341">
        <f>(C16*5+K16*7)/12</f>
        <v>78.58</v>
      </c>
      <c r="V40" s="341">
        <f>(E16*5+M16*7)/12</f>
        <v>78.345833333333331</v>
      </c>
      <c r="W40" s="341">
        <f>V40-U40</f>
        <v>-0.23416666666666686</v>
      </c>
      <c r="X40" s="342">
        <f>V40/U40-1</f>
        <v>-2.9799779418002714E-3</v>
      </c>
    </row>
    <row r="41" spans="1:28">
      <c r="A41" s="343"/>
      <c r="B41" s="274"/>
      <c r="C41" s="325"/>
      <c r="D41" s="274"/>
      <c r="E41" s="325"/>
      <c r="F41" s="325"/>
      <c r="G41" s="352"/>
      <c r="H41" s="274"/>
      <c r="I41" s="351"/>
      <c r="J41" s="351"/>
      <c r="K41" s="351"/>
      <c r="L41" s="297"/>
      <c r="M41" s="297"/>
      <c r="N41" s="297"/>
      <c r="O41" s="297"/>
      <c r="Y41" s="274"/>
      <c r="Z41" s="274"/>
      <c r="AA41" s="274"/>
      <c r="AB41" s="274"/>
    </row>
    <row r="42" spans="1:28">
      <c r="F42" s="282"/>
      <c r="G42" s="296"/>
      <c r="I42" s="297"/>
      <c r="J42" s="297"/>
      <c r="K42" s="297"/>
      <c r="L42" s="297"/>
      <c r="M42" s="297"/>
      <c r="N42" s="297"/>
      <c r="O42" s="297"/>
    </row>
    <row r="43" spans="1:28">
      <c r="F43" s="282"/>
      <c r="G43" s="296"/>
      <c r="I43" s="297"/>
      <c r="J43" s="297"/>
      <c r="K43" s="297"/>
      <c r="L43" s="297"/>
      <c r="M43" s="297"/>
      <c r="N43" s="297"/>
      <c r="O43" s="297"/>
      <c r="U43" s="282"/>
    </row>
    <row r="44" spans="1:28">
      <c r="F44" s="282"/>
      <c r="G44" s="296"/>
      <c r="I44" s="297"/>
      <c r="J44" s="297"/>
      <c r="K44" s="297"/>
      <c r="L44" s="297"/>
      <c r="M44" s="297"/>
      <c r="N44" s="297"/>
      <c r="O44" s="297"/>
    </row>
    <row r="45" spans="1:28">
      <c r="F45" s="282"/>
      <c r="G45" s="296"/>
      <c r="I45" s="297"/>
      <c r="J45" s="297"/>
      <c r="K45" s="297"/>
      <c r="L45" s="297"/>
      <c r="M45" s="297"/>
      <c r="N45" s="297"/>
      <c r="O45" s="297"/>
    </row>
    <row r="46" spans="1:28">
      <c r="F46" s="282"/>
      <c r="G46" s="296"/>
      <c r="I46" s="297"/>
      <c r="J46" s="297"/>
      <c r="K46" s="297"/>
      <c r="L46" s="297"/>
      <c r="M46" s="297"/>
      <c r="N46" s="297"/>
      <c r="O46" s="297"/>
    </row>
    <row r="47" spans="1:28">
      <c r="F47" s="282"/>
      <c r="G47" s="296"/>
      <c r="I47" s="297"/>
      <c r="J47" s="297"/>
      <c r="K47" s="297"/>
      <c r="L47" s="297"/>
      <c r="M47" s="297"/>
      <c r="N47" s="297"/>
      <c r="O47" s="297"/>
    </row>
    <row r="48" spans="1:28">
      <c r="F48" s="282"/>
      <c r="G48" s="296"/>
      <c r="I48" s="297"/>
      <c r="J48" s="297"/>
      <c r="K48" s="297"/>
      <c r="L48" s="297"/>
      <c r="M48" s="297"/>
      <c r="N48" s="297"/>
      <c r="O48" s="297"/>
    </row>
    <row r="49" spans="6:15">
      <c r="F49" s="282"/>
      <c r="G49" s="296"/>
      <c r="I49" s="297"/>
      <c r="J49" s="297"/>
      <c r="K49" s="297"/>
      <c r="L49" s="297"/>
      <c r="M49" s="297"/>
      <c r="N49" s="297"/>
      <c r="O49" s="297"/>
    </row>
    <row r="50" spans="6:15">
      <c r="F50" s="282"/>
      <c r="G50" s="296"/>
      <c r="I50" s="297"/>
      <c r="J50" s="297"/>
      <c r="K50" s="297"/>
      <c r="L50" s="297"/>
      <c r="M50" s="297"/>
      <c r="N50" s="297"/>
      <c r="O50" s="297"/>
    </row>
    <row r="51" spans="6:15">
      <c r="F51" s="282"/>
      <c r="G51" s="296"/>
      <c r="I51" s="297"/>
      <c r="J51" s="297"/>
      <c r="K51" s="297"/>
      <c r="L51" s="297"/>
      <c r="M51" s="297"/>
      <c r="N51" s="297"/>
      <c r="O51" s="297"/>
    </row>
    <row r="52" spans="6:15">
      <c r="F52" s="282"/>
      <c r="G52" s="296"/>
      <c r="I52" s="297"/>
      <c r="J52" s="297"/>
      <c r="K52" s="297"/>
      <c r="L52" s="297"/>
      <c r="M52" s="297"/>
      <c r="N52" s="297"/>
      <c r="O52" s="297"/>
    </row>
    <row r="53" spans="6:15">
      <c r="F53" s="282"/>
      <c r="G53" s="296"/>
      <c r="I53" s="297"/>
      <c r="J53" s="297"/>
      <c r="K53" s="297"/>
      <c r="L53" s="297"/>
      <c r="M53" s="297"/>
      <c r="N53" s="297"/>
      <c r="O53" s="297"/>
    </row>
    <row r="54" spans="6:15">
      <c r="F54" s="282"/>
      <c r="G54" s="296"/>
      <c r="I54" s="297"/>
      <c r="J54" s="297"/>
      <c r="K54" s="297"/>
      <c r="L54" s="297"/>
      <c r="M54" s="297"/>
      <c r="N54" s="297"/>
      <c r="O54" s="297"/>
    </row>
    <row r="55" spans="6:15">
      <c r="F55" s="282"/>
      <c r="G55" s="296"/>
      <c r="I55" s="297"/>
      <c r="J55" s="297"/>
      <c r="K55" s="297"/>
      <c r="L55" s="297"/>
      <c r="M55" s="297"/>
      <c r="N55" s="297"/>
      <c r="O55" s="297"/>
    </row>
    <row r="56" spans="6:15">
      <c r="F56" s="282"/>
      <c r="G56" s="296"/>
      <c r="I56" s="297"/>
      <c r="J56" s="297"/>
      <c r="K56" s="297"/>
      <c r="L56" s="297"/>
      <c r="M56" s="297"/>
      <c r="N56" s="297"/>
      <c r="O56" s="297"/>
    </row>
    <row r="57" spans="6:15">
      <c r="F57" s="282"/>
      <c r="G57" s="296"/>
      <c r="I57" s="297"/>
      <c r="J57" s="297"/>
      <c r="K57" s="297"/>
      <c r="L57" s="297"/>
      <c r="M57" s="297"/>
      <c r="N57" s="297"/>
      <c r="O57" s="297"/>
    </row>
    <row r="58" spans="6:15">
      <c r="F58" s="282"/>
      <c r="G58" s="296"/>
      <c r="I58" s="297"/>
      <c r="J58" s="297"/>
      <c r="K58" s="297"/>
      <c r="L58" s="297"/>
      <c r="M58" s="297"/>
      <c r="N58" s="297"/>
      <c r="O58" s="297"/>
    </row>
    <row r="59" spans="6:15">
      <c r="F59" s="282"/>
      <c r="G59" s="296"/>
      <c r="I59" s="297"/>
      <c r="J59" s="297"/>
      <c r="K59" s="297"/>
      <c r="L59" s="297"/>
      <c r="M59" s="297"/>
      <c r="N59" s="297"/>
      <c r="O59" s="297"/>
    </row>
  </sheetData>
  <mergeCells count="2">
    <mergeCell ref="G6:I6"/>
    <mergeCell ref="O6:Q6"/>
  </mergeCells>
  <printOptions horizontalCentered="1"/>
  <pageMargins left="0.25" right="0.25" top="1" bottom="0.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RateSpread-1</vt:lpstr>
      <vt:lpstr>Rate Design</vt:lpstr>
      <vt:lpstr>Rate Spread</vt:lpstr>
      <vt:lpstr>Res Bill Impact</vt:lpstr>
      <vt:lpstr>'RateSpread-1'!Print_Area</vt:lpstr>
      <vt:lpstr>'Res Bill Impact'!Print_Area</vt:lpstr>
      <vt:lpstr>'Rate Design'!Print_Titles</vt:lpstr>
      <vt:lpstr>'RateSpread-1'!Print_Titles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James</dc:creator>
  <cp:lastModifiedBy>Melissa Paschal</cp:lastModifiedBy>
  <cp:lastPrinted>2016-11-21T22:29:24Z</cp:lastPrinted>
  <dcterms:created xsi:type="dcterms:W3CDTF">2014-10-08T16:50:36Z</dcterms:created>
  <dcterms:modified xsi:type="dcterms:W3CDTF">2016-11-23T21:04:16Z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