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06601\"/>
    </mc:Choice>
  </mc:AlternateContent>
  <bookViews>
    <workbookView xWindow="0" yWindow="0" windowWidth="19200" windowHeight="12180" tabRatio="685"/>
  </bookViews>
  <sheets>
    <sheet name="Financial Statements" sheetId="5" r:id="rId1"/>
    <sheet name="Cash Flow" sheetId="9" r:id="rId2"/>
    <sheet name="FS Act|% Chg" sheetId="10" r:id="rId3"/>
  </sheets>
  <externalReferences>
    <externalReference r:id="rId4"/>
  </externalReferences>
  <definedNames>
    <definedName name="_xlnm.Print_Area" localSheetId="1">'Cash Flow'!$A$1:$J$58</definedName>
    <definedName name="_xlnm.Print_Area" localSheetId="0">'Financial Statements'!$A$1:$J$155</definedName>
    <definedName name="_xlnm.Print_Area" localSheetId="2">'FS Act|% Chg'!$A$70:$O$105</definedName>
    <definedName name="_xlnm.Print_Titles" localSheetId="2">'FS Act|% Chg'!$3:$10</definedName>
  </definedNames>
  <calcPr calcId="152511"/>
</workbook>
</file>

<file path=xl/calcChain.xml><?xml version="1.0" encoding="utf-8"?>
<calcChain xmlns="http://schemas.openxmlformats.org/spreadsheetml/2006/main">
  <c r="J49" i="5" l="1"/>
  <c r="E78" i="10" l="1"/>
  <c r="J118" i="5"/>
  <c r="J12" i="5"/>
  <c r="J57" i="9" l="1"/>
  <c r="J55" i="9"/>
  <c r="J53" i="9"/>
  <c r="J51" i="9"/>
  <c r="J47" i="9"/>
  <c r="J46" i="9"/>
  <c r="J45" i="9"/>
  <c r="J44" i="9"/>
  <c r="J40" i="9"/>
  <c r="J31" i="9"/>
  <c r="J34" i="9"/>
  <c r="J28" i="9"/>
  <c r="J27" i="9"/>
  <c r="J20" i="9"/>
  <c r="J17" i="9"/>
  <c r="J16" i="9"/>
  <c r="J15" i="9"/>
  <c r="J14" i="9"/>
  <c r="J12" i="9"/>
  <c r="J10" i="9"/>
  <c r="T103" i="5"/>
  <c r="T105" i="5"/>
  <c r="T101" i="5"/>
  <c r="T100" i="5"/>
  <c r="T98" i="5"/>
  <c r="T97" i="5"/>
  <c r="T96" i="5"/>
  <c r="T95" i="5"/>
  <c r="T94" i="5"/>
  <c r="T91" i="5"/>
  <c r="T90" i="5"/>
  <c r="T92" i="5"/>
  <c r="T89" i="5"/>
  <c r="T88" i="5"/>
  <c r="T87" i="5"/>
  <c r="T86" i="5"/>
  <c r="T85" i="5"/>
  <c r="T84" i="5"/>
  <c r="T83" i="5"/>
  <c r="T65" i="5"/>
  <c r="T64" i="5"/>
  <c r="T63" i="5"/>
  <c r="T62" i="5"/>
  <c r="T57" i="5"/>
  <c r="T55" i="5"/>
  <c r="T54" i="5"/>
  <c r="T53" i="5"/>
  <c r="T52" i="5"/>
  <c r="T51" i="5"/>
  <c r="T49" i="5"/>
  <c r="T47" i="5"/>
  <c r="T46" i="5"/>
  <c r="T45" i="5"/>
  <c r="T44" i="5"/>
  <c r="T43" i="5"/>
  <c r="T42" i="5"/>
  <c r="T41" i="5"/>
  <c r="T38" i="5"/>
  <c r="T37" i="5"/>
  <c r="T36" i="5"/>
  <c r="T35" i="5"/>
  <c r="T34" i="5"/>
  <c r="T33" i="5"/>
  <c r="T32" i="5"/>
  <c r="T28" i="5"/>
  <c r="T26" i="5"/>
  <c r="T24" i="5"/>
  <c r="T22" i="5"/>
  <c r="T21" i="5"/>
  <c r="T16" i="5"/>
  <c r="T17" i="5"/>
  <c r="T15" i="5"/>
  <c r="T14" i="5"/>
  <c r="T13" i="5"/>
  <c r="T12" i="5"/>
  <c r="J154" i="5"/>
  <c r="J153" i="5"/>
  <c r="J152" i="5"/>
  <c r="J149" i="5"/>
  <c r="J148" i="5"/>
  <c r="J133" i="5"/>
  <c r="J131" i="5"/>
  <c r="J130" i="5"/>
  <c r="J129" i="5"/>
  <c r="J140" i="5"/>
  <c r="J139" i="5"/>
  <c r="J138" i="5"/>
  <c r="J137" i="5"/>
  <c r="J136" i="5"/>
  <c r="J126" i="5"/>
  <c r="J125" i="5"/>
  <c r="J124" i="5"/>
  <c r="J123" i="5"/>
  <c r="J120" i="5"/>
  <c r="J119" i="5"/>
  <c r="J103" i="5"/>
  <c r="J101" i="5"/>
  <c r="J98" i="5"/>
  <c r="J97" i="5"/>
  <c r="J95" i="5"/>
  <c r="J94" i="5"/>
  <c r="J91" i="5"/>
  <c r="J90" i="5"/>
  <c r="J89" i="5"/>
  <c r="J88" i="5"/>
  <c r="J87" i="5"/>
  <c r="J86" i="5"/>
  <c r="J85" i="5"/>
  <c r="J84" i="5"/>
  <c r="J83" i="5"/>
  <c r="J80" i="5"/>
  <c r="J78" i="5"/>
  <c r="J53" i="5"/>
  <c r="J65" i="5"/>
  <c r="J64" i="5"/>
  <c r="J63" i="5"/>
  <c r="J62" i="5"/>
  <c r="J57" i="5"/>
  <c r="J55" i="5"/>
  <c r="J54" i="5"/>
  <c r="J52" i="5"/>
  <c r="J51" i="5"/>
  <c r="J47" i="5"/>
  <c r="J46" i="5"/>
  <c r="J44" i="5"/>
  <c r="J43" i="5"/>
  <c r="J42" i="5"/>
  <c r="J41" i="5"/>
  <c r="J38" i="5"/>
  <c r="J37" i="5"/>
  <c r="J35" i="5"/>
  <c r="J36" i="5"/>
  <c r="J34" i="5"/>
  <c r="J33" i="5"/>
  <c r="J28" i="5"/>
  <c r="J26" i="5"/>
  <c r="J24" i="5"/>
  <c r="J22" i="5"/>
  <c r="J21" i="5"/>
  <c r="J18" i="5"/>
  <c r="J16" i="5"/>
  <c r="J17" i="5"/>
  <c r="J15" i="5"/>
  <c r="J14" i="5"/>
  <c r="J13" i="5"/>
  <c r="O101" i="10" l="1"/>
  <c r="O100" i="10"/>
  <c r="O98" i="10"/>
  <c r="O97" i="10"/>
  <c r="O95" i="10"/>
  <c r="O94" i="10"/>
  <c r="O92" i="10"/>
  <c r="O91" i="10"/>
  <c r="O90" i="10"/>
  <c r="O89" i="10"/>
  <c r="O88" i="10"/>
  <c r="O87" i="10"/>
  <c r="O86" i="10"/>
  <c r="O85" i="10"/>
  <c r="O84" i="10"/>
  <c r="O83" i="10"/>
  <c r="O80" i="10"/>
  <c r="O78" i="10"/>
  <c r="O65" i="10"/>
  <c r="O64" i="10"/>
  <c r="O63" i="10"/>
  <c r="O62" i="10"/>
  <c r="O57" i="10"/>
  <c r="O55" i="10"/>
  <c r="O54" i="10"/>
  <c r="O53" i="10"/>
  <c r="O52" i="10"/>
  <c r="O51" i="10"/>
  <c r="O49" i="10"/>
  <c r="O47" i="10"/>
  <c r="O46" i="10"/>
  <c r="O44" i="10"/>
  <c r="O43" i="10"/>
  <c r="O42" i="10"/>
  <c r="O41" i="10"/>
  <c r="O38" i="10"/>
  <c r="O37" i="10"/>
  <c r="O36" i="10"/>
  <c r="O35" i="10"/>
  <c r="O34" i="10"/>
  <c r="O33" i="10"/>
  <c r="O28" i="10"/>
  <c r="O26" i="10"/>
  <c r="O24" i="10"/>
  <c r="O22" i="10"/>
  <c r="O21" i="10"/>
  <c r="O18" i="10"/>
  <c r="O17" i="10"/>
  <c r="O16" i="10"/>
  <c r="O15" i="10"/>
  <c r="O14" i="10"/>
  <c r="O13" i="10"/>
  <c r="O12" i="10"/>
  <c r="M101" i="10"/>
  <c r="M100" i="10"/>
  <c r="M98" i="10"/>
  <c r="M97" i="10"/>
  <c r="M95" i="10"/>
  <c r="M94" i="10"/>
  <c r="M92" i="10"/>
  <c r="M91" i="10"/>
  <c r="M90" i="10"/>
  <c r="M89" i="10"/>
  <c r="M88" i="10"/>
  <c r="M87" i="10"/>
  <c r="M86" i="10"/>
  <c r="M85" i="10"/>
  <c r="M84" i="10"/>
  <c r="M83" i="10"/>
  <c r="M80" i="10"/>
  <c r="M78" i="10"/>
  <c r="M65" i="10"/>
  <c r="M64" i="10"/>
  <c r="M63" i="10"/>
  <c r="M62" i="10"/>
  <c r="M57" i="10"/>
  <c r="M55" i="10"/>
  <c r="M54" i="10"/>
  <c r="M52" i="10"/>
  <c r="M51" i="10"/>
  <c r="M49" i="10"/>
  <c r="M47" i="10"/>
  <c r="M46" i="10"/>
  <c r="M44" i="10"/>
  <c r="M43" i="10"/>
  <c r="M42" i="10"/>
  <c r="M41" i="10"/>
  <c r="M38" i="10"/>
  <c r="M37" i="10"/>
  <c r="M36" i="10"/>
  <c r="M35" i="10"/>
  <c r="M34" i="10"/>
  <c r="M33" i="10"/>
  <c r="M28" i="10"/>
  <c r="M26" i="10"/>
  <c r="M24" i="10"/>
  <c r="M22" i="10"/>
  <c r="M21" i="10"/>
  <c r="M18" i="10"/>
  <c r="M17" i="10"/>
  <c r="M16" i="10"/>
  <c r="M15" i="10"/>
  <c r="M14" i="10"/>
  <c r="M13" i="10"/>
  <c r="M12" i="10"/>
  <c r="K101" i="10"/>
  <c r="K100" i="10"/>
  <c r="K98" i="10"/>
  <c r="K97" i="10"/>
  <c r="K95" i="10"/>
  <c r="K94" i="10"/>
  <c r="K92" i="10"/>
  <c r="K91" i="10"/>
  <c r="K90" i="10"/>
  <c r="K89" i="10"/>
  <c r="K88" i="10"/>
  <c r="K87" i="10"/>
  <c r="K86" i="10"/>
  <c r="K85" i="10"/>
  <c r="K84" i="10"/>
  <c r="K83" i="10"/>
  <c r="K80" i="10"/>
  <c r="K78" i="10"/>
  <c r="K65" i="10"/>
  <c r="K64" i="10"/>
  <c r="K63" i="10"/>
  <c r="K62" i="10"/>
  <c r="K57" i="10"/>
  <c r="K55" i="10"/>
  <c r="K54" i="10"/>
  <c r="K52" i="10"/>
  <c r="K51" i="10"/>
  <c r="K49" i="10"/>
  <c r="K47" i="10"/>
  <c r="K46" i="10"/>
  <c r="K44" i="10"/>
  <c r="K43" i="10"/>
  <c r="K42" i="10"/>
  <c r="K41" i="10"/>
  <c r="K38" i="10"/>
  <c r="K37" i="10"/>
  <c r="K36" i="10"/>
  <c r="K35" i="10"/>
  <c r="K34" i="10"/>
  <c r="K33" i="10"/>
  <c r="K28" i="10"/>
  <c r="K26" i="10"/>
  <c r="K24" i="10"/>
  <c r="K22" i="10"/>
  <c r="K21" i="10"/>
  <c r="K18" i="10"/>
  <c r="K17" i="10"/>
  <c r="K16" i="10"/>
  <c r="K15" i="10"/>
  <c r="K14" i="10"/>
  <c r="K13" i="10"/>
  <c r="K12" i="10"/>
  <c r="I101" i="10"/>
  <c r="I100" i="10"/>
  <c r="I98" i="10"/>
  <c r="I97" i="10"/>
  <c r="I95" i="10"/>
  <c r="I94" i="10"/>
  <c r="I92" i="10"/>
  <c r="I91" i="10"/>
  <c r="I90" i="10"/>
  <c r="I89" i="10"/>
  <c r="I88" i="10"/>
  <c r="I87" i="10"/>
  <c r="I86" i="10"/>
  <c r="I85" i="10"/>
  <c r="I84" i="10"/>
  <c r="I83" i="10"/>
  <c r="I80" i="10"/>
  <c r="I78" i="10"/>
  <c r="I65" i="10"/>
  <c r="I64" i="10"/>
  <c r="I63" i="10"/>
  <c r="I62" i="10"/>
  <c r="I57" i="10"/>
  <c r="I55" i="10"/>
  <c r="I54" i="10"/>
  <c r="I52" i="10"/>
  <c r="I51" i="10"/>
  <c r="I49" i="10"/>
  <c r="I47" i="10"/>
  <c r="I46" i="10"/>
  <c r="I44" i="10"/>
  <c r="I43" i="10"/>
  <c r="I42" i="10"/>
  <c r="I41" i="10"/>
  <c r="I38" i="10"/>
  <c r="I37" i="10"/>
  <c r="I36" i="10"/>
  <c r="I35" i="10"/>
  <c r="I34" i="10"/>
  <c r="I33" i="10"/>
  <c r="I32" i="10"/>
  <c r="I28" i="10"/>
  <c r="I26" i="10"/>
  <c r="I24" i="10"/>
  <c r="I22" i="10"/>
  <c r="I21" i="10"/>
  <c r="I18" i="10"/>
  <c r="I17" i="10"/>
  <c r="I15" i="10"/>
  <c r="I14" i="10"/>
  <c r="I13" i="10"/>
  <c r="I12" i="10"/>
  <c r="G101" i="10"/>
  <c r="G100" i="10"/>
  <c r="G98" i="10"/>
  <c r="G97" i="10"/>
  <c r="G95" i="10"/>
  <c r="G94" i="10"/>
  <c r="G92" i="10"/>
  <c r="G91" i="10"/>
  <c r="G90" i="10"/>
  <c r="G89" i="10"/>
  <c r="G88" i="10"/>
  <c r="G87" i="10"/>
  <c r="G86" i="10"/>
  <c r="G85" i="10"/>
  <c r="G84" i="10"/>
  <c r="G83" i="10"/>
  <c r="G80" i="10"/>
  <c r="G78" i="10"/>
  <c r="G65" i="10"/>
  <c r="G64" i="10"/>
  <c r="G63" i="10"/>
  <c r="G62" i="10"/>
  <c r="G57" i="10"/>
  <c r="G55" i="10"/>
  <c r="G54" i="10"/>
  <c r="G52" i="10"/>
  <c r="G51" i="10"/>
  <c r="G49" i="10"/>
  <c r="G47" i="10"/>
  <c r="G46" i="10"/>
  <c r="G44" i="10"/>
  <c r="G43" i="10"/>
  <c r="G42" i="10"/>
  <c r="G41" i="10"/>
  <c r="G38" i="10"/>
  <c r="G37" i="10"/>
  <c r="G36" i="10"/>
  <c r="G35" i="10"/>
  <c r="G34" i="10"/>
  <c r="G33" i="10"/>
  <c r="G32" i="10"/>
  <c r="G28" i="10"/>
  <c r="G26" i="10"/>
  <c r="G24" i="10"/>
  <c r="G22" i="10"/>
  <c r="G21" i="10"/>
  <c r="G18" i="10"/>
  <c r="G17" i="10"/>
  <c r="G15" i="10"/>
  <c r="G14" i="10"/>
  <c r="G13" i="10"/>
  <c r="G12" i="10"/>
  <c r="E101" i="10"/>
  <c r="E100" i="10"/>
  <c r="E98" i="10"/>
  <c r="E97" i="10"/>
  <c r="E95" i="10"/>
  <c r="E94" i="10"/>
  <c r="E92" i="10"/>
  <c r="E91" i="10"/>
  <c r="E90" i="10"/>
  <c r="E89" i="10"/>
  <c r="E88" i="10"/>
  <c r="E87" i="10"/>
  <c r="E86" i="10"/>
  <c r="E85" i="10"/>
  <c r="E84" i="10"/>
  <c r="E83" i="10"/>
  <c r="E80" i="10"/>
  <c r="E65" i="10"/>
  <c r="E64" i="10"/>
  <c r="E63" i="10"/>
  <c r="E62" i="10"/>
  <c r="E57" i="10"/>
  <c r="E55" i="10"/>
  <c r="E54" i="10"/>
  <c r="E52" i="10"/>
  <c r="E51" i="10"/>
  <c r="E49" i="10"/>
  <c r="E47" i="10"/>
  <c r="E46" i="10"/>
  <c r="E44" i="10"/>
  <c r="E43" i="10"/>
  <c r="E42" i="10"/>
  <c r="E41" i="10"/>
  <c r="E38" i="10"/>
  <c r="E37" i="10"/>
  <c r="E36" i="10"/>
  <c r="E35" i="10"/>
  <c r="E34" i="10"/>
  <c r="E33" i="10"/>
  <c r="E32" i="10"/>
  <c r="E28" i="10"/>
  <c r="E26" i="10"/>
  <c r="E24" i="10"/>
  <c r="E22" i="10"/>
  <c r="E21" i="10"/>
  <c r="E18" i="10"/>
  <c r="E17" i="10"/>
  <c r="E15" i="10"/>
  <c r="E14" i="10"/>
  <c r="E13" i="10"/>
  <c r="E12" i="10"/>
  <c r="C101" i="10"/>
  <c r="C100" i="10"/>
  <c r="C98" i="10"/>
  <c r="C97" i="10"/>
  <c r="C95" i="10"/>
  <c r="C94" i="10"/>
  <c r="C92" i="10"/>
  <c r="C91" i="10"/>
  <c r="C90" i="10"/>
  <c r="C89" i="10"/>
  <c r="C88" i="10"/>
  <c r="C87" i="10"/>
  <c r="C86" i="10"/>
  <c r="C85" i="10"/>
  <c r="C84" i="10"/>
  <c r="C83" i="10"/>
  <c r="C80" i="10"/>
  <c r="C78" i="10"/>
  <c r="C65" i="10"/>
  <c r="C64" i="10"/>
  <c r="C63" i="10"/>
  <c r="C62" i="10"/>
  <c r="C57" i="10"/>
  <c r="C55" i="10"/>
  <c r="C54" i="10"/>
  <c r="C52" i="10"/>
  <c r="C51" i="10"/>
  <c r="C49" i="10"/>
  <c r="C47" i="10"/>
  <c r="C46" i="10"/>
  <c r="C45" i="10"/>
  <c r="C44" i="10"/>
  <c r="C43" i="10"/>
  <c r="C42" i="10"/>
  <c r="C41" i="10"/>
  <c r="C38" i="10"/>
  <c r="C37" i="10"/>
  <c r="C36" i="10"/>
  <c r="C35" i="10"/>
  <c r="C34" i="10"/>
  <c r="C33" i="10"/>
  <c r="C32" i="10"/>
  <c r="C28" i="10"/>
  <c r="C26" i="10"/>
  <c r="C24" i="10"/>
  <c r="C22" i="10"/>
  <c r="C21" i="10"/>
  <c r="C18" i="10"/>
  <c r="C17" i="10"/>
  <c r="C15" i="10"/>
  <c r="C14" i="10"/>
  <c r="C13" i="10"/>
  <c r="C12" i="10"/>
  <c r="S19" i="5"/>
  <c r="L105" i="10"/>
  <c r="J105" i="10"/>
  <c r="H105" i="5"/>
  <c r="G105" i="5"/>
  <c r="N101" i="10"/>
  <c r="L101" i="10"/>
  <c r="J101" i="10"/>
  <c r="H101" i="10"/>
  <c r="F101" i="10"/>
  <c r="D101" i="10"/>
  <c r="B101" i="10"/>
  <c r="N97" i="10"/>
  <c r="L97" i="10"/>
  <c r="J97" i="10"/>
  <c r="H97" i="10"/>
  <c r="F97" i="10"/>
  <c r="D97" i="10"/>
  <c r="B97" i="10"/>
  <c r="N96" i="10"/>
  <c r="L96" i="10"/>
  <c r="J96" i="10"/>
  <c r="H96" i="10"/>
  <c r="F96" i="10"/>
  <c r="D96" i="10"/>
  <c r="B96" i="10"/>
  <c r="N95" i="10"/>
  <c r="L95" i="10"/>
  <c r="J95" i="10"/>
  <c r="H95" i="10"/>
  <c r="F95" i="10"/>
  <c r="D95" i="10"/>
  <c r="B95" i="10"/>
  <c r="N94" i="10"/>
  <c r="L94" i="10"/>
  <c r="J94" i="10"/>
  <c r="H94" i="10"/>
  <c r="F94" i="10"/>
  <c r="D94" i="10"/>
  <c r="B94" i="10"/>
  <c r="N90" i="10"/>
  <c r="L90" i="10"/>
  <c r="J90" i="10"/>
  <c r="H90" i="10"/>
  <c r="F90" i="10"/>
  <c r="D90" i="10"/>
  <c r="B90" i="10"/>
  <c r="N89" i="10"/>
  <c r="L89" i="10"/>
  <c r="J89" i="10"/>
  <c r="H89" i="10"/>
  <c r="F89" i="10"/>
  <c r="D89" i="10"/>
  <c r="B89" i="10"/>
  <c r="N88" i="10"/>
  <c r="L88" i="10"/>
  <c r="J88" i="10"/>
  <c r="H88" i="10"/>
  <c r="F88" i="10"/>
  <c r="D88" i="10"/>
  <c r="B88" i="10"/>
  <c r="N87" i="10"/>
  <c r="L87" i="10"/>
  <c r="J87" i="10"/>
  <c r="H87" i="10"/>
  <c r="F87" i="10"/>
  <c r="D87" i="10"/>
  <c r="B87" i="10"/>
  <c r="N86" i="10"/>
  <c r="L86" i="10"/>
  <c r="J86" i="10"/>
  <c r="H86" i="10"/>
  <c r="F86" i="10"/>
  <c r="D86" i="10"/>
  <c r="B86" i="10"/>
  <c r="N85" i="10"/>
  <c r="L85" i="10"/>
  <c r="J85" i="10"/>
  <c r="H85" i="10"/>
  <c r="F85" i="10"/>
  <c r="D85" i="10"/>
  <c r="B85" i="10"/>
  <c r="N84" i="10"/>
  <c r="L84" i="10"/>
  <c r="J84" i="10"/>
  <c r="H84" i="10"/>
  <c r="F84" i="10"/>
  <c r="D84" i="10"/>
  <c r="B84" i="10"/>
  <c r="N83" i="10"/>
  <c r="L83" i="10"/>
  <c r="J83" i="10"/>
  <c r="H83" i="10"/>
  <c r="F83" i="10"/>
  <c r="D83" i="10"/>
  <c r="B83" i="10"/>
  <c r="N78" i="10"/>
  <c r="N80" i="10" s="1"/>
  <c r="L78" i="10"/>
  <c r="L80" i="10" s="1"/>
  <c r="J78" i="10"/>
  <c r="J80" i="10" s="1"/>
  <c r="H78" i="10"/>
  <c r="H80" i="10" s="1"/>
  <c r="F78" i="10"/>
  <c r="F80" i="10" s="1"/>
  <c r="D78" i="10"/>
  <c r="D80" i="10" s="1"/>
  <c r="B78" i="10"/>
  <c r="N64" i="10"/>
  <c r="L64" i="10"/>
  <c r="J64" i="10"/>
  <c r="H64" i="10"/>
  <c r="F64" i="10"/>
  <c r="D64" i="10"/>
  <c r="B64" i="10"/>
  <c r="N63" i="10"/>
  <c r="L63" i="10"/>
  <c r="J63" i="10"/>
  <c r="H63" i="10"/>
  <c r="F63" i="10"/>
  <c r="D63" i="10"/>
  <c r="B63" i="10"/>
  <c r="N62" i="10"/>
  <c r="L62" i="10"/>
  <c r="J62" i="10"/>
  <c r="H62" i="10"/>
  <c r="F62" i="10"/>
  <c r="D62" i="10"/>
  <c r="B62" i="10"/>
  <c r="N54" i="10"/>
  <c r="L54" i="10"/>
  <c r="J54" i="10"/>
  <c r="H54" i="10"/>
  <c r="F54" i="10"/>
  <c r="D54" i="10"/>
  <c r="B54" i="10"/>
  <c r="N53" i="10"/>
  <c r="L53" i="10"/>
  <c r="J53" i="10"/>
  <c r="H53" i="10"/>
  <c r="F53" i="10"/>
  <c r="D53" i="10"/>
  <c r="B53" i="10"/>
  <c r="N52" i="10"/>
  <c r="L52" i="10"/>
  <c r="J52" i="10"/>
  <c r="H52" i="10"/>
  <c r="F52" i="10"/>
  <c r="D52" i="10"/>
  <c r="B52" i="10"/>
  <c r="N51" i="10"/>
  <c r="L51" i="10"/>
  <c r="J51" i="10"/>
  <c r="H51" i="10"/>
  <c r="F51" i="10"/>
  <c r="D51" i="10"/>
  <c r="B51" i="10"/>
  <c r="N49" i="10"/>
  <c r="L49" i="10"/>
  <c r="J49" i="10"/>
  <c r="H49" i="10"/>
  <c r="F49" i="10"/>
  <c r="D49" i="10"/>
  <c r="B49" i="10"/>
  <c r="N46" i="10"/>
  <c r="L46" i="10"/>
  <c r="J46" i="10"/>
  <c r="H46" i="10"/>
  <c r="F46" i="10"/>
  <c r="D46" i="10"/>
  <c r="B46" i="10"/>
  <c r="N45" i="10"/>
  <c r="L45" i="10"/>
  <c r="J45" i="10"/>
  <c r="H45" i="10"/>
  <c r="F45" i="10"/>
  <c r="D45" i="10"/>
  <c r="B45" i="10"/>
  <c r="N44" i="10"/>
  <c r="L44" i="10"/>
  <c r="J44" i="10"/>
  <c r="H44" i="10"/>
  <c r="F44" i="10"/>
  <c r="D44" i="10"/>
  <c r="B44" i="10"/>
  <c r="N43" i="10"/>
  <c r="L43" i="10"/>
  <c r="J43" i="10"/>
  <c r="H43" i="10"/>
  <c r="F43" i="10"/>
  <c r="D43" i="10"/>
  <c r="B43" i="10"/>
  <c r="N42" i="10"/>
  <c r="L42" i="10"/>
  <c r="J42" i="10"/>
  <c r="H42" i="10"/>
  <c r="F42" i="10"/>
  <c r="D42" i="10"/>
  <c r="B42" i="10"/>
  <c r="N41" i="10"/>
  <c r="L41" i="10"/>
  <c r="J41" i="10"/>
  <c r="H41" i="10"/>
  <c r="F41" i="10"/>
  <c r="D41" i="10"/>
  <c r="B41" i="10"/>
  <c r="N35" i="10"/>
  <c r="L35" i="10"/>
  <c r="J35" i="10"/>
  <c r="H35" i="10"/>
  <c r="F35" i="10"/>
  <c r="D35" i="10"/>
  <c r="B35" i="10"/>
  <c r="N34" i="10"/>
  <c r="L34" i="10"/>
  <c r="J34" i="10"/>
  <c r="H34" i="10"/>
  <c r="F34" i="10"/>
  <c r="D34" i="10"/>
  <c r="B34" i="10"/>
  <c r="N33" i="10"/>
  <c r="L33" i="10"/>
  <c r="J33" i="10"/>
  <c r="H33" i="10"/>
  <c r="F33" i="10"/>
  <c r="D33" i="10"/>
  <c r="B33" i="10"/>
  <c r="N32" i="10"/>
  <c r="L32" i="10"/>
  <c r="J32" i="10"/>
  <c r="H32" i="10"/>
  <c r="F32" i="10"/>
  <c r="D32" i="10"/>
  <c r="B32" i="10"/>
  <c r="N28" i="10"/>
  <c r="L28" i="10"/>
  <c r="J28" i="10"/>
  <c r="H28" i="10"/>
  <c r="F28" i="10"/>
  <c r="D28" i="10"/>
  <c r="B28" i="10"/>
  <c r="N26" i="10"/>
  <c r="L26" i="10"/>
  <c r="J26" i="10"/>
  <c r="H26" i="10"/>
  <c r="F26" i="10"/>
  <c r="D26" i="10"/>
  <c r="B26" i="10"/>
  <c r="N23" i="10"/>
  <c r="L23" i="10"/>
  <c r="J23" i="10"/>
  <c r="H23" i="10"/>
  <c r="F23" i="10"/>
  <c r="D23" i="10"/>
  <c r="B23" i="10"/>
  <c r="N22" i="10"/>
  <c r="L22" i="10"/>
  <c r="J22" i="10"/>
  <c r="H22" i="10"/>
  <c r="F22" i="10"/>
  <c r="D22" i="10"/>
  <c r="B22" i="10"/>
  <c r="N21" i="10"/>
  <c r="L21" i="10"/>
  <c r="J21" i="10"/>
  <c r="H21" i="10"/>
  <c r="F21" i="10"/>
  <c r="D21" i="10"/>
  <c r="B21" i="10"/>
  <c r="N17" i="10"/>
  <c r="L17" i="10"/>
  <c r="J17" i="10"/>
  <c r="H17" i="10"/>
  <c r="F17" i="10"/>
  <c r="D17" i="10"/>
  <c r="B17" i="10"/>
  <c r="N16" i="10"/>
  <c r="L16" i="10"/>
  <c r="J16" i="10"/>
  <c r="H16" i="10"/>
  <c r="F16" i="10"/>
  <c r="D16" i="10"/>
  <c r="B16" i="10"/>
  <c r="N15" i="10"/>
  <c r="L15" i="10"/>
  <c r="J15" i="10"/>
  <c r="H15" i="10"/>
  <c r="F15" i="10"/>
  <c r="D15" i="10"/>
  <c r="B15" i="10"/>
  <c r="N14" i="10"/>
  <c r="L14" i="10"/>
  <c r="J14" i="10"/>
  <c r="H14" i="10"/>
  <c r="F14" i="10"/>
  <c r="D14" i="10"/>
  <c r="B14" i="10"/>
  <c r="N13" i="10"/>
  <c r="L13" i="10"/>
  <c r="J13" i="10"/>
  <c r="H13" i="10"/>
  <c r="F13" i="10"/>
  <c r="D13" i="10"/>
  <c r="B13" i="10"/>
  <c r="N12" i="10"/>
  <c r="L12" i="10"/>
  <c r="J12" i="10"/>
  <c r="H12" i="10"/>
  <c r="F12" i="10"/>
  <c r="D12" i="10"/>
  <c r="B12" i="10"/>
  <c r="N105" i="10"/>
  <c r="H105" i="10"/>
  <c r="F105" i="10"/>
  <c r="D105" i="10"/>
  <c r="B105" i="10"/>
  <c r="B80" i="10"/>
  <c r="N76" i="10"/>
  <c r="L76" i="10"/>
  <c r="J76" i="10"/>
  <c r="H76" i="10"/>
  <c r="F76" i="10"/>
  <c r="D76" i="10"/>
  <c r="B76" i="10"/>
  <c r="A72" i="10"/>
  <c r="A70" i="10"/>
  <c r="I101" i="5"/>
  <c r="I89" i="5"/>
  <c r="I85" i="5"/>
  <c r="S45" i="5"/>
  <c r="I46" i="5"/>
  <c r="H89" i="5"/>
  <c r="H85" i="5"/>
  <c r="D65" i="10" l="1"/>
  <c r="H24" i="10"/>
  <c r="H36" i="10"/>
  <c r="F55" i="10"/>
  <c r="J98" i="10"/>
  <c r="H65" i="10"/>
  <c r="N24" i="10"/>
  <c r="L24" i="10"/>
  <c r="N18" i="10"/>
  <c r="D36" i="10"/>
  <c r="D37" i="10" s="1"/>
  <c r="B65" i="10"/>
  <c r="J36" i="10"/>
  <c r="J37" i="10" s="1"/>
  <c r="B98" i="10"/>
  <c r="N36" i="10"/>
  <c r="F36" i="10"/>
  <c r="F37" i="10" s="1"/>
  <c r="H47" i="10"/>
  <c r="L47" i="10"/>
  <c r="B47" i="10"/>
  <c r="N65" i="10"/>
  <c r="B24" i="10"/>
  <c r="L36" i="10"/>
  <c r="L37" i="10" s="1"/>
  <c r="J65" i="10"/>
  <c r="D98" i="10"/>
  <c r="H98" i="10"/>
  <c r="H18" i="10"/>
  <c r="J18" i="10"/>
  <c r="D24" i="10"/>
  <c r="F24" i="10"/>
  <c r="F47" i="10"/>
  <c r="F57" i="10" s="1"/>
  <c r="L65" i="10"/>
  <c r="F98" i="10"/>
  <c r="H55" i="10"/>
  <c r="H57" i="10" s="1"/>
  <c r="N47" i="10"/>
  <c r="D47" i="10"/>
  <c r="N98" i="10"/>
  <c r="J24" i="10"/>
  <c r="B36" i="10"/>
  <c r="B37" i="10" s="1"/>
  <c r="J47" i="10"/>
  <c r="J55" i="10"/>
  <c r="L98" i="10"/>
  <c r="F65" i="10"/>
  <c r="B55" i="10"/>
  <c r="D55" i="10"/>
  <c r="L55" i="10"/>
  <c r="N55" i="10"/>
  <c r="L18" i="10"/>
  <c r="D18" i="10"/>
  <c r="D91" i="10"/>
  <c r="D92" i="10" s="1"/>
  <c r="D100" i="10" s="1"/>
  <c r="F91" i="10"/>
  <c r="F92" i="10" s="1"/>
  <c r="H91" i="10"/>
  <c r="H92" i="10" s="1"/>
  <c r="J91" i="10"/>
  <c r="J92" i="10" s="1"/>
  <c r="H37" i="10"/>
  <c r="N91" i="10"/>
  <c r="B91" i="10"/>
  <c r="B92" i="10" s="1"/>
  <c r="F18" i="10"/>
  <c r="L91" i="10"/>
  <c r="L92" i="10" s="1"/>
  <c r="B18" i="10"/>
  <c r="R53" i="5"/>
  <c r="Q53" i="5"/>
  <c r="P53" i="5"/>
  <c r="O53" i="5"/>
  <c r="N53" i="5"/>
  <c r="M53" i="5"/>
  <c r="L53" i="5"/>
  <c r="K53" i="5"/>
  <c r="H46" i="5"/>
  <c r="H28" i="5"/>
  <c r="H51" i="9"/>
  <c r="G51" i="9"/>
  <c r="H40" i="9"/>
  <c r="G40" i="9"/>
  <c r="G10" i="9"/>
  <c r="H8" i="9"/>
  <c r="G8" i="9"/>
  <c r="R101" i="5"/>
  <c r="Q98" i="5"/>
  <c r="Q97" i="5"/>
  <c r="Q96" i="5"/>
  <c r="R95" i="5"/>
  <c r="Q95" i="5"/>
  <c r="Q94" i="5"/>
  <c r="Q91" i="5"/>
  <c r="Q90" i="5"/>
  <c r="R89" i="5"/>
  <c r="Q88" i="5"/>
  <c r="Q87" i="5"/>
  <c r="Q86" i="5"/>
  <c r="R85" i="5"/>
  <c r="R84" i="5"/>
  <c r="Q84" i="5"/>
  <c r="Q83" i="5"/>
  <c r="R80" i="5"/>
  <c r="Q80" i="5"/>
  <c r="Q78" i="5"/>
  <c r="R76" i="5"/>
  <c r="Q76" i="5"/>
  <c r="G149" i="5"/>
  <c r="H120" i="5"/>
  <c r="G120" i="5"/>
  <c r="G101" i="5"/>
  <c r="Q101" i="5" s="1"/>
  <c r="H98" i="5"/>
  <c r="G98" i="5"/>
  <c r="H91" i="5"/>
  <c r="R91" i="5" s="1"/>
  <c r="G89" i="5"/>
  <c r="Q89" i="5" s="1"/>
  <c r="G85" i="5"/>
  <c r="G91" i="5" s="1"/>
  <c r="H80" i="5"/>
  <c r="H137" i="5" s="1"/>
  <c r="G80" i="5"/>
  <c r="G137" i="5" s="1"/>
  <c r="H76" i="5"/>
  <c r="H115" i="5" s="1"/>
  <c r="H65" i="5"/>
  <c r="H154" i="5" s="1"/>
  <c r="G65" i="5"/>
  <c r="G154" i="5" s="1"/>
  <c r="H55" i="5"/>
  <c r="G55" i="5"/>
  <c r="H47" i="5"/>
  <c r="H119" i="5" s="1"/>
  <c r="G46" i="5"/>
  <c r="G47" i="5" s="1"/>
  <c r="G119" i="5" s="1"/>
  <c r="H36" i="5"/>
  <c r="G36" i="5"/>
  <c r="G28" i="5"/>
  <c r="G37" i="5" s="1"/>
  <c r="H24" i="5"/>
  <c r="G24" i="5"/>
  <c r="H18" i="5"/>
  <c r="G18" i="5"/>
  <c r="G76" i="5"/>
  <c r="G115" i="5" s="1"/>
  <c r="B57" i="10" l="1"/>
  <c r="H66" i="10"/>
  <c r="H38" i="10"/>
  <c r="J57" i="10"/>
  <c r="J66" i="10" s="1"/>
  <c r="N38" i="10"/>
  <c r="J100" i="10"/>
  <c r="J103" i="10" s="1"/>
  <c r="K103" i="10" s="1"/>
  <c r="L57" i="10"/>
  <c r="L66" i="10" s="1"/>
  <c r="B66" i="10"/>
  <c r="B100" i="10"/>
  <c r="B103" i="10" s="1"/>
  <c r="C103" i="10" s="1"/>
  <c r="N37" i="10"/>
  <c r="L38" i="10"/>
  <c r="L100" i="10"/>
  <c r="L103" i="10" s="1"/>
  <c r="M103" i="10" s="1"/>
  <c r="J38" i="10"/>
  <c r="F66" i="10"/>
  <c r="H100" i="10"/>
  <c r="H103" i="10" s="1"/>
  <c r="I103" i="10" s="1"/>
  <c r="F100" i="10"/>
  <c r="F103" i="10" s="1"/>
  <c r="G103" i="10" s="1"/>
  <c r="D57" i="10"/>
  <c r="D66" i="10" s="1"/>
  <c r="D103" i="10"/>
  <c r="E103" i="10" s="1"/>
  <c r="N57" i="10"/>
  <c r="N66" i="10" s="1"/>
  <c r="D38" i="10"/>
  <c r="J67" i="10"/>
  <c r="H67" i="10"/>
  <c r="N92" i="10"/>
  <c r="N100" i="10" s="1"/>
  <c r="F38" i="10"/>
  <c r="B38" i="10"/>
  <c r="R78" i="5"/>
  <c r="R90" i="5"/>
  <c r="R86" i="5"/>
  <c r="R96" i="5"/>
  <c r="H129" i="5"/>
  <c r="R87" i="5"/>
  <c r="R97" i="5"/>
  <c r="R83" i="5"/>
  <c r="H10" i="9"/>
  <c r="R88" i="5"/>
  <c r="R94" i="5"/>
  <c r="R98" i="5"/>
  <c r="Q37" i="5"/>
  <c r="Q28" i="5"/>
  <c r="Q85" i="5"/>
  <c r="Q47" i="5"/>
  <c r="H57" i="5"/>
  <c r="H123" i="5" s="1"/>
  <c r="H118" i="5"/>
  <c r="G118" i="5"/>
  <c r="H136" i="5"/>
  <c r="H149" i="5"/>
  <c r="H152" i="5"/>
  <c r="H153" i="5"/>
  <c r="H124" i="5"/>
  <c r="H138" i="5"/>
  <c r="H38" i="5"/>
  <c r="H37" i="5"/>
  <c r="G129" i="5"/>
  <c r="G152" i="5"/>
  <c r="G138" i="5"/>
  <c r="G38" i="5"/>
  <c r="G57" i="5"/>
  <c r="G124" i="5"/>
  <c r="G136" i="5"/>
  <c r="G153" i="5"/>
  <c r="G92" i="5"/>
  <c r="G125" i="5"/>
  <c r="G148" i="5"/>
  <c r="H92" i="5"/>
  <c r="H125" i="5"/>
  <c r="H148" i="5"/>
  <c r="I105" i="5"/>
  <c r="I51" i="9"/>
  <c r="I40" i="9"/>
  <c r="I47" i="5"/>
  <c r="K16" i="5"/>
  <c r="F13" i="5"/>
  <c r="I8" i="9"/>
  <c r="I76" i="5"/>
  <c r="I115" i="5" s="1"/>
  <c r="I98" i="5"/>
  <c r="I80" i="5"/>
  <c r="S101" i="5" s="1"/>
  <c r="I65" i="5"/>
  <c r="I153" i="5" s="1"/>
  <c r="I55" i="5"/>
  <c r="I36" i="5"/>
  <c r="I24" i="5"/>
  <c r="I28" i="5" s="1"/>
  <c r="A3" i="9"/>
  <c r="E8" i="9"/>
  <c r="D8" i="9"/>
  <c r="C8" i="9"/>
  <c r="B8" i="9"/>
  <c r="F8" i="9"/>
  <c r="A10" i="9"/>
  <c r="K71" i="5"/>
  <c r="T75" i="5"/>
  <c r="T76" i="5"/>
  <c r="P76" i="5"/>
  <c r="O76" i="5"/>
  <c r="N76" i="5"/>
  <c r="M76" i="5"/>
  <c r="L76" i="5"/>
  <c r="T68" i="5"/>
  <c r="K105" i="5"/>
  <c r="K103" i="5"/>
  <c r="K102" i="5"/>
  <c r="K101" i="5"/>
  <c r="K100" i="5"/>
  <c r="K98" i="5"/>
  <c r="K97" i="5"/>
  <c r="K96" i="5"/>
  <c r="K95" i="5"/>
  <c r="K94" i="5"/>
  <c r="K92" i="5"/>
  <c r="K91" i="5"/>
  <c r="K90" i="5"/>
  <c r="K89" i="5"/>
  <c r="K88" i="5"/>
  <c r="K87" i="5"/>
  <c r="K86" i="5"/>
  <c r="K85" i="5"/>
  <c r="K84" i="5"/>
  <c r="K83" i="5"/>
  <c r="K82" i="5"/>
  <c r="K80" i="5"/>
  <c r="K78" i="5"/>
  <c r="C105" i="5"/>
  <c r="B105" i="5"/>
  <c r="F105" i="5"/>
  <c r="E105" i="5"/>
  <c r="D105" i="5"/>
  <c r="F76" i="5"/>
  <c r="F115" i="5" s="1"/>
  <c r="E76" i="5"/>
  <c r="E115" i="5" s="1"/>
  <c r="D76" i="5"/>
  <c r="D115" i="5" s="1"/>
  <c r="C76" i="5"/>
  <c r="C115" i="5" s="1"/>
  <c r="B76" i="5"/>
  <c r="B115" i="5" s="1"/>
  <c r="J68" i="5"/>
  <c r="J107" i="5" s="1"/>
  <c r="K66" i="5"/>
  <c r="K65" i="5"/>
  <c r="K64" i="5"/>
  <c r="K63" i="5"/>
  <c r="K62" i="5"/>
  <c r="K61" i="5"/>
  <c r="K59" i="5"/>
  <c r="K57" i="5"/>
  <c r="K55" i="5"/>
  <c r="K54" i="5"/>
  <c r="K52" i="5"/>
  <c r="K51" i="5"/>
  <c r="K50" i="5"/>
  <c r="K49" i="5"/>
  <c r="K47" i="5"/>
  <c r="K46" i="5"/>
  <c r="K45" i="5"/>
  <c r="K44" i="5"/>
  <c r="K43" i="5"/>
  <c r="K42" i="5"/>
  <c r="K41" i="5"/>
  <c r="K40" i="5"/>
  <c r="K38" i="5"/>
  <c r="K37" i="5"/>
  <c r="K36" i="5"/>
  <c r="K35" i="5"/>
  <c r="K34" i="5"/>
  <c r="K33" i="5"/>
  <c r="K32" i="5"/>
  <c r="K31" i="5"/>
  <c r="K30" i="5"/>
  <c r="K28" i="5"/>
  <c r="K26" i="5"/>
  <c r="K24" i="5"/>
  <c r="K23" i="5"/>
  <c r="K22" i="5"/>
  <c r="K21" i="5"/>
  <c r="K20" i="5"/>
  <c r="K18" i="5"/>
  <c r="K17" i="5"/>
  <c r="K15" i="5"/>
  <c r="K14" i="5"/>
  <c r="K13" i="5"/>
  <c r="K12" i="5"/>
  <c r="K11" i="5"/>
  <c r="C13" i="5"/>
  <c r="B13" i="5"/>
  <c r="E13" i="5"/>
  <c r="J6" i="9"/>
  <c r="F51" i="9"/>
  <c r="E51" i="9"/>
  <c r="D51" i="9"/>
  <c r="C51" i="9"/>
  <c r="B51" i="9"/>
  <c r="E40" i="9"/>
  <c r="D40" i="9"/>
  <c r="B40" i="9"/>
  <c r="C40" i="9"/>
  <c r="A5" i="9"/>
  <c r="F101" i="5"/>
  <c r="F89" i="5"/>
  <c r="F85" i="5"/>
  <c r="F46" i="5"/>
  <c r="B101" i="5"/>
  <c r="B89" i="5"/>
  <c r="B46" i="5"/>
  <c r="C46" i="5"/>
  <c r="B17" i="5"/>
  <c r="C101" i="5"/>
  <c r="C89" i="5"/>
  <c r="C85" i="5"/>
  <c r="C17" i="5"/>
  <c r="E101" i="5"/>
  <c r="D101" i="5"/>
  <c r="E89" i="5"/>
  <c r="D89" i="5"/>
  <c r="E85" i="5"/>
  <c r="D85" i="5"/>
  <c r="E46" i="5"/>
  <c r="D46" i="5"/>
  <c r="B65" i="5"/>
  <c r="E17" i="5"/>
  <c r="D17" i="5"/>
  <c r="F24" i="5"/>
  <c r="N67" i="10" l="1"/>
  <c r="D67" i="10"/>
  <c r="L67" i="10"/>
  <c r="F67" i="10"/>
  <c r="N103" i="10"/>
  <c r="O103" i="10" s="1"/>
  <c r="B67" i="10"/>
  <c r="H100" i="5"/>
  <c r="R100" i="5" s="1"/>
  <c r="R92" i="5"/>
  <c r="G66" i="5"/>
  <c r="M66" i="10" s="1"/>
  <c r="Q57" i="5"/>
  <c r="Q64" i="5"/>
  <c r="Q49" i="5"/>
  <c r="Q22" i="5"/>
  <c r="Q12" i="5"/>
  <c r="Q63" i="5"/>
  <c r="Q36" i="5"/>
  <c r="Q62" i="5"/>
  <c r="Q46" i="5"/>
  <c r="Q35" i="5"/>
  <c r="Q18" i="5"/>
  <c r="Q21" i="5"/>
  <c r="Q34" i="5"/>
  <c r="Q55" i="5"/>
  <c r="Q43" i="5"/>
  <c r="Q33" i="5"/>
  <c r="Q16" i="5"/>
  <c r="Q54" i="5"/>
  <c r="Q42" i="5"/>
  <c r="Q15" i="5"/>
  <c r="Q52" i="5"/>
  <c r="Q41" i="5"/>
  <c r="Q26" i="5"/>
  <c r="Q14" i="5"/>
  <c r="Q65" i="5"/>
  <c r="Q51" i="5"/>
  <c r="Q38" i="5"/>
  <c r="Q24" i="5"/>
  <c r="Q13" i="5"/>
  <c r="Q44" i="5"/>
  <c r="Q17" i="5"/>
  <c r="G100" i="5"/>
  <c r="Q100" i="5" s="1"/>
  <c r="Q92" i="5"/>
  <c r="H66" i="5"/>
  <c r="R62" i="5"/>
  <c r="R52" i="5"/>
  <c r="R46" i="5"/>
  <c r="R18" i="5"/>
  <c r="R65" i="5"/>
  <c r="R57" i="5"/>
  <c r="R51" i="5"/>
  <c r="R44" i="5"/>
  <c r="R38" i="5"/>
  <c r="R34" i="5"/>
  <c r="R24" i="5"/>
  <c r="R17" i="5"/>
  <c r="R13" i="5"/>
  <c r="R37" i="5"/>
  <c r="R16" i="5"/>
  <c r="R47" i="5"/>
  <c r="R36" i="5"/>
  <c r="R15" i="5"/>
  <c r="R35" i="5"/>
  <c r="R14" i="5"/>
  <c r="R55" i="5"/>
  <c r="R33" i="5"/>
  <c r="R54" i="5"/>
  <c r="R28" i="5"/>
  <c r="R26" i="5"/>
  <c r="R64" i="5"/>
  <c r="R49" i="5"/>
  <c r="R43" i="5"/>
  <c r="R22" i="5"/>
  <c r="R12" i="5"/>
  <c r="R63" i="5"/>
  <c r="R42" i="5"/>
  <c r="R21" i="5"/>
  <c r="R41" i="5"/>
  <c r="G126" i="5"/>
  <c r="G123" i="5"/>
  <c r="I10" i="9"/>
  <c r="I91" i="5"/>
  <c r="I92" i="5" s="1"/>
  <c r="S76" i="5"/>
  <c r="S80" i="5"/>
  <c r="T80" i="5" s="1"/>
  <c r="S84" i="5"/>
  <c r="S86" i="5"/>
  <c r="S88" i="5"/>
  <c r="S90" i="5"/>
  <c r="S95" i="5"/>
  <c r="S97" i="5"/>
  <c r="S78" i="5"/>
  <c r="T78" i="5" s="1"/>
  <c r="S83" i="5"/>
  <c r="S85" i="5"/>
  <c r="S87" i="5"/>
  <c r="S89" i="5"/>
  <c r="S94" i="5"/>
  <c r="S96" i="5"/>
  <c r="S98" i="5"/>
  <c r="I37" i="5"/>
  <c r="I57" i="5"/>
  <c r="I66" i="5" s="1"/>
  <c r="I18" i="5"/>
  <c r="I119" i="5"/>
  <c r="I125" i="5"/>
  <c r="I129" i="5"/>
  <c r="I137" i="5"/>
  <c r="I148" i="5"/>
  <c r="I152" i="5"/>
  <c r="I154" i="5"/>
  <c r="I124" i="5"/>
  <c r="I136" i="5"/>
  <c r="I149" i="5"/>
  <c r="F40" i="9"/>
  <c r="D18" i="5"/>
  <c r="F36" i="5"/>
  <c r="J74" i="5"/>
  <c r="D80" i="5"/>
  <c r="D129" i="5" s="1"/>
  <c r="D91" i="5"/>
  <c r="D98" i="5"/>
  <c r="N98" i="5" s="1"/>
  <c r="E80" i="5"/>
  <c r="E98" i="5"/>
  <c r="C80" i="5"/>
  <c r="D120" i="5" s="1"/>
  <c r="C91" i="5"/>
  <c r="C98" i="5"/>
  <c r="C47" i="5"/>
  <c r="C18" i="5"/>
  <c r="D24" i="5"/>
  <c r="D36" i="5"/>
  <c r="F80" i="5"/>
  <c r="I120" i="5" s="1"/>
  <c r="F98" i="5"/>
  <c r="B80" i="5"/>
  <c r="K3" i="5"/>
  <c r="K70" i="5" s="1"/>
  <c r="B18" i="5"/>
  <c r="E18" i="5"/>
  <c r="C24" i="5"/>
  <c r="E24" i="5"/>
  <c r="C36" i="5"/>
  <c r="E36" i="5"/>
  <c r="F47" i="5"/>
  <c r="E47" i="5"/>
  <c r="D55" i="5"/>
  <c r="D124" i="5" s="1"/>
  <c r="F55" i="5"/>
  <c r="E55" i="5"/>
  <c r="E65" i="5"/>
  <c r="E149" i="5" s="1"/>
  <c r="C65" i="5"/>
  <c r="C153" i="5" s="1"/>
  <c r="F65" i="5"/>
  <c r="F153" i="5" s="1"/>
  <c r="A72" i="5"/>
  <c r="B98" i="5"/>
  <c r="A111" i="5"/>
  <c r="D137" i="5"/>
  <c r="E137" i="5"/>
  <c r="F137" i="5"/>
  <c r="D65" i="5"/>
  <c r="D149" i="5" s="1"/>
  <c r="B148" i="5"/>
  <c r="B36" i="5"/>
  <c r="B24" i="5"/>
  <c r="B91" i="5"/>
  <c r="B55" i="5"/>
  <c r="F28" i="5"/>
  <c r="C55" i="5"/>
  <c r="C57" i="5" s="1"/>
  <c r="B47" i="5"/>
  <c r="D47" i="5"/>
  <c r="B149" i="5"/>
  <c r="A70" i="5"/>
  <c r="B154" i="5"/>
  <c r="B152" i="5"/>
  <c r="D154" i="5"/>
  <c r="E91" i="5"/>
  <c r="C118" i="5"/>
  <c r="F91" i="5"/>
  <c r="D92" i="5"/>
  <c r="N92" i="5" s="1"/>
  <c r="B118" i="5"/>
  <c r="D148" i="5"/>
  <c r="D100" i="5"/>
  <c r="R66" i="5" l="1"/>
  <c r="O66" i="10"/>
  <c r="H126" i="5"/>
  <c r="H103" i="5"/>
  <c r="H130" i="5" s="1"/>
  <c r="H67" i="5"/>
  <c r="G67" i="5"/>
  <c r="Q66" i="5"/>
  <c r="G103" i="5"/>
  <c r="G130" i="5"/>
  <c r="G133" i="5"/>
  <c r="D152" i="5"/>
  <c r="F120" i="5"/>
  <c r="S91" i="5"/>
  <c r="C136" i="5"/>
  <c r="E136" i="5"/>
  <c r="P91" i="5"/>
  <c r="B28" i="5"/>
  <c r="C154" i="5"/>
  <c r="I123" i="5"/>
  <c r="C129" i="5"/>
  <c r="C148" i="5"/>
  <c r="C66" i="5"/>
  <c r="E66" i="10" s="1"/>
  <c r="C137" i="5"/>
  <c r="E148" i="5"/>
  <c r="M98" i="5"/>
  <c r="I100" i="5"/>
  <c r="S100" i="5" s="1"/>
  <c r="S92" i="5"/>
  <c r="I118" i="5"/>
  <c r="I38" i="5"/>
  <c r="L101" i="5"/>
  <c r="B129" i="5"/>
  <c r="P101" i="5"/>
  <c r="F129" i="5"/>
  <c r="O85" i="5"/>
  <c r="E129" i="5"/>
  <c r="E154" i="5"/>
  <c r="P98" i="5"/>
  <c r="M91" i="5"/>
  <c r="O98" i="5"/>
  <c r="E92" i="5"/>
  <c r="O92" i="5" s="1"/>
  <c r="O91" i="5"/>
  <c r="B92" i="5"/>
  <c r="L91" i="5"/>
  <c r="D10" i="9"/>
  <c r="N97" i="5"/>
  <c r="N96" i="5"/>
  <c r="N95" i="5"/>
  <c r="N94" i="5"/>
  <c r="N90" i="5"/>
  <c r="N88" i="5"/>
  <c r="N87" i="5"/>
  <c r="N86" i="5"/>
  <c r="N84" i="5"/>
  <c r="N83" i="5"/>
  <c r="N80" i="5"/>
  <c r="N78" i="5"/>
  <c r="P89" i="5"/>
  <c r="N101" i="5"/>
  <c r="N85" i="5"/>
  <c r="O101" i="5"/>
  <c r="N100" i="5"/>
  <c r="L98" i="5"/>
  <c r="L97" i="5"/>
  <c r="L95" i="5"/>
  <c r="L90" i="5"/>
  <c r="L88" i="5"/>
  <c r="L86" i="5"/>
  <c r="L84" i="5"/>
  <c r="L80" i="5"/>
  <c r="L96" i="5"/>
  <c r="L94" i="5"/>
  <c r="L87" i="5"/>
  <c r="L85" i="5"/>
  <c r="L83" i="5"/>
  <c r="L78" i="5"/>
  <c r="F10" i="9"/>
  <c r="P97" i="5"/>
  <c r="P96" i="5"/>
  <c r="P95" i="5"/>
  <c r="P94" i="5"/>
  <c r="P90" i="5"/>
  <c r="P88" i="5"/>
  <c r="P87" i="5"/>
  <c r="P86" i="5"/>
  <c r="P84" i="5"/>
  <c r="P83" i="5"/>
  <c r="P80" i="5"/>
  <c r="P78" i="5"/>
  <c r="C10" i="9"/>
  <c r="M97" i="5"/>
  <c r="M96" i="5"/>
  <c r="M95" i="5"/>
  <c r="M94" i="5"/>
  <c r="M90" i="5"/>
  <c r="M88" i="5"/>
  <c r="M87" i="5"/>
  <c r="M86" i="5"/>
  <c r="M84" i="5"/>
  <c r="M83" i="5"/>
  <c r="M80" i="5"/>
  <c r="M78" i="5"/>
  <c r="O97" i="5"/>
  <c r="O96" i="5"/>
  <c r="O95" i="5"/>
  <c r="O94" i="5"/>
  <c r="O90" i="5"/>
  <c r="O88" i="5"/>
  <c r="O87" i="5"/>
  <c r="O86" i="5"/>
  <c r="O84" i="5"/>
  <c r="O83" i="5"/>
  <c r="O80" i="5"/>
  <c r="O78" i="5"/>
  <c r="C152" i="5"/>
  <c r="C149" i="5"/>
  <c r="N91" i="5"/>
  <c r="P85" i="5"/>
  <c r="M85" i="5"/>
  <c r="L89" i="5"/>
  <c r="M89" i="5"/>
  <c r="N89" i="5"/>
  <c r="M101" i="5"/>
  <c r="O89" i="5"/>
  <c r="B119" i="5"/>
  <c r="C124" i="5"/>
  <c r="D153" i="5"/>
  <c r="F119" i="5"/>
  <c r="E118" i="5"/>
  <c r="C123" i="5"/>
  <c r="D119" i="5"/>
  <c r="F125" i="5"/>
  <c r="B124" i="5"/>
  <c r="F149" i="5"/>
  <c r="E152" i="5"/>
  <c r="E119" i="5"/>
  <c r="C119" i="5"/>
  <c r="E57" i="5"/>
  <c r="E153" i="5"/>
  <c r="E120" i="5"/>
  <c r="F124" i="5"/>
  <c r="D57" i="5"/>
  <c r="D66" i="5" s="1"/>
  <c r="B10" i="9"/>
  <c r="E10" i="9"/>
  <c r="F57" i="5"/>
  <c r="F123" i="5" s="1"/>
  <c r="C120" i="5"/>
  <c r="B57" i="5"/>
  <c r="C138" i="5"/>
  <c r="D103" i="5"/>
  <c r="F154" i="5"/>
  <c r="F152" i="5"/>
  <c r="F148" i="5"/>
  <c r="C92" i="5"/>
  <c r="B153" i="5"/>
  <c r="A109" i="5"/>
  <c r="E138" i="5"/>
  <c r="D138" i="5"/>
  <c r="D136" i="5"/>
  <c r="F92" i="5"/>
  <c r="F18" i="5"/>
  <c r="I138" i="5" s="1"/>
  <c r="F136" i="5"/>
  <c r="E124" i="5"/>
  <c r="B100" i="5"/>
  <c r="D126" i="5"/>
  <c r="E28" i="5"/>
  <c r="I139" i="5" s="1"/>
  <c r="C28" i="5"/>
  <c r="G139" i="5" s="1"/>
  <c r="D118" i="5"/>
  <c r="F37" i="5"/>
  <c r="D28" i="5"/>
  <c r="H139" i="5" s="1"/>
  <c r="J66" i="5" l="1"/>
  <c r="G66" i="10"/>
  <c r="S16" i="5"/>
  <c r="S53" i="5"/>
  <c r="H133" i="5"/>
  <c r="H12" i="9"/>
  <c r="H31" i="9" s="1"/>
  <c r="H53" i="9" s="1"/>
  <c r="R103" i="5"/>
  <c r="R105" i="5"/>
  <c r="H132" i="5"/>
  <c r="G12" i="9"/>
  <c r="G31" i="9" s="1"/>
  <c r="G53" i="9" s="1"/>
  <c r="Q103" i="5"/>
  <c r="Q105" i="5"/>
  <c r="G132" i="5"/>
  <c r="I126" i="5"/>
  <c r="E100" i="5"/>
  <c r="E66" i="5"/>
  <c r="B125" i="5"/>
  <c r="B38" i="5"/>
  <c r="L41" i="5" s="1"/>
  <c r="B37" i="5"/>
  <c r="I103" i="5"/>
  <c r="I12" i="9" s="1"/>
  <c r="I31" i="9" s="1"/>
  <c r="I53" i="9" s="1"/>
  <c r="S66" i="5"/>
  <c r="S64" i="5"/>
  <c r="S62" i="5"/>
  <c r="S55" i="5"/>
  <c r="S52" i="5"/>
  <c r="S49" i="5"/>
  <c r="S46" i="5"/>
  <c r="S43" i="5"/>
  <c r="S41" i="5"/>
  <c r="S35" i="5"/>
  <c r="S33" i="5"/>
  <c r="S26" i="5"/>
  <c r="S22" i="5"/>
  <c r="S18" i="5"/>
  <c r="S15" i="5"/>
  <c r="S13" i="5"/>
  <c r="S65" i="5"/>
  <c r="S63" i="5"/>
  <c r="S57" i="5"/>
  <c r="S54" i="5"/>
  <c r="S51" i="5"/>
  <c r="S47" i="5"/>
  <c r="S44" i="5"/>
  <c r="S42" i="5"/>
  <c r="S38" i="5"/>
  <c r="S36" i="5"/>
  <c r="S34" i="5"/>
  <c r="S21" i="5"/>
  <c r="S17" i="5"/>
  <c r="S14" i="5"/>
  <c r="S12" i="5"/>
  <c r="S37" i="5"/>
  <c r="S28" i="5"/>
  <c r="S24" i="5"/>
  <c r="I67" i="5"/>
  <c r="D133" i="5"/>
  <c r="D130" i="5"/>
  <c r="L100" i="5"/>
  <c r="P92" i="5"/>
  <c r="N103" i="5"/>
  <c r="N105" i="5"/>
  <c r="L92" i="5"/>
  <c r="E103" i="5"/>
  <c r="E132" i="5" s="1"/>
  <c r="O100" i="5"/>
  <c r="C100" i="5"/>
  <c r="M92" i="5"/>
  <c r="D123" i="5"/>
  <c r="F38" i="5"/>
  <c r="L43" i="5"/>
  <c r="L18" i="5"/>
  <c r="F66" i="5"/>
  <c r="K66" i="10" s="1"/>
  <c r="E123" i="5"/>
  <c r="D12" i="9"/>
  <c r="D31" i="9" s="1"/>
  <c r="B66" i="5"/>
  <c r="C66" i="10" s="1"/>
  <c r="B123" i="5"/>
  <c r="D132" i="5"/>
  <c r="B103" i="5"/>
  <c r="B126" i="5"/>
  <c r="F100" i="5"/>
  <c r="P100" i="5" s="1"/>
  <c r="F138" i="5"/>
  <c r="F118" i="5"/>
  <c r="C103" i="5"/>
  <c r="E126" i="5"/>
  <c r="C37" i="5"/>
  <c r="E139" i="5"/>
  <c r="C125" i="5"/>
  <c r="C139" i="5"/>
  <c r="C38" i="5"/>
  <c r="E37" i="5"/>
  <c r="E125" i="5"/>
  <c r="E38" i="5"/>
  <c r="D38" i="5"/>
  <c r="D37" i="5"/>
  <c r="F139" i="5"/>
  <c r="D125" i="5"/>
  <c r="D139" i="5"/>
  <c r="T66" i="5" l="1"/>
  <c r="I66" i="10"/>
  <c r="I133" i="5"/>
  <c r="I132" i="5"/>
  <c r="G140" i="5"/>
  <c r="G131" i="5"/>
  <c r="L45" i="5"/>
  <c r="H140" i="5"/>
  <c r="H131" i="5"/>
  <c r="S103" i="5"/>
  <c r="L24" i="5"/>
  <c r="L26" i="5"/>
  <c r="L57" i="5"/>
  <c r="L32" i="5"/>
  <c r="L37" i="5"/>
  <c r="L62" i="5"/>
  <c r="L64" i="5"/>
  <c r="C130" i="5"/>
  <c r="L12" i="5"/>
  <c r="L44" i="5"/>
  <c r="L36" i="5"/>
  <c r="L28" i="5"/>
  <c r="L22" i="5"/>
  <c r="L52" i="5"/>
  <c r="I130" i="5"/>
  <c r="L47" i="5"/>
  <c r="L17" i="5"/>
  <c r="L51" i="5"/>
  <c r="L46" i="5"/>
  <c r="L38" i="5"/>
  <c r="L14" i="5"/>
  <c r="L54" i="5"/>
  <c r="L65" i="5"/>
  <c r="L42" i="5"/>
  <c r="L21" i="5"/>
  <c r="L63" i="5"/>
  <c r="S105" i="5"/>
  <c r="L34" i="5"/>
  <c r="L33" i="5"/>
  <c r="P18" i="5"/>
  <c r="P16" i="5"/>
  <c r="T18" i="5"/>
  <c r="L13" i="5"/>
  <c r="L15" i="5"/>
  <c r="L49" i="5"/>
  <c r="L35" i="5"/>
  <c r="L55" i="5"/>
  <c r="I131" i="5"/>
  <c r="F67" i="5"/>
  <c r="I140" i="5"/>
  <c r="B130" i="5"/>
  <c r="E133" i="5"/>
  <c r="E130" i="5"/>
  <c r="P66" i="5"/>
  <c r="C133" i="5"/>
  <c r="C132" i="5"/>
  <c r="C131" i="5"/>
  <c r="C12" i="9"/>
  <c r="C31" i="9" s="1"/>
  <c r="C53" i="9" s="1"/>
  <c r="M103" i="5"/>
  <c r="M105" i="5"/>
  <c r="L103" i="5"/>
  <c r="L105" i="5"/>
  <c r="C126" i="5"/>
  <c r="M100" i="5"/>
  <c r="E12" i="9"/>
  <c r="E31" i="9" s="1"/>
  <c r="O103" i="5"/>
  <c r="O105" i="5"/>
  <c r="P57" i="5"/>
  <c r="B12" i="9"/>
  <c r="N64" i="5"/>
  <c r="N63" i="5"/>
  <c r="N62" i="5"/>
  <c r="N54" i="5"/>
  <c r="N52" i="5"/>
  <c r="N51" i="5"/>
  <c r="N49" i="5"/>
  <c r="N44" i="5"/>
  <c r="N43" i="5"/>
  <c r="N42" i="5"/>
  <c r="N41" i="5"/>
  <c r="N38" i="5"/>
  <c r="N35" i="5"/>
  <c r="N34" i="5"/>
  <c r="N33" i="5"/>
  <c r="N32" i="5"/>
  <c r="N26" i="5"/>
  <c r="N22" i="5"/>
  <c r="N21" i="5"/>
  <c r="N15" i="5"/>
  <c r="N14" i="5"/>
  <c r="N13" i="5"/>
  <c r="N12" i="5"/>
  <c r="N17" i="5"/>
  <c r="N46" i="5"/>
  <c r="N65" i="5"/>
  <c r="N36" i="5"/>
  <c r="N47" i="5"/>
  <c r="N24" i="5"/>
  <c r="N55" i="5"/>
  <c r="N18" i="5"/>
  <c r="M64" i="5"/>
  <c r="M63" i="5"/>
  <c r="M62" i="5"/>
  <c r="M54" i="5"/>
  <c r="M52" i="5"/>
  <c r="M51" i="5"/>
  <c r="M49" i="5"/>
  <c r="M44" i="5"/>
  <c r="M43" i="5"/>
  <c r="M42" i="5"/>
  <c r="M41" i="5"/>
  <c r="M38" i="5"/>
  <c r="M35" i="5"/>
  <c r="M34" i="5"/>
  <c r="M33" i="5"/>
  <c r="M32" i="5"/>
  <c r="M26" i="5"/>
  <c r="M22" i="5"/>
  <c r="M21" i="5"/>
  <c r="M15" i="5"/>
  <c r="M14" i="5"/>
  <c r="M12" i="5"/>
  <c r="M17" i="5"/>
  <c r="M13" i="5"/>
  <c r="M46" i="5"/>
  <c r="M36" i="5"/>
  <c r="M57" i="5"/>
  <c r="M24" i="5"/>
  <c r="M47" i="5"/>
  <c r="M55" i="5"/>
  <c r="M65" i="5"/>
  <c r="M18" i="5"/>
  <c r="M66" i="5"/>
  <c r="L66" i="5"/>
  <c r="N37" i="5"/>
  <c r="M37" i="5"/>
  <c r="N66" i="5"/>
  <c r="P37" i="5"/>
  <c r="M28" i="5"/>
  <c r="N57" i="5"/>
  <c r="O64" i="5"/>
  <c r="O63" i="5"/>
  <c r="O62" i="5"/>
  <c r="O54" i="5"/>
  <c r="O52" i="5"/>
  <c r="O51" i="5"/>
  <c r="O49" i="5"/>
  <c r="O44" i="5"/>
  <c r="O43" i="5"/>
  <c r="O42" i="5"/>
  <c r="O41" i="5"/>
  <c r="O38" i="5"/>
  <c r="O35" i="5"/>
  <c r="O34" i="5"/>
  <c r="O33" i="5"/>
  <c r="O32" i="5"/>
  <c r="O26" i="5"/>
  <c r="O22" i="5"/>
  <c r="O21" i="5"/>
  <c r="O15" i="5"/>
  <c r="O14" i="5"/>
  <c r="O12" i="5"/>
  <c r="O46" i="5"/>
  <c r="O17" i="5"/>
  <c r="O13" i="5"/>
  <c r="O24" i="5"/>
  <c r="O18" i="5"/>
  <c r="O55" i="5"/>
  <c r="O65" i="5"/>
  <c r="O47" i="5"/>
  <c r="O36" i="5"/>
  <c r="P64" i="5"/>
  <c r="P63" i="5"/>
  <c r="P62" i="5"/>
  <c r="P54" i="5"/>
  <c r="P52" i="5"/>
  <c r="P51" i="5"/>
  <c r="P49" i="5"/>
  <c r="P44" i="5"/>
  <c r="P43" i="5"/>
  <c r="P42" i="5"/>
  <c r="P41" i="5"/>
  <c r="P38" i="5"/>
  <c r="P35" i="5"/>
  <c r="P34" i="5"/>
  <c r="P33" i="5"/>
  <c r="P26" i="5"/>
  <c r="P22" i="5"/>
  <c r="P21" i="5"/>
  <c r="P15" i="5"/>
  <c r="P14" i="5"/>
  <c r="P12" i="5"/>
  <c r="P46" i="5"/>
  <c r="P17" i="5"/>
  <c r="P24" i="5"/>
  <c r="P13" i="5"/>
  <c r="P47" i="5"/>
  <c r="P28" i="5"/>
  <c r="P65" i="5"/>
  <c r="P55" i="5"/>
  <c r="P36" i="5"/>
  <c r="O37" i="5"/>
  <c r="O57" i="5"/>
  <c r="O28" i="5"/>
  <c r="O66" i="5"/>
  <c r="N28" i="5"/>
  <c r="D53" i="9"/>
  <c r="D67" i="5"/>
  <c r="E67" i="5"/>
  <c r="B67" i="5"/>
  <c r="C67" i="5"/>
  <c r="E131" i="5"/>
  <c r="F103" i="5"/>
  <c r="F126" i="5"/>
  <c r="C140" i="5"/>
  <c r="F140" i="5"/>
  <c r="E140" i="5"/>
  <c r="D140" i="5"/>
  <c r="D131" i="5"/>
  <c r="F133" i="5" l="1"/>
  <c r="F130" i="5"/>
  <c r="B31" i="9"/>
  <c r="P103" i="5"/>
  <c r="P105" i="5"/>
  <c r="E53" i="9"/>
  <c r="F12" i="9"/>
  <c r="F31" i="9" s="1"/>
  <c r="F131" i="5"/>
  <c r="F132" i="5"/>
  <c r="J132" i="5" s="1"/>
  <c r="B53" i="9" l="1"/>
  <c r="F53" i="9"/>
  <c r="B57" i="9" l="1"/>
  <c r="B58" i="9" l="1"/>
  <c r="C55" i="9"/>
  <c r="C57" i="9" l="1"/>
  <c r="C58" i="9" s="1"/>
  <c r="D55" i="9" l="1"/>
  <c r="D57" i="9" s="1"/>
  <c r="D58" i="9" s="1"/>
  <c r="E55" i="9" l="1"/>
  <c r="E57" i="9" l="1"/>
  <c r="E58" i="9" s="1"/>
  <c r="F55" i="9" l="1"/>
  <c r="F57" i="9" l="1"/>
  <c r="G55" i="9" s="1"/>
  <c r="G57" i="9" s="1"/>
  <c r="G58" i="9" l="1"/>
  <c r="H55" i="9"/>
  <c r="H57" i="9" s="1"/>
  <c r="F58" i="9"/>
  <c r="H58" i="9" l="1"/>
  <c r="I55" i="9"/>
  <c r="I57" i="9" l="1"/>
  <c r="I58" i="9" l="1"/>
</calcChain>
</file>

<file path=xl/sharedStrings.xml><?xml version="1.0" encoding="utf-8"?>
<sst xmlns="http://schemas.openxmlformats.org/spreadsheetml/2006/main" count="263" uniqueCount="163">
  <si>
    <t>Account Name</t>
  </si>
  <si>
    <t>Asset-utilization Ratios:</t>
  </si>
  <si>
    <t>Average</t>
  </si>
  <si>
    <t>Avg. Annual</t>
  </si>
  <si>
    <t>Cash &amp; Equivalents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</si>
  <si>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</si>
  <si>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</si>
  <si>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</si>
  <si>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</si>
  <si>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</si>
  <si>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</si>
  <si>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</si>
  <si>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</si>
  <si>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</si>
  <si>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</si>
  <si>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</si>
  <si>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</si>
  <si>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</si>
  <si>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</si>
  <si>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</si>
  <si>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</si>
  <si>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</si>
  <si>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</si>
  <si>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</si>
  <si>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</si>
  <si>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</si>
  <si>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</si>
  <si>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</si>
  <si>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</si>
  <si>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</si>
  <si>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</si>
  <si>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</si>
  <si>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</si>
  <si>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</si>
  <si>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</si>
  <si>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</si>
  <si>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</si>
  <si>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</si>
  <si>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</si>
  <si>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Common Size</t>
  </si>
  <si>
    <t>Historical Balance Sheets</t>
  </si>
  <si>
    <t xml:space="preserve">   Depreciation and amortization</t>
  </si>
  <si>
    <t xml:space="preserve">   Taxes, other than income taxes</t>
  </si>
  <si>
    <t xml:space="preserve">   Interest expense (net)</t>
  </si>
  <si>
    <t>Total Other Income/Expense</t>
  </si>
  <si>
    <t>Total Revenues</t>
  </si>
  <si>
    <t xml:space="preserve">   Loss (Gain) on Sale of Assets</t>
  </si>
  <si>
    <t>Other PP&amp;E</t>
  </si>
  <si>
    <t>Accumulated Depreciation &amp; Amort.</t>
  </si>
  <si>
    <t>Net Plant &amp; Equipment</t>
  </si>
  <si>
    <t>Regulatory Assets</t>
  </si>
  <si>
    <t>Long-Term Debt</t>
  </si>
  <si>
    <t>Other Deferred Credits</t>
  </si>
  <si>
    <t>Total LTD &amp; Deferrals</t>
  </si>
  <si>
    <t>Total Plant &amp; Equipment:</t>
  </si>
  <si>
    <t>Common Equity:</t>
  </si>
  <si>
    <t>Return On Total Capital</t>
  </si>
  <si>
    <t>Profitability Ratios:</t>
  </si>
  <si>
    <t>Other Assets:</t>
  </si>
  <si>
    <t>Total Other Assets</t>
  </si>
  <si>
    <t>Acounts Payable</t>
  </si>
  <si>
    <t xml:space="preserve">   Operating and Maintenance</t>
  </si>
  <si>
    <t>Years Ended December 31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</si>
  <si>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</si>
  <si>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</si>
  <si>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</si>
  <si>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</si>
  <si>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</si>
  <si>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</si>
  <si>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</si>
  <si>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Patrons Capital</t>
  </si>
  <si>
    <t>Operating Revenues</t>
  </si>
  <si>
    <t xml:space="preserve">   Other</t>
  </si>
  <si>
    <t>Current Portion of LTD</t>
  </si>
  <si>
    <t>Customer Deposits</t>
  </si>
  <si>
    <t>Cost of Purchased Power</t>
  </si>
  <si>
    <t xml:space="preserve">   Other (Income) Expense</t>
  </si>
  <si>
    <t>Total Patronage Equity</t>
  </si>
  <si>
    <t>Administrative and General Expenses</t>
  </si>
  <si>
    <t>Return of Patrons Capital</t>
  </si>
  <si>
    <t>Net Margin</t>
  </si>
  <si>
    <t>Loan Covenants:</t>
  </si>
  <si>
    <t>Return On Patrons Capital</t>
  </si>
  <si>
    <t>Other Current and Accrued Liabilities</t>
  </si>
  <si>
    <t>Other Deferred Credit</t>
  </si>
  <si>
    <t>Investment in CFC and Others</t>
  </si>
  <si>
    <t>Perpetual Line of Credit</t>
  </si>
  <si>
    <t>Accrued Expenses</t>
  </si>
  <si>
    <t>page 5 of 6</t>
  </si>
  <si>
    <t>Dixie Escalante Rural Electric Association, Inc</t>
  </si>
  <si>
    <t>Material and Supplies</t>
  </si>
  <si>
    <t>Notes Receivable Related Party</t>
  </si>
  <si>
    <t>Memberships</t>
  </si>
  <si>
    <t>Customer Advances for Construction</t>
  </si>
  <si>
    <t>Deferred Revenue - Impact Fees</t>
  </si>
  <si>
    <t xml:space="preserve">   Customer Service</t>
  </si>
  <si>
    <t xml:space="preserve">   Consumer Accounts</t>
  </si>
  <si>
    <t>Patronage Capital Credits</t>
  </si>
  <si>
    <t>Non-utility Property</t>
  </si>
  <si>
    <t>Construction Work in Progress</t>
  </si>
  <si>
    <t>Historical Cash Flow Statements</t>
  </si>
  <si>
    <t>(Thousands of dollars)</t>
  </si>
  <si>
    <t>Cash flows from operating activities:</t>
  </si>
  <si>
    <t xml:space="preserve">       Depreciation and amortization</t>
  </si>
  <si>
    <t xml:space="preserve">       Cumulative Affect of Accounting Chng and Other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</si>
  <si>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</si>
  <si>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</si>
  <si>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</si>
  <si>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</si>
  <si>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</si>
  <si>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</si>
  <si>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</si>
  <si>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Proceeds from long-term debt</t>
  </si>
  <si>
    <t xml:space="preserve">     Long-term debt repaid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</si>
  <si>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</si>
  <si>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</si>
  <si>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</si>
  <si>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</si>
  <si>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 xml:space="preserve">   Net Margin</t>
  </si>
  <si>
    <t xml:space="preserve">   Adjustments to reconcile net income to net cash</t>
  </si>
  <si>
    <t xml:space="preserve">       Accretion of deferred revenue</t>
  </si>
  <si>
    <t xml:space="preserve">       Accretion of deferred gain on debt restructuring</t>
  </si>
  <si>
    <t xml:space="preserve">      (increase)/decrease in CFC Investment</t>
  </si>
  <si>
    <t xml:space="preserve">      (increase)/decrease in Accounts Receivable</t>
  </si>
  <si>
    <t xml:space="preserve">      (increase)/decrease in Materials and Supplies</t>
  </si>
  <si>
    <t xml:space="preserve">      (increase)/decrease in Other Assets</t>
  </si>
  <si>
    <t xml:space="preserve">      (increase)/decrease in Notes Receivable</t>
  </si>
  <si>
    <t xml:space="preserve">      increase/(decrease) in Accounts Payable</t>
  </si>
  <si>
    <t xml:space="preserve">      increase/(decrease) in Customer Deposits</t>
  </si>
  <si>
    <t xml:space="preserve">      increase/(decrease) in Accrued Expenses</t>
  </si>
  <si>
    <t xml:space="preserve">      increase/(decrease) in Accrued Personal Leave</t>
  </si>
  <si>
    <t xml:space="preserve">      increase/(decrease) in Unclaimed Capital Credits</t>
  </si>
  <si>
    <t xml:space="preserve">   Changes in assets and liabilities: </t>
  </si>
  <si>
    <t xml:space="preserve">     Purchase of non utility property</t>
  </si>
  <si>
    <t xml:space="preserve">     Sale of non utility property</t>
  </si>
  <si>
    <t xml:space="preserve">     Customer advance for impact fees</t>
  </si>
  <si>
    <t xml:space="preserve">     Customer advance for construction</t>
  </si>
  <si>
    <t xml:space="preserve">     Refund of Capital Credits</t>
  </si>
  <si>
    <t xml:space="preserve">     Refund of customer advance</t>
  </si>
  <si>
    <t>Accounts Receivable - Customers</t>
  </si>
  <si>
    <t>Accounts Receivable - Other</t>
  </si>
  <si>
    <t xml:space="preserve">       Gain or Loss on sale of assets</t>
  </si>
  <si>
    <t xml:space="preserve">     Investments in joint projects</t>
  </si>
  <si>
    <t>Historical Balance Sheet</t>
  </si>
  <si>
    <t>Wt Average</t>
  </si>
  <si>
    <t>Financial Ratios</t>
  </si>
  <si>
    <t>Gross Margin</t>
  </si>
  <si>
    <t>Notes Receivable - Ft Pierce Indust</t>
  </si>
  <si>
    <t>Historical Income Statement</t>
  </si>
  <si>
    <t>page 6 of 6</t>
  </si>
  <si>
    <t>Notes Receivable - Related Party</t>
  </si>
  <si>
    <t>Other Equity</t>
  </si>
  <si>
    <t>Deferred Revenue - Grants</t>
  </si>
  <si>
    <t>Change in Historical Balance Sheets</t>
  </si>
  <si>
    <t>$ Amt Chg</t>
  </si>
  <si>
    <t>% Chg</t>
  </si>
  <si>
    <t>Change in Historical Income Statements</t>
  </si>
  <si>
    <t>2011 to 2015</t>
  </si>
  <si>
    <t xml:space="preserve">5 Year </t>
  </si>
  <si>
    <t>page 2 of 4</t>
  </si>
  <si>
    <t>page 1 of 4</t>
  </si>
  <si>
    <t>page 4 of 4</t>
  </si>
  <si>
    <t>page 3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</si>
</sst>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3" fontId="6" fillId="2" borderId="0"/>
    <xf numFmtId="5" fontId="6" fillId="2" borderId="0"/>
    <xf numFmtId="0" fontId="6" fillId="2" borderId="0"/>
    <xf numFmtId="2" fontId="6" fillId="2" borderId="0"/>
    <xf numFmtId="0" fontId="1" fillId="2" borderId="0"/>
    <xf numFmtId="0" fontId="2" fillId="2" borderId="0"/>
    <xf numFmtId="0" fontId="6" fillId="0" borderId="0" applyFill="0" applyBorder="0"/>
    <xf numFmtId="10" fontId="5" fillId="2" borderId="0"/>
    <xf numFmtId="0" fontId="6" fillId="2" borderId="1"/>
  </cellStyleXfs>
  <cellXfs count="159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Border="1"/>
    <xf numFmtId="5" fontId="6" fillId="2" borderId="0" xfId="0" applyNumberFormat="1" applyFont="1" applyFill="1"/>
    <xf numFmtId="5" fontId="8" fillId="2" borderId="0" xfId="0" applyNumberFormat="1" applyFont="1" applyFill="1"/>
    <xf numFmtId="5" fontId="6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centerContinuous"/>
    </xf>
    <xf numFmtId="10" fontId="7" fillId="2" borderId="0" xfId="0" quotePrefix="1" applyNumberFormat="1" applyFont="1" applyFill="1" applyAlignment="1">
      <alignment horizontal="right"/>
    </xf>
    <xf numFmtId="5" fontId="6" fillId="2" borderId="0" xfId="0" applyNumberFormat="1" applyFont="1" applyFill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6" xfId="0" applyNumberFormat="1" applyFont="1" applyFill="1" applyBorder="1" applyAlignment="1">
      <alignment horizontal="right"/>
    </xf>
    <xf numFmtId="164" fontId="7" fillId="2" borderId="0" xfId="0" quotePrefix="1" applyNumberFormat="1" applyFont="1" applyFill="1" applyAlignment="1">
      <alignment horizontal="centerContinuous"/>
    </xf>
    <xf numFmtId="5" fontId="9" fillId="2" borderId="0" xfId="0" applyNumberFormat="1" applyFont="1" applyFill="1"/>
    <xf numFmtId="10" fontId="6" fillId="2" borderId="0" xfId="0" applyNumberFormat="1" applyFont="1" applyFill="1"/>
    <xf numFmtId="37" fontId="6" fillId="0" borderId="0" xfId="0" applyNumberFormat="1" applyFont="1"/>
    <xf numFmtId="5" fontId="6" fillId="2" borderId="0" xfId="0" quotePrefix="1" applyNumberFormat="1" applyFont="1" applyFill="1" applyAlignment="1">
      <alignment horizontal="left"/>
    </xf>
    <xf numFmtId="5" fontId="6" fillId="2" borderId="0" xfId="0" applyNumberFormat="1" applyFont="1" applyFill="1" applyAlignment="1">
      <alignment horizontal="left"/>
    </xf>
    <xf numFmtId="10" fontId="6" fillId="2" borderId="6" xfId="0" applyNumberFormat="1" applyFont="1" applyFill="1" applyBorder="1"/>
    <xf numFmtId="5" fontId="6" fillId="2" borderId="3" xfId="0" applyNumberFormat="1" applyFont="1" applyFill="1" applyBorder="1"/>
    <xf numFmtId="5" fontId="6" fillId="2" borderId="0" xfId="0" applyNumberFormat="1" applyFont="1" applyFill="1" applyBorder="1"/>
    <xf numFmtId="10" fontId="6" fillId="2" borderId="4" xfId="0" applyNumberFormat="1" applyFont="1" applyFill="1" applyBorder="1"/>
    <xf numFmtId="5" fontId="6" fillId="2" borderId="5" xfId="0" applyNumberFormat="1" applyFont="1" applyFill="1" applyBorder="1"/>
    <xf numFmtId="5" fontId="6" fillId="0" borderId="0" xfId="0" applyNumberFormat="1" applyFont="1" applyFill="1" applyAlignment="1">
      <alignment horizontal="left"/>
    </xf>
    <xf numFmtId="10" fontId="6" fillId="2" borderId="8" xfId="0" applyNumberFormat="1" applyFont="1" applyFill="1" applyBorder="1"/>
    <xf numFmtId="5" fontId="10" fillId="2" borderId="0" xfId="0" applyNumberFormat="1" applyFont="1" applyFill="1" applyAlignment="1">
      <alignment horizontal="centerContinuous"/>
    </xf>
    <xf numFmtId="5" fontId="2" fillId="2" borderId="0" xfId="0" applyNumberFormat="1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right"/>
    </xf>
    <xf numFmtId="0" fontId="6" fillId="2" borderId="0" xfId="0" applyFont="1" applyFill="1" applyBorder="1"/>
    <xf numFmtId="10" fontId="6" fillId="2" borderId="0" xfId="0" applyNumberFormat="1" applyFont="1" applyFill="1" applyBorder="1" applyAlignment="1">
      <alignment horizontal="right"/>
    </xf>
    <xf numFmtId="10" fontId="6" fillId="2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1" fillId="2" borderId="0" xfId="0" quotePrefix="1" applyNumberFormat="1" applyFont="1" applyFill="1" applyAlignment="1">
      <alignment horizontal="left"/>
    </xf>
    <xf numFmtId="37" fontId="6" fillId="2" borderId="0" xfId="8" applyNumberFormat="1" applyFont="1" applyFill="1" applyBorder="1" applyAlignment="1">
      <alignment horizontal="right"/>
    </xf>
    <xf numFmtId="0" fontId="6" fillId="2" borderId="3" xfId="0" applyFont="1" applyFill="1" applyBorder="1"/>
    <xf numFmtId="2" fontId="6" fillId="2" borderId="0" xfId="0" applyNumberFormat="1" applyFont="1" applyFill="1" applyBorder="1"/>
    <xf numFmtId="2" fontId="6" fillId="2" borderId="0" xfId="0" applyNumberFormat="1" applyFont="1" applyFill="1"/>
    <xf numFmtId="10" fontId="6" fillId="2" borderId="0" xfId="9" applyFont="1"/>
    <xf numFmtId="2" fontId="6" fillId="2" borderId="0" xfId="0" applyNumberFormat="1" applyFont="1" applyFill="1" applyAlignment="1">
      <alignment horizontal="right"/>
    </xf>
    <xf numFmtId="165" fontId="6" fillId="2" borderId="0" xfId="1" applyNumberFormat="1" applyFont="1" applyFill="1"/>
    <xf numFmtId="165" fontId="6" fillId="2" borderId="6" xfId="1" applyNumberFormat="1" applyFont="1" applyFill="1" applyBorder="1"/>
    <xf numFmtId="10" fontId="12" fillId="2" borderId="0" xfId="0" applyNumberFormat="1" applyFont="1" applyFill="1" applyBorder="1" applyAlignment="1">
      <alignment horizontal="right"/>
    </xf>
    <xf numFmtId="10" fontId="12" fillId="2" borderId="6" xfId="0" applyNumberFormat="1" applyFont="1" applyFill="1" applyBorder="1" applyAlignment="1">
      <alignment horizontal="right"/>
    </xf>
    <xf numFmtId="165" fontId="6" fillId="2" borderId="0" xfId="1" applyNumberFormat="1" applyFont="1" applyFill="1" applyBorder="1"/>
    <xf numFmtId="5" fontId="7" fillId="2" borderId="0" xfId="0" applyNumberFormat="1" applyFont="1" applyFill="1"/>
    <xf numFmtId="0" fontId="7" fillId="2" borderId="6" xfId="0" applyNumberFormat="1" applyFont="1" applyFill="1" applyBorder="1"/>
    <xf numFmtId="5" fontId="7" fillId="2" borderId="0" xfId="0" applyNumberFormat="1" applyFont="1" applyFill="1" applyAlignment="1">
      <alignment horizontal="right"/>
    </xf>
    <xf numFmtId="10" fontId="7" fillId="2" borderId="0" xfId="0" applyNumberFormat="1" applyFont="1" applyFill="1" applyAlignment="1">
      <alignment horizontal="right"/>
    </xf>
    <xf numFmtId="5" fontId="7" fillId="2" borderId="2" xfId="0" applyNumberFormat="1" applyFont="1" applyFill="1" applyBorder="1"/>
    <xf numFmtId="10" fontId="7" fillId="2" borderId="2" xfId="0" applyNumberFormat="1" applyFont="1" applyFill="1" applyBorder="1" applyAlignment="1">
      <alignment horizontal="right"/>
    </xf>
    <xf numFmtId="15" fontId="7" fillId="2" borderId="0" xfId="0" applyNumberFormat="1" applyFont="1" applyFill="1" applyAlignment="1">
      <alignment horizontal="right"/>
    </xf>
    <xf numFmtId="165" fontId="6" fillId="2" borderId="0" xfId="1" applyNumberFormat="1" applyFont="1" applyFill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5" fontId="6" fillId="2" borderId="3" xfId="1" applyNumberFormat="1" applyFont="1" applyFill="1" applyBorder="1"/>
    <xf numFmtId="165" fontId="6" fillId="2" borderId="7" xfId="1" applyNumberFormat="1" applyFont="1" applyFill="1" applyBorder="1"/>
    <xf numFmtId="165" fontId="6" fillId="2" borderId="4" xfId="1" applyNumberFormat="1" applyFont="1" applyFill="1" applyBorder="1"/>
    <xf numFmtId="165" fontId="6" fillId="0" borderId="0" xfId="1" applyNumberFormat="1" applyFont="1"/>
    <xf numFmtId="165" fontId="3" fillId="2" borderId="0" xfId="1" applyNumberFormat="1" applyFont="1" applyFill="1"/>
    <xf numFmtId="165" fontId="11" fillId="0" borderId="0" xfId="1" applyNumberFormat="1" applyFont="1" applyFill="1" applyBorder="1"/>
    <xf numFmtId="165" fontId="11" fillId="3" borderId="0" xfId="1" applyNumberFormat="1" applyFont="1" applyFill="1" applyBorder="1"/>
    <xf numFmtId="165" fontId="11" fillId="3" borderId="3" xfId="1" applyNumberFormat="1" applyFont="1" applyFill="1" applyBorder="1"/>
    <xf numFmtId="165" fontId="11" fillId="0" borderId="3" xfId="1" applyNumberFormat="1" applyFont="1" applyFill="1" applyBorder="1"/>
    <xf numFmtId="165" fontId="11" fillId="3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6" xfId="1" applyNumberFormat="1" applyFont="1" applyFill="1" applyBorder="1"/>
    <xf numFmtId="165" fontId="11" fillId="0" borderId="4" xfId="1" applyNumberFormat="1" applyFont="1" applyFill="1" applyBorder="1"/>
    <xf numFmtId="165" fontId="11" fillId="3" borderId="5" xfId="1" applyNumberFormat="1" applyFont="1" applyFill="1" applyBorder="1"/>
    <xf numFmtId="10" fontId="12" fillId="2" borderId="0" xfId="0" applyNumberFormat="1" applyFont="1" applyFill="1" applyAlignment="1">
      <alignment horizontal="right"/>
    </xf>
    <xf numFmtId="0" fontId="6" fillId="2" borderId="0" xfId="8" applyFont="1" applyFill="1"/>
    <xf numFmtId="0" fontId="6" fillId="2" borderId="0" xfId="8" applyFill="1"/>
    <xf numFmtId="0" fontId="3" fillId="2" borderId="0" xfId="8" applyFont="1" applyFill="1"/>
    <xf numFmtId="0" fontId="3" fillId="2" borderId="0" xfId="8" applyFont="1" applyFill="1" applyAlignment="1">
      <alignment horizontal="centerContinuous"/>
    </xf>
    <xf numFmtId="5" fontId="10" fillId="2" borderId="0" xfId="8" applyNumberFormat="1" applyFont="1" applyFill="1" applyAlignment="1">
      <alignment horizontal="centerContinuous"/>
    </xf>
    <xf numFmtId="0" fontId="13" fillId="2" borderId="0" xfId="8" applyFont="1" applyFill="1" applyAlignment="1">
      <alignment horizontal="centerContinuous"/>
    </xf>
    <xf numFmtId="0" fontId="14" fillId="2" borderId="0" xfId="8" applyFont="1" applyFill="1" applyAlignment="1">
      <alignment horizontal="centerContinuous"/>
    </xf>
    <xf numFmtId="37" fontId="7" fillId="2" borderId="0" xfId="8" applyNumberFormat="1" applyFont="1" applyFill="1" applyAlignment="1">
      <alignment horizontal="centerContinuous"/>
    </xf>
    <xf numFmtId="37" fontId="7" fillId="0" borderId="0" xfId="8" applyNumberFormat="1" applyFont="1" applyBorder="1" applyAlignment="1"/>
    <xf numFmtId="37" fontId="7" fillId="2" borderId="0" xfId="0" quotePrefix="1" applyNumberFormat="1" applyFont="1" applyFill="1" applyAlignment="1">
      <alignment horizontal="right"/>
    </xf>
    <xf numFmtId="0" fontId="7" fillId="0" borderId="0" xfId="8" applyNumberFormat="1" applyFont="1" applyFill="1" applyBorder="1" applyAlignment="1">
      <alignment horizontal="right"/>
    </xf>
    <xf numFmtId="0" fontId="7" fillId="0" borderId="6" xfId="8" applyNumberFormat="1" applyFont="1" applyFill="1" applyBorder="1" applyAlignment="1">
      <alignment horizontal="right"/>
    </xf>
    <xf numFmtId="37" fontId="6" fillId="0" borderId="0" xfId="8" applyNumberFormat="1" applyFont="1" applyBorder="1" applyAlignment="1"/>
    <xf numFmtId="37" fontId="6" fillId="0" borderId="0" xfId="8" applyNumberFormat="1" applyFont="1" applyFill="1" applyBorder="1" applyAlignment="1">
      <alignment horizontal="right"/>
    </xf>
    <xf numFmtId="37" fontId="6" fillId="2" borderId="0" xfId="0" applyNumberFormat="1" applyFont="1" applyFill="1" applyBorder="1" applyAlignment="1">
      <alignment horizontal="right"/>
    </xf>
    <xf numFmtId="37" fontId="6" fillId="0" borderId="0" xfId="8" applyNumberFormat="1" applyFont="1" applyFill="1" applyBorder="1" applyAlignment="1">
      <alignment vertical="center"/>
    </xf>
    <xf numFmtId="10" fontId="6" fillId="2" borderId="0" xfId="8" applyNumberFormat="1" applyFont="1" applyFill="1" applyBorder="1"/>
    <xf numFmtId="37" fontId="6" fillId="0" borderId="0" xfId="8" applyNumberFormat="1" applyFont="1" applyBorder="1" applyAlignment="1">
      <alignment vertical="center"/>
    </xf>
    <xf numFmtId="37" fontId="6" fillId="3" borderId="0" xfId="8" quotePrefix="1" applyNumberFormat="1" applyFont="1" applyFill="1" applyBorder="1" applyAlignment="1">
      <alignment horizontal="left"/>
    </xf>
    <xf numFmtId="37" fontId="6" fillId="0" borderId="0" xfId="8" quotePrefix="1" applyNumberFormat="1" applyFont="1" applyBorder="1" applyAlignment="1">
      <alignment horizontal="left" vertical="center"/>
    </xf>
    <xf numFmtId="37" fontId="6" fillId="0" borderId="0" xfId="8" applyNumberFormat="1" applyFont="1" applyBorder="1" applyAlignment="1">
      <alignment horizontal="left" vertical="center"/>
    </xf>
    <xf numFmtId="2" fontId="6" fillId="2" borderId="0" xfId="8" applyNumberFormat="1" applyFont="1" applyFill="1" applyBorder="1"/>
    <xf numFmtId="2" fontId="6" fillId="2" borderId="5" xfId="8" applyNumberFormat="1" applyFont="1" applyFill="1" applyBorder="1"/>
    <xf numFmtId="10" fontId="6" fillId="2" borderId="0" xfId="0" quotePrefix="1" applyNumberFormat="1" applyFont="1" applyFill="1" applyAlignment="1">
      <alignment horizontal="right"/>
    </xf>
    <xf numFmtId="37" fontId="12" fillId="2" borderId="0" xfId="8" applyNumberFormat="1" applyFont="1" applyFill="1" applyAlignment="1">
      <alignment horizontal="right"/>
    </xf>
    <xf numFmtId="37" fontId="12" fillId="2" borderId="0" xfId="0" applyNumberFormat="1" applyFont="1" applyFill="1" applyAlignment="1">
      <alignment horizontal="right"/>
    </xf>
    <xf numFmtId="37" fontId="12" fillId="2" borderId="2" xfId="0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/>
    <xf numFmtId="165" fontId="6" fillId="2" borderId="0" xfId="1" applyNumberFormat="1" applyFont="1" applyFill="1" applyBorder="1" applyAlignment="1">
      <alignment horizontal="right"/>
    </xf>
    <xf numFmtId="165" fontId="6" fillId="0" borderId="3" xfId="1" applyNumberFormat="1" applyFont="1" applyBorder="1" applyAlignment="1">
      <alignment horizontal="right"/>
    </xf>
    <xf numFmtId="165" fontId="6" fillId="0" borderId="6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6" fillId="2" borderId="5" xfId="1" applyNumberFormat="1" applyFont="1" applyFill="1" applyBorder="1"/>
    <xf numFmtId="37" fontId="7" fillId="0" borderId="0" xfId="8" applyNumberFormat="1" applyFont="1" applyBorder="1" applyAlignment="1">
      <alignment vertical="center"/>
    </xf>
    <xf numFmtId="37" fontId="7" fillId="0" borderId="0" xfId="8" applyNumberFormat="1" applyFont="1" applyFill="1" applyBorder="1" applyAlignment="1">
      <alignment vertical="center"/>
    </xf>
    <xf numFmtId="165" fontId="6" fillId="0" borderId="0" xfId="1" applyNumberFormat="1" applyFont="1" applyFill="1"/>
    <xf numFmtId="165" fontId="6" fillId="0" borderId="0" xfId="1" applyNumberFormat="1" applyFont="1" applyFill="1" applyAlignment="1">
      <alignment horizontal="right"/>
    </xf>
    <xf numFmtId="165" fontId="6" fillId="0" borderId="6" xfId="1" applyNumberFormat="1" applyFont="1" applyFill="1" applyBorder="1"/>
    <xf numFmtId="10" fontId="6" fillId="2" borderId="8" xfId="9" applyFont="1" applyBorder="1"/>
    <xf numFmtId="10" fontId="6" fillId="2" borderId="6" xfId="9" applyFont="1" applyBorder="1"/>
    <xf numFmtId="5" fontId="0" fillId="2" borderId="6" xfId="0" applyNumberFormat="1" applyFill="1" applyBorder="1"/>
    <xf numFmtId="10" fontId="0" fillId="2" borderId="0" xfId="0" applyNumberFormat="1" applyFill="1" applyAlignment="1">
      <alignment horizontal="right"/>
    </xf>
    <xf numFmtId="0" fontId="7" fillId="2" borderId="2" xfId="0" applyFont="1" applyFill="1" applyBorder="1" applyAlignment="1">
      <alignment horizontal="right"/>
    </xf>
    <xf numFmtId="10" fontId="12" fillId="2" borderId="2" xfId="0" applyNumberFormat="1" applyFont="1" applyFill="1" applyBorder="1" applyAlignment="1">
      <alignment horizontal="right"/>
    </xf>
    <xf numFmtId="10" fontId="12" fillId="2" borderId="0" xfId="0" quotePrefix="1" applyNumberFormat="1" applyFont="1" applyFill="1" applyAlignment="1">
      <alignment horizontal="right"/>
    </xf>
    <xf numFmtId="10" fontId="6" fillId="2" borderId="7" xfId="9" applyFont="1" applyBorder="1"/>
    <xf numFmtId="10" fontId="6" fillId="2" borderId="0" xfId="0" applyNumberFormat="1" applyFont="1" applyFill="1" applyBorder="1" applyAlignment="1">
      <alignment horizontal="centerContinuous"/>
    </xf>
    <xf numFmtId="5" fontId="9" fillId="2" borderId="0" xfId="0" applyNumberFormat="1" applyFont="1" applyFill="1" applyBorder="1"/>
    <xf numFmtId="5" fontId="6" fillId="0" borderId="0" xfId="0" applyNumberFormat="1" applyFont="1" applyFill="1"/>
    <xf numFmtId="165" fontId="6" fillId="0" borderId="3" xfId="1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centerContinuous"/>
    </xf>
    <xf numFmtId="2" fontId="6" fillId="0" borderId="0" xfId="0" applyNumberFormat="1" applyFont="1" applyFill="1"/>
    <xf numFmtId="10" fontId="6" fillId="0" borderId="0" xfId="9" applyFont="1" applyFill="1"/>
    <xf numFmtId="10" fontId="3" fillId="2" borderId="0" xfId="9" applyFont="1"/>
    <xf numFmtId="165" fontId="6" fillId="0" borderId="6" xfId="1" applyNumberFormat="1" applyFont="1" applyBorder="1"/>
    <xf numFmtId="165" fontId="6" fillId="0" borderId="0" xfId="1" applyNumberFormat="1" applyFont="1" applyBorder="1"/>
    <xf numFmtId="0" fontId="8" fillId="2" borderId="0" xfId="0" applyFont="1" applyFill="1" applyBorder="1" applyAlignment="1">
      <alignment horizontal="right"/>
    </xf>
    <xf numFmtId="43" fontId="6" fillId="0" borderId="0" xfId="1" applyNumberFormat="1" applyFont="1" applyBorder="1"/>
    <xf numFmtId="42" fontId="6" fillId="0" borderId="0" xfId="1" applyNumberFormat="1" applyFont="1" applyBorder="1"/>
    <xf numFmtId="10" fontId="6" fillId="0" borderId="0" xfId="1" applyNumberFormat="1" applyFont="1" applyBorder="1"/>
    <xf numFmtId="10" fontId="6" fillId="2" borderId="0" xfId="1" applyNumberFormat="1" applyFont="1" applyFill="1"/>
    <xf numFmtId="10" fontId="6" fillId="2" borderId="0" xfId="1" applyNumberFormat="1" applyFont="1" applyFill="1" applyBorder="1"/>
    <xf numFmtId="10" fontId="3" fillId="2" borderId="0" xfId="1" applyNumberFormat="1" applyFont="1" applyFill="1"/>
    <xf numFmtId="10" fontId="7" fillId="2" borderId="0" xfId="0" applyNumberFormat="1" applyFont="1" applyFill="1"/>
    <xf numFmtId="10" fontId="7" fillId="2" borderId="6" xfId="0" applyNumberFormat="1" applyFont="1" applyFill="1" applyBorder="1"/>
    <xf numFmtId="10" fontId="6" fillId="2" borderId="3" xfId="0" applyNumberFormat="1" applyFont="1" applyFill="1" applyBorder="1"/>
    <xf numFmtId="10" fontId="11" fillId="3" borderId="0" xfId="1" applyNumberFormat="1" applyFont="1" applyFill="1" applyBorder="1"/>
    <xf numFmtId="10" fontId="11" fillId="0" borderId="0" xfId="1" applyNumberFormat="1" applyFont="1" applyFill="1" applyBorder="1"/>
    <xf numFmtId="10" fontId="11" fillId="3" borderId="6" xfId="1" applyNumberFormat="1" applyFont="1" applyFill="1" applyBorder="1"/>
    <xf numFmtId="165" fontId="11" fillId="3" borderId="6" xfId="1" applyNumberFormat="1" applyFont="1" applyFill="1" applyBorder="1"/>
    <xf numFmtId="10" fontId="6" fillId="0" borderId="6" xfId="1" applyNumberFormat="1" applyFont="1" applyBorder="1"/>
    <xf numFmtId="43" fontId="6" fillId="0" borderId="6" xfId="1" applyNumberFormat="1" applyFont="1" applyBorder="1"/>
    <xf numFmtId="165" fontId="11" fillId="3" borderId="7" xfId="1" applyNumberFormat="1" applyFont="1" applyFill="1" applyBorder="1"/>
    <xf numFmtId="10" fontId="6" fillId="0" borderId="7" xfId="1" applyNumberFormat="1" applyFont="1" applyBorder="1"/>
    <xf numFmtId="165" fontId="11" fillId="0" borderId="7" xfId="1" applyNumberFormat="1" applyFont="1" applyFill="1" applyBorder="1"/>
    <xf numFmtId="43" fontId="6" fillId="0" borderId="7" xfId="1" applyNumberFormat="1" applyFont="1" applyBorder="1"/>
    <xf numFmtId="10" fontId="6" fillId="0" borderId="4" xfId="1" applyNumberFormat="1" applyFont="1" applyBorder="1"/>
    <xf numFmtId="43" fontId="6" fillId="0" borderId="4" xfId="1" applyNumberFormat="1" applyFont="1" applyBorder="1"/>
    <xf numFmtId="0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einfeldt\Downloads\Questar\QUESTAR%20GAS%20Financial%20Forecasting%20Exhib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- Exhibit 1"/>
      <sheetName val="Historical CF - Exhibit 1B"/>
    </sheetNames>
    <sheetDataSet>
      <sheetData sheetId="0">
        <row r="5">
          <cell r="A5" t="str">
            <v>Years Ended December 31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6"/>
  <sheetViews>
    <sheetView showGridLines="0" tabSelected="1" zoomScale="130" zoomScaleNormal="130" workbookViewId="0">
      <selection activeCell="E42" sqref="E42"/>
    </sheetView>
  </sheetViews>
  <sheetFormatPr defaultColWidth="13.7109375" defaultRowHeight="12.75" x14ac:dyDescent="0.2"/>
  <cols>
    <col min="1" max="1" width="31.140625" customWidth="1"/>
    <col min="2" max="2" width="11.140625" hidden="1" customWidth="1"/>
    <col min="3" max="4" width="13.7109375" hidden="1" customWidth="1"/>
    <col min="5" max="9" width="13.7109375" customWidth="1"/>
    <col min="10" max="10" width="11.140625" style="1" customWidth="1"/>
    <col min="11" max="11" width="31.140625" customWidth="1"/>
    <col min="12" max="12" width="8" hidden="1" customWidth="1"/>
    <col min="13" max="14" width="11.7109375" hidden="1" customWidth="1"/>
    <col min="15" max="20" width="11.7109375" customWidth="1"/>
  </cols>
  <sheetData>
    <row r="1" spans="1:20" x14ac:dyDescent="0.2">
      <c r="J1" s="120" t="s">
        <v>63</v>
      </c>
      <c r="T1" s="120" t="s">
        <v>63</v>
      </c>
    </row>
    <row r="2" spans="1:20" x14ac:dyDescent="0.2">
      <c r="J2" s="99" t="s">
        <v>159</v>
      </c>
      <c r="T2" s="99" t="s">
        <v>149</v>
      </c>
    </row>
    <row r="3" spans="1:20" ht="18" x14ac:dyDescent="0.25">
      <c r="A3" s="30" t="s">
        <v>89</v>
      </c>
      <c r="B3" s="4"/>
      <c r="C3" s="4"/>
      <c r="D3" s="4"/>
      <c r="E3" s="4"/>
      <c r="F3" s="4"/>
      <c r="G3" s="4"/>
      <c r="H3" s="4"/>
      <c r="I3" s="4"/>
      <c r="J3" s="5"/>
      <c r="K3" s="30" t="str">
        <f>+A3</f>
        <v>Dixie Escalante Rural Electric Association, Inc</v>
      </c>
      <c r="L3" s="4"/>
      <c r="M3" s="4"/>
      <c r="N3" s="4"/>
      <c r="O3" s="4"/>
      <c r="P3" s="4"/>
      <c r="Q3" s="4"/>
      <c r="R3" s="4"/>
      <c r="S3" s="4"/>
      <c r="T3" s="5"/>
    </row>
    <row r="4" spans="1:20" ht="15.75" x14ac:dyDescent="0.25">
      <c r="A4" s="31" t="s">
        <v>40</v>
      </c>
      <c r="B4" s="4"/>
      <c r="C4" s="4"/>
      <c r="D4" s="4"/>
      <c r="E4" s="4"/>
      <c r="F4" s="4"/>
      <c r="G4" s="4"/>
      <c r="H4" s="4"/>
      <c r="I4" s="4"/>
      <c r="J4" s="5"/>
      <c r="K4" s="31" t="s">
        <v>39</v>
      </c>
      <c r="L4" s="4"/>
      <c r="M4" s="4"/>
      <c r="N4" s="4"/>
      <c r="O4" s="4"/>
      <c r="P4" s="4"/>
      <c r="Q4" s="4"/>
      <c r="R4" s="4"/>
      <c r="S4" s="4"/>
      <c r="T4" s="5"/>
    </row>
    <row r="5" spans="1:20" ht="15.75" x14ac:dyDescent="0.25">
      <c r="A5" s="32" t="s">
        <v>62</v>
      </c>
      <c r="B5" s="4"/>
      <c r="C5" s="4"/>
      <c r="D5" s="4"/>
      <c r="E5" s="4"/>
      <c r="F5" s="4"/>
      <c r="G5" s="4"/>
      <c r="H5" s="4"/>
      <c r="I5" s="4"/>
      <c r="J5" s="5"/>
      <c r="K5" s="32" t="s">
        <v>143</v>
      </c>
      <c r="L5" s="4"/>
      <c r="M5" s="4"/>
      <c r="N5" s="4"/>
      <c r="O5" s="4"/>
      <c r="P5" s="4"/>
      <c r="Q5" s="4"/>
      <c r="R5" s="4"/>
      <c r="S5" s="4"/>
      <c r="T5" s="5"/>
    </row>
    <row r="6" spans="1:20" x14ac:dyDescent="0.2">
      <c r="A6" s="17"/>
      <c r="B6" s="9"/>
      <c r="C6" s="9"/>
      <c r="D6" s="9"/>
      <c r="E6" s="9"/>
      <c r="J6" s="10"/>
      <c r="K6" s="17"/>
      <c r="L6" s="9"/>
      <c r="M6" s="9"/>
      <c r="N6" s="9"/>
      <c r="O6" s="9"/>
      <c r="P6" s="9"/>
      <c r="Q6" s="9"/>
      <c r="R6" s="9"/>
      <c r="S6" s="9"/>
      <c r="T6" s="10"/>
    </row>
    <row r="7" spans="1:20" x14ac:dyDescent="0.2">
      <c r="A7" s="9"/>
      <c r="B7" s="9"/>
      <c r="C7" s="9"/>
      <c r="D7" s="9"/>
      <c r="E7" s="9"/>
      <c r="F7" s="9"/>
      <c r="G7" s="9"/>
      <c r="H7" s="9"/>
      <c r="I7" s="9"/>
      <c r="J7" s="123" t="s">
        <v>157</v>
      </c>
      <c r="K7" s="9"/>
      <c r="L7" s="9"/>
      <c r="M7" s="9"/>
      <c r="N7" s="9"/>
      <c r="O7" s="9"/>
      <c r="P7" s="9"/>
      <c r="Q7" s="9"/>
      <c r="R7" s="9"/>
      <c r="S7" s="9"/>
    </row>
    <row r="8" spans="1:20" x14ac:dyDescent="0.2">
      <c r="A8" s="7"/>
      <c r="B8" s="7"/>
      <c r="C8" s="12"/>
      <c r="D8" s="13"/>
      <c r="E8" s="13"/>
      <c r="F8" s="129"/>
      <c r="G8" s="129"/>
      <c r="H8" s="129"/>
      <c r="I8" s="129"/>
      <c r="J8" s="49" t="s">
        <v>3</v>
      </c>
      <c r="K8" s="7"/>
      <c r="L8" s="7"/>
      <c r="M8" s="12"/>
      <c r="N8" s="13"/>
      <c r="O8" s="13"/>
      <c r="P8" s="14"/>
      <c r="Q8" s="14"/>
      <c r="R8" s="14"/>
      <c r="S8" s="14"/>
      <c r="T8" s="11" t="s">
        <v>157</v>
      </c>
    </row>
    <row r="9" spans="1:20" x14ac:dyDescent="0.2">
      <c r="A9" s="15" t="s">
        <v>0</v>
      </c>
      <c r="B9" s="121">
        <v>2008</v>
      </c>
      <c r="C9" s="121">
        <v>2009</v>
      </c>
      <c r="D9" s="16">
        <v>2010</v>
      </c>
      <c r="E9" s="16">
        <v>2011</v>
      </c>
      <c r="F9" s="16">
        <v>2012</v>
      </c>
      <c r="G9" s="16">
        <v>2013</v>
      </c>
      <c r="H9" s="16">
        <v>2014</v>
      </c>
      <c r="I9" s="16">
        <v>2015</v>
      </c>
      <c r="J9" s="50" t="s">
        <v>20</v>
      </c>
      <c r="K9" s="15" t="s">
        <v>0</v>
      </c>
      <c r="L9" s="15">
        <v>2008</v>
      </c>
      <c r="M9" s="15">
        <v>2009</v>
      </c>
      <c r="N9" s="16">
        <v>2010</v>
      </c>
      <c r="O9" s="16">
        <v>2011</v>
      </c>
      <c r="P9" s="16">
        <v>2012</v>
      </c>
      <c r="Q9" s="16">
        <v>2013</v>
      </c>
      <c r="R9" s="16">
        <v>2014</v>
      </c>
      <c r="S9" s="16">
        <v>2015</v>
      </c>
      <c r="T9" s="50" t="s">
        <v>144</v>
      </c>
    </row>
    <row r="10" spans="1:20" ht="7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10"/>
    </row>
    <row r="11" spans="1:20" x14ac:dyDescent="0.2">
      <c r="A11" s="8" t="s">
        <v>6</v>
      </c>
      <c r="B11" s="7"/>
      <c r="C11" s="7"/>
      <c r="D11" s="7"/>
      <c r="E11" s="7"/>
      <c r="F11" s="7"/>
      <c r="G11" s="7"/>
      <c r="H11" s="7"/>
      <c r="I11" s="7"/>
      <c r="J11" s="19"/>
      <c r="K11" s="8" t="str">
        <f t="shared" ref="K11:K18" si="0">+A11</f>
        <v>Current Assets:</v>
      </c>
    </row>
    <row r="12" spans="1:20" x14ac:dyDescent="0.2">
      <c r="A12" s="7" t="s">
        <v>4</v>
      </c>
      <c r="B12" s="47">
        <v>891545</v>
      </c>
      <c r="C12" s="64">
        <v>2296391</v>
      </c>
      <c r="D12" s="64">
        <v>1148903</v>
      </c>
      <c r="E12" s="64">
        <v>1441772</v>
      </c>
      <c r="F12" s="64">
        <v>2712896</v>
      </c>
      <c r="G12" s="64">
        <v>4081524</v>
      </c>
      <c r="H12" s="64">
        <v>3282109</v>
      </c>
      <c r="I12" s="64">
        <v>945555</v>
      </c>
      <c r="J12" s="19">
        <f>RATE(5,,-D12,I12)</f>
        <v>-3.8209049662388944E-2</v>
      </c>
      <c r="K12" t="str">
        <f t="shared" si="0"/>
        <v>Cash &amp; Equivalents</v>
      </c>
      <c r="L12" s="45">
        <f t="shared" ref="L12:P15" si="1">+B12/B$38</f>
        <v>1.5834325792631845E-2</v>
      </c>
      <c r="M12" s="45">
        <f t="shared" si="1"/>
        <v>3.8651385204994948E-2</v>
      </c>
      <c r="N12" s="45">
        <f t="shared" si="1"/>
        <v>1.850056746304727E-2</v>
      </c>
      <c r="O12" s="45">
        <f t="shared" si="1"/>
        <v>2.6163765779771943E-2</v>
      </c>
      <c r="P12" s="45">
        <f t="shared" si="1"/>
        <v>4.6031720957193115E-2</v>
      </c>
      <c r="Q12" s="45">
        <f t="shared" ref="Q12:R18" si="2">+G12/G$38</f>
        <v>6.6025709061231563E-2</v>
      </c>
      <c r="R12" s="45">
        <f t="shared" si="2"/>
        <v>4.9925717805910284E-2</v>
      </c>
      <c r="S12" s="45">
        <f t="shared" ref="S12:S19" si="3">+I12/I$38</f>
        <v>1.3796276263853617E-2</v>
      </c>
      <c r="T12" s="19">
        <f>SUM(E12:I12)/SUM(E$38:I$38)</f>
        <v>4.0188479698614908E-2</v>
      </c>
    </row>
    <row r="13" spans="1:20" x14ac:dyDescent="0.2">
      <c r="A13" s="21" t="s">
        <v>139</v>
      </c>
      <c r="B13" s="47">
        <f>1139356</f>
        <v>1139356</v>
      </c>
      <c r="C13" s="47">
        <f>1050797</f>
        <v>1050797</v>
      </c>
      <c r="D13" s="47">
        <v>1161294</v>
      </c>
      <c r="E13" s="47">
        <f>1231385</f>
        <v>1231385</v>
      </c>
      <c r="F13" s="47">
        <f>1233450</f>
        <v>1233450</v>
      </c>
      <c r="G13" s="47">
        <v>1394816</v>
      </c>
      <c r="H13" s="47">
        <v>1153781</v>
      </c>
      <c r="I13" s="47">
        <v>1660754</v>
      </c>
      <c r="J13" s="19">
        <f t="shared" ref="J13:J18" si="4">RATE(5,,-D13,I13)</f>
        <v>7.4169025466765764E-2</v>
      </c>
      <c r="K13" t="str">
        <f t="shared" si="0"/>
        <v>Accounts Receivable - Customers</v>
      </c>
      <c r="L13" s="45">
        <f t="shared" si="1"/>
        <v>2.0235584404365285E-2</v>
      </c>
      <c r="M13" s="45">
        <f t="shared" si="1"/>
        <v>1.7686343318386581E-2</v>
      </c>
      <c r="N13" s="45">
        <f t="shared" si="1"/>
        <v>1.8700097389798807E-2</v>
      </c>
      <c r="O13" s="45">
        <f t="shared" si="1"/>
        <v>2.2345883208110904E-2</v>
      </c>
      <c r="P13" s="45">
        <f t="shared" si="1"/>
        <v>2.0928862077517846E-2</v>
      </c>
      <c r="Q13" s="45">
        <f t="shared" si="2"/>
        <v>2.2563560917429556E-2</v>
      </c>
      <c r="R13" s="45">
        <f t="shared" si="2"/>
        <v>1.7550710416936479E-2</v>
      </c>
      <c r="S13" s="45">
        <f t="shared" si="3"/>
        <v>2.4231505296148769E-2</v>
      </c>
      <c r="T13" s="19">
        <f t="shared" ref="T13:T15" si="5">SUM(E13:I13)/SUM(E$38:I$38)</f>
        <v>2.1520257339765463E-2</v>
      </c>
    </row>
    <row r="14" spans="1:20" x14ac:dyDescent="0.2">
      <c r="A14" s="21" t="s">
        <v>140</v>
      </c>
      <c r="B14" s="114">
        <v>3505284</v>
      </c>
      <c r="C14" s="114">
        <v>1212103</v>
      </c>
      <c r="D14" s="114">
        <v>462755</v>
      </c>
      <c r="E14" s="114">
        <v>443033</v>
      </c>
      <c r="F14" s="114">
        <v>1187264</v>
      </c>
      <c r="G14" s="114">
        <v>1035955</v>
      </c>
      <c r="H14" s="114">
        <v>1362297</v>
      </c>
      <c r="I14" s="114">
        <v>1227255</v>
      </c>
      <c r="J14" s="19">
        <f t="shared" si="4"/>
        <v>0.21539302049274706</v>
      </c>
      <c r="K14" t="str">
        <f t="shared" si="0"/>
        <v>Accounts Receivable - Other</v>
      </c>
      <c r="L14" s="131">
        <f t="shared" si="1"/>
        <v>6.2255756974353205E-2</v>
      </c>
      <c r="M14" s="131">
        <f t="shared" si="1"/>
        <v>2.040134278575817E-2</v>
      </c>
      <c r="N14" s="131">
        <f t="shared" si="1"/>
        <v>7.4516561418696264E-3</v>
      </c>
      <c r="O14" s="131">
        <f t="shared" si="1"/>
        <v>8.0396981247448998E-3</v>
      </c>
      <c r="P14" s="131">
        <f t="shared" si="1"/>
        <v>2.0145189919009401E-2</v>
      </c>
      <c r="Q14" s="131">
        <f t="shared" si="2"/>
        <v>1.6758363648119706E-2</v>
      </c>
      <c r="R14" s="131">
        <f t="shared" si="2"/>
        <v>2.072254626212541E-2</v>
      </c>
      <c r="S14" s="131">
        <f t="shared" si="3"/>
        <v>1.7906466600246067E-2</v>
      </c>
      <c r="T14" s="19">
        <f t="shared" si="5"/>
        <v>1.6946823868464064E-2</v>
      </c>
    </row>
    <row r="15" spans="1:20" x14ac:dyDescent="0.2">
      <c r="A15" s="22" t="s">
        <v>90</v>
      </c>
      <c r="B15" s="47">
        <v>5410911</v>
      </c>
      <c r="C15" s="47">
        <v>5021390</v>
      </c>
      <c r="D15" s="47">
        <v>4414126</v>
      </c>
      <c r="E15" s="47">
        <v>4473755</v>
      </c>
      <c r="F15" s="47">
        <v>5034934</v>
      </c>
      <c r="G15" s="47">
        <v>3882899</v>
      </c>
      <c r="H15" s="47">
        <v>3682046</v>
      </c>
      <c r="I15" s="47">
        <v>3831440</v>
      </c>
      <c r="J15" s="19">
        <f t="shared" si="4"/>
        <v>-2.791674827279279E-2</v>
      </c>
      <c r="K15" t="str">
        <f t="shared" si="0"/>
        <v>Material and Supplies</v>
      </c>
      <c r="L15" s="45">
        <f t="shared" si="1"/>
        <v>9.6100732558575708E-2</v>
      </c>
      <c r="M15" s="45">
        <f t="shared" si="1"/>
        <v>8.4516826252371474E-2</v>
      </c>
      <c r="N15" s="45">
        <f t="shared" si="1"/>
        <v>7.1079835158747953E-2</v>
      </c>
      <c r="O15" s="45">
        <f t="shared" si="1"/>
        <v>8.118501259289515E-2</v>
      </c>
      <c r="P15" s="45">
        <f t="shared" si="1"/>
        <v>8.5431463987518941E-2</v>
      </c>
      <c r="Q15" s="45">
        <f t="shared" si="2"/>
        <v>6.2812606195172913E-2</v>
      </c>
      <c r="R15" s="45">
        <f t="shared" si="2"/>
        <v>5.6009349337386646E-2</v>
      </c>
      <c r="S15" s="45">
        <f t="shared" si="3"/>
        <v>5.5903257587744025E-2</v>
      </c>
      <c r="T15" s="19">
        <f t="shared" si="5"/>
        <v>6.740635819661607E-2</v>
      </c>
    </row>
    <row r="16" spans="1:20" x14ac:dyDescent="0.2">
      <c r="A16" s="22" t="s">
        <v>150</v>
      </c>
      <c r="B16" s="47"/>
      <c r="C16" s="47"/>
      <c r="D16" s="47"/>
      <c r="E16" s="47"/>
      <c r="F16" s="47">
        <v>75348</v>
      </c>
      <c r="G16" s="47">
        <v>54267</v>
      </c>
      <c r="H16" s="47">
        <v>128392</v>
      </c>
      <c r="I16" s="47">
        <v>33905</v>
      </c>
      <c r="J16" s="19">
        <f>RATE(3,,-F16,I16)</f>
        <v>-0.23370262144825718</v>
      </c>
      <c r="K16" t="str">
        <f t="shared" si="0"/>
        <v>Notes Receivable - Related Party</v>
      </c>
      <c r="L16" s="45"/>
      <c r="M16" s="45"/>
      <c r="N16" s="45"/>
      <c r="O16" s="45"/>
      <c r="P16" s="45">
        <f>+F16/F$38</f>
        <v>1.2784854674423888E-3</v>
      </c>
      <c r="Q16" s="45">
        <f t="shared" si="2"/>
        <v>8.7786257133998301E-4</v>
      </c>
      <c r="R16" s="45">
        <f t="shared" si="2"/>
        <v>1.9530316514583864E-3</v>
      </c>
      <c r="S16" s="45">
        <f t="shared" si="3"/>
        <v>4.9469649753420674E-4</v>
      </c>
      <c r="T16" s="19">
        <f>SUM(E16:I16)/SUM(E$38:I$38)</f>
        <v>9.4124157770934412E-4</v>
      </c>
    </row>
    <row r="17" spans="1:20" x14ac:dyDescent="0.2">
      <c r="A17" s="7" t="s">
        <v>19</v>
      </c>
      <c r="B17" s="47">
        <f>23174+3430+15200</f>
        <v>41804</v>
      </c>
      <c r="C17" s="47">
        <f>26319+3430</f>
        <v>29749</v>
      </c>
      <c r="D17" s="48">
        <f>12775+685103</f>
        <v>697878</v>
      </c>
      <c r="E17" s="48">
        <f>42467+652585</f>
        <v>695052</v>
      </c>
      <c r="F17" s="51">
        <v>616637</v>
      </c>
      <c r="G17" s="51">
        <v>2676870</v>
      </c>
      <c r="H17" s="51">
        <v>2471119</v>
      </c>
      <c r="I17" s="51">
        <v>2268132</v>
      </c>
      <c r="J17" s="23">
        <f>RATE(5,,-D17,I17)</f>
        <v>0.26583693532503933</v>
      </c>
      <c r="K17" t="str">
        <f t="shared" si="0"/>
        <v>Other Current Assets</v>
      </c>
      <c r="L17" s="118">
        <f t="shared" ref="L17:O18" si="6">+B17/B$38</f>
        <v>7.424618560310267E-4</v>
      </c>
      <c r="M17" s="118">
        <f t="shared" si="6"/>
        <v>5.0071614915029488E-4</v>
      </c>
      <c r="N17" s="118">
        <f t="shared" si="6"/>
        <v>1.1237797290090201E-2</v>
      </c>
      <c r="O17" s="118">
        <f t="shared" si="6"/>
        <v>1.2613074558780479E-2</v>
      </c>
      <c r="P17" s="118">
        <f>+F17/F$38</f>
        <v>1.0462937877412438E-2</v>
      </c>
      <c r="Q17" s="118">
        <f t="shared" si="2"/>
        <v>4.3303001480510445E-2</v>
      </c>
      <c r="R17" s="118">
        <f t="shared" si="2"/>
        <v>3.7589363990904387E-2</v>
      </c>
      <c r="S17" s="118">
        <f t="shared" si="3"/>
        <v>3.3093554235223581E-2</v>
      </c>
      <c r="T17" s="19">
        <f>SUM(E17:I17)/SUM(E$38:I$38)</f>
        <v>2.8141966258144201E-2</v>
      </c>
    </row>
    <row r="18" spans="1:20" x14ac:dyDescent="0.2">
      <c r="A18" s="7" t="s">
        <v>33</v>
      </c>
      <c r="B18" s="61">
        <f t="shared" ref="B18:I18" si="7">SUM(B11:B17)</f>
        <v>10988900</v>
      </c>
      <c r="C18" s="61">
        <f t="shared" si="7"/>
        <v>9610430</v>
      </c>
      <c r="D18" s="61">
        <f t="shared" si="7"/>
        <v>7884956</v>
      </c>
      <c r="E18" s="61">
        <f t="shared" si="7"/>
        <v>8284997</v>
      </c>
      <c r="F18" s="61">
        <f t="shared" si="7"/>
        <v>10860529</v>
      </c>
      <c r="G18" s="61">
        <f t="shared" ref="G18" si="8">SUM(G11:G17)</f>
        <v>13126331</v>
      </c>
      <c r="H18" s="61">
        <f t="shared" ref="H18" si="9">SUM(H11:H17)</f>
        <v>12079744</v>
      </c>
      <c r="I18" s="61">
        <f t="shared" si="7"/>
        <v>9967041</v>
      </c>
      <c r="J18" s="19">
        <f t="shared" si="4"/>
        <v>4.7980964274383461E-2</v>
      </c>
      <c r="K18" t="str">
        <f t="shared" si="0"/>
        <v>Total Current Assets</v>
      </c>
      <c r="L18" s="45">
        <f t="shared" si="6"/>
        <v>0.19516886158595706</v>
      </c>
      <c r="M18" s="45">
        <f t="shared" si="6"/>
        <v>0.16175661371066147</v>
      </c>
      <c r="N18" s="45">
        <f t="shared" si="6"/>
        <v>0.12696995344355386</v>
      </c>
      <c r="O18" s="45">
        <f t="shared" si="6"/>
        <v>0.15034743426430336</v>
      </c>
      <c r="P18" s="45">
        <f>+F18/F$38</f>
        <v>0.18427866028609413</v>
      </c>
      <c r="Q18" s="45">
        <f t="shared" si="2"/>
        <v>0.21234110387380417</v>
      </c>
      <c r="R18" s="45">
        <f t="shared" si="2"/>
        <v>0.1837507194647216</v>
      </c>
      <c r="S18" s="45">
        <f t="shared" si="3"/>
        <v>0.14542575648075026</v>
      </c>
      <c r="T18" s="19">
        <f>SUM(C18:I18)/SUM(C$38:I$38)</f>
        <v>0.16637138772427662</v>
      </c>
    </row>
    <row r="19" spans="1:20" x14ac:dyDescent="0.2">
      <c r="A19" s="7"/>
      <c r="B19" s="47"/>
      <c r="C19" s="47"/>
      <c r="D19" s="47"/>
      <c r="E19" s="47"/>
      <c r="F19" s="47"/>
      <c r="G19" s="47"/>
      <c r="H19" s="47"/>
      <c r="I19" s="47"/>
      <c r="J19" s="19"/>
      <c r="L19" s="47"/>
      <c r="M19" s="47"/>
      <c r="N19" s="47"/>
      <c r="O19" s="47"/>
      <c r="P19" s="47"/>
      <c r="Q19" s="47"/>
      <c r="R19" s="47"/>
      <c r="S19" s="47">
        <f t="shared" si="3"/>
        <v>0</v>
      </c>
    </row>
    <row r="20" spans="1:20" x14ac:dyDescent="0.2">
      <c r="A20" s="8" t="s">
        <v>21</v>
      </c>
      <c r="B20" s="7"/>
      <c r="C20" s="7"/>
      <c r="D20" s="7"/>
      <c r="E20" s="7"/>
      <c r="F20" s="7"/>
      <c r="G20" s="7"/>
      <c r="H20" s="7"/>
      <c r="I20" s="7"/>
      <c r="J20" s="19"/>
      <c r="K20" s="8" t="str">
        <f>+A20</f>
        <v>Plant &amp; Equipment:</v>
      </c>
      <c r="L20" s="7"/>
      <c r="M20" s="7"/>
      <c r="N20" s="7"/>
      <c r="O20" s="7"/>
      <c r="P20" s="7"/>
      <c r="Q20" s="7"/>
      <c r="R20" s="7"/>
      <c r="S20" s="7"/>
    </row>
    <row r="21" spans="1:20" x14ac:dyDescent="0.2">
      <c r="A21" s="7" t="s">
        <v>65</v>
      </c>
      <c r="B21" s="47">
        <v>48792755</v>
      </c>
      <c r="C21" s="47">
        <v>51464806</v>
      </c>
      <c r="D21" s="47">
        <v>53842555</v>
      </c>
      <c r="E21" s="47">
        <v>57374547</v>
      </c>
      <c r="F21" s="47">
        <v>61157429</v>
      </c>
      <c r="G21" s="47">
        <v>65547154</v>
      </c>
      <c r="H21" s="47">
        <v>68991616</v>
      </c>
      <c r="I21" s="47">
        <v>75952488</v>
      </c>
      <c r="J21" s="19">
        <f t="shared" ref="J21:J22" si="10">RATE(5,,-D21,I21)</f>
        <v>7.123133740547466E-2</v>
      </c>
      <c r="K21" t="str">
        <f>+A21</f>
        <v>Plant in Service</v>
      </c>
      <c r="L21" s="45">
        <f t="shared" ref="L21:P22" si="11">+B21/B$38</f>
        <v>0.86658595919450665</v>
      </c>
      <c r="M21" s="45">
        <f t="shared" si="11"/>
        <v>0.86622271259830541</v>
      </c>
      <c r="N21" s="45">
        <f t="shared" si="11"/>
        <v>0.86701646802239452</v>
      </c>
      <c r="O21" s="45">
        <f t="shared" si="11"/>
        <v>1.0411730907719923</v>
      </c>
      <c r="P21" s="45">
        <f t="shared" si="11"/>
        <v>1.0377035117407192</v>
      </c>
      <c r="Q21" s="45">
        <f t="shared" ref="Q21:R22" si="12">+G21/G$38</f>
        <v>1.0603385695626781</v>
      </c>
      <c r="R21" s="45">
        <f t="shared" si="12"/>
        <v>1.0494642168769304</v>
      </c>
      <c r="S21" s="45">
        <f>+I21/I$38</f>
        <v>1.1081973099132538</v>
      </c>
      <c r="T21" s="19">
        <f t="shared" ref="T21:T22" si="13">SUM(E21:I21)/SUM(E$38:I$38)</f>
        <v>1.0609031073514987</v>
      </c>
    </row>
    <row r="22" spans="1:20" x14ac:dyDescent="0.2">
      <c r="A22" s="7" t="s">
        <v>99</v>
      </c>
      <c r="B22" s="47">
        <v>7113411</v>
      </c>
      <c r="C22" s="59">
        <v>9687309</v>
      </c>
      <c r="D22" s="59">
        <v>13129589</v>
      </c>
      <c r="E22" s="59">
        <v>3808672</v>
      </c>
      <c r="F22" s="59">
        <v>4322285</v>
      </c>
      <c r="G22" s="59">
        <v>2430983</v>
      </c>
      <c r="H22" s="59">
        <v>6328305</v>
      </c>
      <c r="I22" s="59">
        <v>5582136</v>
      </c>
      <c r="J22" s="19">
        <f t="shared" si="10"/>
        <v>-0.15722846953216413</v>
      </c>
      <c r="K22" t="str">
        <f>+A22</f>
        <v>Construction Work in Progress</v>
      </c>
      <c r="L22" s="45">
        <f t="shared" si="11"/>
        <v>0.12633806175895898</v>
      </c>
      <c r="M22" s="45">
        <f t="shared" si="11"/>
        <v>0.16305059188910531</v>
      </c>
      <c r="N22" s="45">
        <f t="shared" si="11"/>
        <v>0.21142328556595583</v>
      </c>
      <c r="O22" s="45">
        <f t="shared" si="11"/>
        <v>6.9115784007440534E-2</v>
      </c>
      <c r="P22" s="45">
        <f t="shared" si="11"/>
        <v>7.3339419210121382E-2</v>
      </c>
      <c r="Q22" s="45">
        <f t="shared" si="12"/>
        <v>3.9325354032170308E-2</v>
      </c>
      <c r="R22" s="45">
        <f t="shared" si="12"/>
        <v>9.626285099603063E-2</v>
      </c>
      <c r="S22" s="45">
        <f>+I22/I$38</f>
        <v>8.1447076477204158E-2</v>
      </c>
      <c r="T22" s="19">
        <f t="shared" si="13"/>
        <v>7.2459985705710925E-2</v>
      </c>
    </row>
    <row r="23" spans="1:20" x14ac:dyDescent="0.2">
      <c r="A23" s="7" t="s">
        <v>47</v>
      </c>
      <c r="B23" s="47"/>
      <c r="C23" s="59"/>
      <c r="D23" s="60"/>
      <c r="E23" s="60"/>
      <c r="F23" s="60"/>
      <c r="G23" s="60"/>
      <c r="H23" s="60"/>
      <c r="I23" s="60"/>
      <c r="J23" s="23"/>
      <c r="K23" t="str">
        <f>+A23</f>
        <v>Other PP&amp;E</v>
      </c>
      <c r="L23" s="60"/>
      <c r="M23" s="60"/>
      <c r="N23" s="60"/>
      <c r="O23" s="60"/>
      <c r="P23" s="60"/>
      <c r="Q23" s="60"/>
      <c r="R23" s="60"/>
      <c r="S23" s="60"/>
      <c r="T23" s="119"/>
    </row>
    <row r="24" spans="1:20" ht="12.75" customHeight="1" x14ac:dyDescent="0.2">
      <c r="A24" s="7" t="s">
        <v>54</v>
      </c>
      <c r="B24" s="61">
        <f t="shared" ref="B24:I24" si="14">SUM(B21:B23)</f>
        <v>55906166</v>
      </c>
      <c r="C24" s="61">
        <f t="shared" si="14"/>
        <v>61152115</v>
      </c>
      <c r="D24" s="51">
        <f t="shared" si="14"/>
        <v>66972144</v>
      </c>
      <c r="E24" s="51">
        <f t="shared" si="14"/>
        <v>61183219</v>
      </c>
      <c r="F24" s="51">
        <f t="shared" si="14"/>
        <v>65479714</v>
      </c>
      <c r="G24" s="51">
        <f t="shared" ref="G24" si="15">SUM(G21:G23)</f>
        <v>67978137</v>
      </c>
      <c r="H24" s="51">
        <f t="shared" ref="H24" si="16">SUM(H21:H23)</f>
        <v>75319921</v>
      </c>
      <c r="I24" s="51">
        <f t="shared" si="14"/>
        <v>81534624</v>
      </c>
      <c r="J24" s="19">
        <f t="shared" ref="J24" si="17">RATE(5,,-D24,I24)</f>
        <v>4.0134673509017185E-2</v>
      </c>
      <c r="K24" t="str">
        <f>+A24</f>
        <v>Total Plant &amp; Equipment:</v>
      </c>
      <c r="L24" s="45">
        <f>+B24/B$38</f>
        <v>0.99292402095346566</v>
      </c>
      <c r="M24" s="45">
        <f>+C24/C$38</f>
        <v>1.0292733044874107</v>
      </c>
      <c r="N24" s="45">
        <f>+D24/D$38</f>
        <v>1.0784397535883503</v>
      </c>
      <c r="O24" s="45">
        <f>+E24/E$38</f>
        <v>1.1102888747794328</v>
      </c>
      <c r="P24" s="45">
        <f>+F24/F$38</f>
        <v>1.1110429309508405</v>
      </c>
      <c r="Q24" s="45">
        <f t="shared" ref="Q24:R24" si="18">+G24/G$38</f>
        <v>1.0996639235948484</v>
      </c>
      <c r="R24" s="45">
        <f t="shared" si="18"/>
        <v>1.145727067872961</v>
      </c>
      <c r="S24" s="45">
        <f>+I24/I$38</f>
        <v>1.189644386390458</v>
      </c>
      <c r="T24" s="19">
        <f>SUM(E24:I24)/SUM(E$38:I$38)</f>
        <v>1.1333630930572096</v>
      </c>
    </row>
    <row r="25" spans="1:20" ht="7.5" customHeight="1" x14ac:dyDescent="0.2">
      <c r="A25" s="7"/>
      <c r="B25" s="47"/>
      <c r="C25" s="47"/>
      <c r="D25" s="47"/>
      <c r="E25" s="47"/>
      <c r="F25" s="47"/>
      <c r="G25" s="47"/>
      <c r="H25" s="47"/>
      <c r="I25" s="47"/>
      <c r="J25" s="19"/>
      <c r="L25" s="47"/>
      <c r="M25" s="47"/>
      <c r="N25" s="47"/>
      <c r="O25" s="47"/>
      <c r="P25" s="47"/>
      <c r="Q25" s="47"/>
      <c r="R25" s="47"/>
      <c r="S25" s="47"/>
    </row>
    <row r="26" spans="1:20" ht="12.75" customHeight="1" x14ac:dyDescent="0.2">
      <c r="A26" s="7" t="s">
        <v>48</v>
      </c>
      <c r="B26" s="47">
        <v>15776694</v>
      </c>
      <c r="C26" s="47">
        <v>17192640</v>
      </c>
      <c r="D26" s="47">
        <v>18693511</v>
      </c>
      <c r="E26" s="47">
        <v>20194557</v>
      </c>
      <c r="F26" s="47">
        <v>21595483</v>
      </c>
      <c r="G26" s="47">
        <v>23405387</v>
      </c>
      <c r="H26" s="47">
        <v>25018204</v>
      </c>
      <c r="I26" s="47">
        <v>26396075</v>
      </c>
      <c r="J26" s="19">
        <f t="shared" ref="J26" si="19">RATE(5,,-D26,I26)</f>
        <v>7.1444537789531845E-2</v>
      </c>
      <c r="K26" t="str">
        <f>+A26</f>
        <v>Accumulated Depreciation &amp; Amort.</v>
      </c>
      <c r="L26" s="45">
        <f>+B26/B$38</f>
        <v>0.28020269613610094</v>
      </c>
      <c r="M26" s="45">
        <f>+C26/C$38</f>
        <v>0.28937552504377712</v>
      </c>
      <c r="N26" s="45">
        <f>+D26/D$38</f>
        <v>0.30101806799766057</v>
      </c>
      <c r="O26" s="45">
        <f>+E26/E$38</f>
        <v>0.36646963554171808</v>
      </c>
      <c r="P26" s="45">
        <f>+F26/F$38</f>
        <v>0.36642659629849716</v>
      </c>
      <c r="Q26" s="45">
        <f t="shared" ref="Q26:R26" si="20">+G26/G$38</f>
        <v>0.37862261070314207</v>
      </c>
      <c r="R26" s="45">
        <f t="shared" si="20"/>
        <v>0.38056377558292426</v>
      </c>
      <c r="S26" s="45">
        <f>+I26/I$38</f>
        <v>0.38513628819201406</v>
      </c>
      <c r="T26" s="19">
        <f>SUM(E26:I26)/SUM(E$38:I$38)</f>
        <v>0.37599654571125124</v>
      </c>
    </row>
    <row r="27" spans="1:20" ht="7.5" customHeight="1" x14ac:dyDescent="0.2">
      <c r="A27" s="7"/>
      <c r="B27" s="47"/>
      <c r="C27" s="47"/>
      <c r="D27" s="47"/>
      <c r="E27" s="47"/>
      <c r="F27" s="47"/>
      <c r="G27" s="47"/>
      <c r="H27" s="47"/>
      <c r="I27" s="47"/>
      <c r="J27" s="19"/>
      <c r="L27" s="47"/>
      <c r="M27" s="47"/>
      <c r="N27" s="47"/>
      <c r="O27" s="47"/>
      <c r="P27" s="47"/>
      <c r="Q27" s="47"/>
      <c r="R27" s="47"/>
      <c r="S27" s="47"/>
    </row>
    <row r="28" spans="1:20" x14ac:dyDescent="0.2">
      <c r="A28" s="7" t="s">
        <v>49</v>
      </c>
      <c r="B28" s="47">
        <f t="shared" ref="B28:F28" si="21">B24-B26</f>
        <v>40129472</v>
      </c>
      <c r="C28" s="47">
        <f t="shared" si="21"/>
        <v>43959475</v>
      </c>
      <c r="D28" s="47">
        <f t="shared" si="21"/>
        <v>48278633</v>
      </c>
      <c r="E28" s="47">
        <f t="shared" si="21"/>
        <v>40988662</v>
      </c>
      <c r="F28" s="47">
        <f t="shared" si="21"/>
        <v>43884231</v>
      </c>
      <c r="G28" s="47">
        <f t="shared" ref="G28:I28" si="22">G24-G26</f>
        <v>44572750</v>
      </c>
      <c r="H28" s="47">
        <f t="shared" si="22"/>
        <v>50301717</v>
      </c>
      <c r="I28" s="47">
        <f t="shared" si="22"/>
        <v>55138549</v>
      </c>
      <c r="J28" s="19">
        <f t="shared" ref="J28" si="23">RATE(5,,-D28,I28)</f>
        <v>2.6928185192928784E-2</v>
      </c>
      <c r="K28" t="str">
        <f>+A28</f>
        <v>Net Plant &amp; Equipment</v>
      </c>
      <c r="L28" s="45">
        <f>+B28/B$38</f>
        <v>0.71272132481736472</v>
      </c>
      <c r="M28" s="45">
        <f>+C28/C$38</f>
        <v>0.73989777944363366</v>
      </c>
      <c r="N28" s="45">
        <f>+D28/D$38</f>
        <v>0.77742168559068969</v>
      </c>
      <c r="O28" s="45">
        <f>+E28/E$38</f>
        <v>0.74381923923771487</v>
      </c>
      <c r="P28" s="45">
        <f>+F28/F$38</f>
        <v>0.74461633465234345</v>
      </c>
      <c r="Q28" s="45">
        <f t="shared" ref="Q28:R28" si="24">+G28/G$38</f>
        <v>0.72104131289170637</v>
      </c>
      <c r="R28" s="45">
        <f t="shared" si="24"/>
        <v>0.76516329229003666</v>
      </c>
      <c r="S28" s="45">
        <f>+I28/I$38</f>
        <v>0.80450809819844393</v>
      </c>
      <c r="T28" s="19">
        <f>SUM(E28:I28)/SUM(E$38:I$38)</f>
        <v>0.75736654734595843</v>
      </c>
    </row>
    <row r="29" spans="1:20" ht="7.5" customHeight="1" x14ac:dyDescent="0.2">
      <c r="A29" s="7"/>
      <c r="B29" s="47"/>
      <c r="C29" s="47"/>
      <c r="D29" s="47"/>
      <c r="E29" s="47"/>
      <c r="F29" s="47"/>
      <c r="G29" s="47"/>
      <c r="H29" s="47"/>
      <c r="I29" s="47"/>
      <c r="J29" s="19"/>
      <c r="L29" s="47"/>
      <c r="M29" s="47"/>
      <c r="N29" s="47"/>
      <c r="O29" s="47"/>
      <c r="P29" s="47"/>
      <c r="Q29" s="47"/>
      <c r="R29" s="47"/>
      <c r="S29" s="47"/>
    </row>
    <row r="30" spans="1:20" x14ac:dyDescent="0.2">
      <c r="A30" s="8" t="s">
        <v>58</v>
      </c>
      <c r="B30" s="47"/>
      <c r="C30" s="47"/>
      <c r="D30" s="47"/>
      <c r="E30" s="47"/>
      <c r="F30" s="47"/>
      <c r="G30" s="47"/>
      <c r="H30" s="47"/>
      <c r="I30" s="47"/>
      <c r="J30" s="19"/>
      <c r="K30" s="8" t="str">
        <f t="shared" ref="K30:K38" si="25">+A30</f>
        <v>Other Assets:</v>
      </c>
      <c r="L30" s="47"/>
      <c r="M30" s="47"/>
      <c r="N30" s="47"/>
      <c r="O30" s="47"/>
      <c r="P30" s="47"/>
      <c r="Q30" s="47"/>
      <c r="R30" s="47"/>
      <c r="S30" s="47"/>
    </row>
    <row r="31" spans="1:20" x14ac:dyDescent="0.2">
      <c r="A31" s="7" t="s">
        <v>50</v>
      </c>
      <c r="B31" s="47"/>
      <c r="C31" s="47"/>
      <c r="D31" s="47"/>
      <c r="E31" s="47"/>
      <c r="F31" s="47"/>
      <c r="G31" s="47"/>
      <c r="H31" s="47"/>
      <c r="I31" s="47"/>
      <c r="J31" s="19"/>
      <c r="K31" t="str">
        <f t="shared" si="25"/>
        <v>Regulatory Assets</v>
      </c>
      <c r="L31" s="47"/>
      <c r="M31" s="47"/>
      <c r="N31" s="47"/>
      <c r="O31" s="47"/>
      <c r="P31" s="47"/>
      <c r="Q31" s="47"/>
      <c r="R31" s="47"/>
      <c r="S31" s="47"/>
    </row>
    <row r="32" spans="1:20" x14ac:dyDescent="0.2">
      <c r="A32" s="7" t="s">
        <v>147</v>
      </c>
      <c r="B32" s="47">
        <v>1597873</v>
      </c>
      <c r="C32" s="47">
        <v>1597873</v>
      </c>
      <c r="D32" s="47">
        <v>1597873</v>
      </c>
      <c r="E32" s="47">
        <v>1597873</v>
      </c>
      <c r="F32" s="114">
        <v>0</v>
      </c>
      <c r="G32" s="114">
        <v>0</v>
      </c>
      <c r="H32" s="114">
        <v>0</v>
      </c>
      <c r="I32" s="114">
        <v>0</v>
      </c>
      <c r="J32" s="19"/>
      <c r="K32" t="str">
        <f t="shared" si="25"/>
        <v>Notes Receivable - Ft Pierce Indust</v>
      </c>
      <c r="L32" s="45">
        <f t="shared" ref="L32:O38" si="26">+B32/B$38</f>
        <v>2.8379096576448777E-2</v>
      </c>
      <c r="M32" s="45">
        <f t="shared" si="26"/>
        <v>2.6894376798925312E-2</v>
      </c>
      <c r="N32" s="45">
        <f t="shared" si="26"/>
        <v>2.5730246360120682E-2</v>
      </c>
      <c r="O32" s="45">
        <f t="shared" si="26"/>
        <v>2.8996522971608225E-2</v>
      </c>
      <c r="P32" s="45"/>
      <c r="Q32" s="45"/>
      <c r="R32" s="45"/>
      <c r="S32" s="45"/>
      <c r="T32" s="19">
        <f t="shared" ref="T32:T34" si="27">SUM(E32:I32)/SUM(E$38:I$38)</f>
        <v>5.152184574457928E-3</v>
      </c>
    </row>
    <row r="33" spans="1:20" x14ac:dyDescent="0.2">
      <c r="A33" s="7" t="s">
        <v>91</v>
      </c>
      <c r="B33" s="47">
        <v>1832962</v>
      </c>
      <c r="C33" s="47">
        <v>1865180</v>
      </c>
      <c r="D33" s="47">
        <v>1903060</v>
      </c>
      <c r="E33" s="47">
        <v>1791541</v>
      </c>
      <c r="F33" s="47">
        <v>1706992</v>
      </c>
      <c r="G33" s="47">
        <v>1690399</v>
      </c>
      <c r="H33" s="47">
        <v>1522257</v>
      </c>
      <c r="I33" s="47">
        <v>1353735</v>
      </c>
      <c r="J33" s="19">
        <f t="shared" ref="J33:J34" si="28">RATE(5,,-D33,I33)</f>
        <v>-6.585082348289252E-2</v>
      </c>
      <c r="K33" t="str">
        <f t="shared" si="25"/>
        <v>Notes Receivable Related Party</v>
      </c>
      <c r="L33" s="45">
        <f t="shared" si="26"/>
        <v>3.2554405524694831E-2</v>
      </c>
      <c r="M33" s="45">
        <f t="shared" si="26"/>
        <v>3.1393517330738745E-2</v>
      </c>
      <c r="N33" s="45">
        <f t="shared" si="26"/>
        <v>3.0644614833651523E-2</v>
      </c>
      <c r="O33" s="45">
        <f t="shared" si="26"/>
        <v>3.2511006670165883E-2</v>
      </c>
      <c r="P33" s="45">
        <f t="shared" ref="P33:P38" si="29">+F33/F$38</f>
        <v>2.896380083134812E-2</v>
      </c>
      <c r="Q33" s="45">
        <f t="shared" ref="Q33:R38" si="30">+G33/G$38</f>
        <v>2.7345127107275803E-2</v>
      </c>
      <c r="R33" s="45">
        <f t="shared" si="30"/>
        <v>2.3155773744891341E-2</v>
      </c>
      <c r="S33" s="45">
        <f t="shared" ref="S33:S38" si="31">+I33/I$38</f>
        <v>1.9751893912091711E-2</v>
      </c>
      <c r="T33" s="19">
        <f t="shared" si="27"/>
        <v>2.6004555447758072E-2</v>
      </c>
    </row>
    <row r="34" spans="1:20" x14ac:dyDescent="0.2">
      <c r="A34" s="7" t="s">
        <v>98</v>
      </c>
      <c r="B34" s="114">
        <v>1169693</v>
      </c>
      <c r="C34" s="115">
        <v>1169693</v>
      </c>
      <c r="D34" s="115">
        <v>1187147</v>
      </c>
      <c r="E34" s="59">
        <v>1169693</v>
      </c>
      <c r="F34" s="59">
        <v>1191065</v>
      </c>
      <c r="G34" s="59">
        <v>1045904</v>
      </c>
      <c r="H34" s="59">
        <v>733416</v>
      </c>
      <c r="I34" s="59">
        <v>738208</v>
      </c>
      <c r="J34" s="19">
        <f t="shared" si="28"/>
        <v>-9.0642088403289939E-2</v>
      </c>
      <c r="K34" t="str">
        <f t="shared" si="25"/>
        <v>Non-utility Property</v>
      </c>
      <c r="L34" s="45">
        <f t="shared" si="26"/>
        <v>2.0774386081870148E-2</v>
      </c>
      <c r="M34" s="45">
        <f t="shared" si="26"/>
        <v>1.9687524778918816E-2</v>
      </c>
      <c r="N34" s="45">
        <f t="shared" si="26"/>
        <v>1.9116403353506936E-2</v>
      </c>
      <c r="O34" s="45">
        <f t="shared" si="26"/>
        <v>2.1226361509474996E-2</v>
      </c>
      <c r="P34" s="45">
        <f t="shared" si="29"/>
        <v>2.0209684308531997E-2</v>
      </c>
      <c r="Q34" s="45">
        <f t="shared" si="30"/>
        <v>1.6919305928368503E-2</v>
      </c>
      <c r="R34" s="45">
        <f t="shared" si="30"/>
        <v>1.1156338881597014E-2</v>
      </c>
      <c r="S34" s="45">
        <f t="shared" si="31"/>
        <v>1.0770945643761442E-2</v>
      </c>
      <c r="T34" s="19">
        <f t="shared" si="27"/>
        <v>1.5729554150420006E-2</v>
      </c>
    </row>
    <row r="35" spans="1:20" x14ac:dyDescent="0.2">
      <c r="A35" s="7" t="s">
        <v>85</v>
      </c>
      <c r="B35" s="114">
        <v>585676</v>
      </c>
      <c r="C35" s="114">
        <v>1210252</v>
      </c>
      <c r="D35" s="116">
        <v>1249291</v>
      </c>
      <c r="E35" s="48">
        <v>1272910</v>
      </c>
      <c r="F35" s="51">
        <v>1292542</v>
      </c>
      <c r="G35" s="51">
        <v>1381809</v>
      </c>
      <c r="H35" s="51">
        <v>1102712</v>
      </c>
      <c r="I35" s="51">
        <v>1339439</v>
      </c>
      <c r="J35" s="23">
        <f>RATE(5,,-D35,I35)</f>
        <v>1.4032479618497878E-2</v>
      </c>
      <c r="K35" t="str">
        <f t="shared" si="25"/>
        <v>Investment in CFC and Others</v>
      </c>
      <c r="L35" s="118">
        <f t="shared" si="26"/>
        <v>1.0401925413664423E-2</v>
      </c>
      <c r="M35" s="118">
        <f t="shared" si="26"/>
        <v>2.037018793712201E-2</v>
      </c>
      <c r="N35" s="118">
        <f t="shared" si="26"/>
        <v>2.0117096418477268E-2</v>
      </c>
      <c r="O35" s="118">
        <f t="shared" si="26"/>
        <v>2.3099435346732703E-2</v>
      </c>
      <c r="P35" s="118">
        <f t="shared" si="29"/>
        <v>2.1931519921682331E-2</v>
      </c>
      <c r="Q35" s="118">
        <f t="shared" si="30"/>
        <v>2.2353150198845165E-2</v>
      </c>
      <c r="R35" s="118">
        <f t="shared" si="30"/>
        <v>1.6773875618753351E-2</v>
      </c>
      <c r="S35" s="118">
        <f t="shared" si="31"/>
        <v>1.9543305764952675E-2</v>
      </c>
      <c r="T35" s="23">
        <f>SUM(E35:I35)/SUM(E$38:I$38)</f>
        <v>2.0602031542091507E-2</v>
      </c>
    </row>
    <row r="36" spans="1:20" x14ac:dyDescent="0.2">
      <c r="A36" s="7" t="s">
        <v>59</v>
      </c>
      <c r="B36" s="61">
        <f t="shared" ref="B36:I36" si="32">SUM(B31:B35)</f>
        <v>5186204</v>
      </c>
      <c r="C36" s="61">
        <f t="shared" si="32"/>
        <v>5842998</v>
      </c>
      <c r="D36" s="62">
        <f t="shared" si="32"/>
        <v>5937371</v>
      </c>
      <c r="E36" s="62">
        <f t="shared" si="32"/>
        <v>5832017</v>
      </c>
      <c r="F36" s="62">
        <f t="shared" si="32"/>
        <v>4190599</v>
      </c>
      <c r="G36" s="62">
        <f t="shared" ref="G36" si="33">SUM(G31:G35)</f>
        <v>4118112</v>
      </c>
      <c r="H36" s="62">
        <f t="shared" ref="H36" si="34">SUM(H31:H35)</f>
        <v>3358385</v>
      </c>
      <c r="I36" s="62">
        <f t="shared" si="32"/>
        <v>3431382</v>
      </c>
      <c r="J36" s="23">
        <f>RATE(5,,-D36,I36)</f>
        <v>-0.10386182924623909</v>
      </c>
      <c r="K36" t="str">
        <f t="shared" si="25"/>
        <v>Total Other Assets</v>
      </c>
      <c r="L36" s="118">
        <f t="shared" si="26"/>
        <v>9.2109813596678178E-2</v>
      </c>
      <c r="M36" s="118">
        <f t="shared" si="26"/>
        <v>9.8345606845704883E-2</v>
      </c>
      <c r="N36" s="118">
        <f t="shared" si="26"/>
        <v>9.5608360965756409E-2</v>
      </c>
      <c r="O36" s="118">
        <f t="shared" si="26"/>
        <v>0.1058333264979818</v>
      </c>
      <c r="P36" s="118">
        <f t="shared" si="29"/>
        <v>7.1105005061562448E-2</v>
      </c>
      <c r="Q36" s="118">
        <f t="shared" si="30"/>
        <v>6.6617583234489477E-2</v>
      </c>
      <c r="R36" s="118">
        <f t="shared" si="30"/>
        <v>5.1085988245241708E-2</v>
      </c>
      <c r="S36" s="118">
        <f t="shared" si="31"/>
        <v>5.0066145320805826E-2</v>
      </c>
      <c r="T36" s="23">
        <f>SUM(E36:I36)/SUM(E$38:I$38)</f>
        <v>6.7488325714727515E-2</v>
      </c>
    </row>
    <row r="37" spans="1:20" x14ac:dyDescent="0.2">
      <c r="A37" s="7" t="s">
        <v>37</v>
      </c>
      <c r="B37" s="61">
        <f t="shared" ref="B37:I37" si="35">B28+B36</f>
        <v>45315676</v>
      </c>
      <c r="C37" s="61">
        <f t="shared" si="35"/>
        <v>49802473</v>
      </c>
      <c r="D37" s="62">
        <f t="shared" si="35"/>
        <v>54216004</v>
      </c>
      <c r="E37" s="62">
        <f t="shared" si="35"/>
        <v>46820679</v>
      </c>
      <c r="F37" s="62">
        <f t="shared" si="35"/>
        <v>48074830</v>
      </c>
      <c r="G37" s="62">
        <f t="shared" ref="G37" si="36">G28+G36</f>
        <v>48690862</v>
      </c>
      <c r="H37" s="62">
        <f t="shared" ref="H37" si="37">H28+H36</f>
        <v>53660102</v>
      </c>
      <c r="I37" s="62">
        <f t="shared" si="35"/>
        <v>58569931</v>
      </c>
      <c r="J37" s="23">
        <f>RATE(5,,-D37,I37)</f>
        <v>1.5569013738513125E-2</v>
      </c>
      <c r="K37" t="str">
        <f t="shared" si="25"/>
        <v>Total Non-Current Assets</v>
      </c>
      <c r="L37" s="118">
        <f t="shared" si="26"/>
        <v>0.80483113841404297</v>
      </c>
      <c r="M37" s="118">
        <f t="shared" si="26"/>
        <v>0.83824338628933848</v>
      </c>
      <c r="N37" s="118">
        <f t="shared" si="26"/>
        <v>0.87303004655644612</v>
      </c>
      <c r="O37" s="118">
        <f t="shared" si="26"/>
        <v>0.84965256573569659</v>
      </c>
      <c r="P37" s="118">
        <f t="shared" si="29"/>
        <v>0.81572133971390592</v>
      </c>
      <c r="Q37" s="118">
        <f t="shared" si="30"/>
        <v>0.78765889612619588</v>
      </c>
      <c r="R37" s="118">
        <f t="shared" si="30"/>
        <v>0.81624928053527845</v>
      </c>
      <c r="S37" s="118">
        <f t="shared" si="31"/>
        <v>0.85457424351924971</v>
      </c>
      <c r="T37" s="23">
        <f>SUM(E37:I37)/SUM(E$38:I$38)</f>
        <v>0.82485487306068594</v>
      </c>
    </row>
    <row r="38" spans="1:20" ht="13.5" thickBot="1" x14ac:dyDescent="0.25">
      <c r="A38" s="7" t="s">
        <v>32</v>
      </c>
      <c r="B38" s="61">
        <f t="shared" ref="B38:I38" si="38">B18+B28+B36</f>
        <v>56304576</v>
      </c>
      <c r="C38" s="61">
        <f t="shared" si="38"/>
        <v>59412903</v>
      </c>
      <c r="D38" s="63">
        <f t="shared" si="38"/>
        <v>62100960</v>
      </c>
      <c r="E38" s="63">
        <f t="shared" si="38"/>
        <v>55105676</v>
      </c>
      <c r="F38" s="63">
        <f t="shared" si="38"/>
        <v>58935359</v>
      </c>
      <c r="G38" s="63">
        <f t="shared" ref="G38:H38" si="39">G18+G28+G36</f>
        <v>61817193</v>
      </c>
      <c r="H38" s="63">
        <f t="shared" si="39"/>
        <v>65739846</v>
      </c>
      <c r="I38" s="63">
        <f t="shared" si="38"/>
        <v>68536972</v>
      </c>
      <c r="J38" s="26">
        <f>RATE(5,,-D38,I38)</f>
        <v>1.9918148825037129E-2</v>
      </c>
      <c r="K38" t="str">
        <f t="shared" si="25"/>
        <v>Total Assets</v>
      </c>
      <c r="L38" s="117">
        <f t="shared" si="26"/>
        <v>1</v>
      </c>
      <c r="M38" s="117">
        <f t="shared" si="26"/>
        <v>1</v>
      </c>
      <c r="N38" s="117">
        <f t="shared" si="26"/>
        <v>1</v>
      </c>
      <c r="O38" s="117">
        <f t="shared" si="26"/>
        <v>1</v>
      </c>
      <c r="P38" s="117">
        <f t="shared" si="29"/>
        <v>1</v>
      </c>
      <c r="Q38" s="117">
        <f t="shared" si="30"/>
        <v>1</v>
      </c>
      <c r="R38" s="117">
        <f t="shared" si="30"/>
        <v>1</v>
      </c>
      <c r="S38" s="117">
        <f t="shared" si="31"/>
        <v>1</v>
      </c>
      <c r="T38" s="29">
        <f>SUM(E38:I38)/SUM(E$38:I$38)</f>
        <v>1</v>
      </c>
    </row>
    <row r="39" spans="1:20" ht="13.5" thickTop="1" x14ac:dyDescent="0.2">
      <c r="A39" s="7"/>
      <c r="B39" s="27"/>
      <c r="C39" s="27"/>
      <c r="D39" s="25"/>
      <c r="E39" s="25"/>
      <c r="F39" s="25"/>
      <c r="G39" s="25"/>
      <c r="H39" s="25"/>
      <c r="I39" s="25"/>
      <c r="J39" s="19"/>
      <c r="L39" s="25"/>
      <c r="M39" s="25"/>
      <c r="N39" s="25"/>
      <c r="O39" s="25"/>
      <c r="P39" s="25"/>
      <c r="Q39" s="25"/>
      <c r="R39" s="25"/>
      <c r="S39" s="25"/>
    </row>
    <row r="40" spans="1:20" x14ac:dyDescent="0.2">
      <c r="A40" s="8" t="s">
        <v>7</v>
      </c>
      <c r="B40" s="7"/>
      <c r="C40" s="7"/>
      <c r="D40" s="7"/>
      <c r="E40" s="7"/>
      <c r="F40" s="7"/>
      <c r="G40" s="7"/>
      <c r="H40" s="7"/>
      <c r="I40" s="7"/>
      <c r="J40" s="19"/>
      <c r="K40" s="8" t="str">
        <f t="shared" ref="K40:K47" si="40">+A40</f>
        <v>Current Liabilities:</v>
      </c>
      <c r="L40" s="7"/>
      <c r="M40" s="7"/>
      <c r="N40" s="7"/>
      <c r="O40" s="7"/>
      <c r="P40" s="7"/>
      <c r="Q40" s="7"/>
      <c r="R40" s="7"/>
      <c r="S40" s="7"/>
    </row>
    <row r="41" spans="1:20" x14ac:dyDescent="0.2">
      <c r="A41" s="28" t="s">
        <v>73</v>
      </c>
      <c r="B41" s="47">
        <v>465707</v>
      </c>
      <c r="C41" s="47">
        <v>498206</v>
      </c>
      <c r="D41" s="47">
        <v>529350</v>
      </c>
      <c r="E41" s="47">
        <v>619115</v>
      </c>
      <c r="F41" s="47">
        <v>675182</v>
      </c>
      <c r="G41" s="47">
        <v>849164</v>
      </c>
      <c r="H41" s="47">
        <v>846798</v>
      </c>
      <c r="I41" s="47">
        <v>841036</v>
      </c>
      <c r="J41" s="19">
        <f t="shared" ref="J41:J57" si="41">RATE(5,,-D41,I41)</f>
        <v>9.7019465337415955E-2</v>
      </c>
      <c r="K41" t="str">
        <f t="shared" si="40"/>
        <v>Current Portion of LTD</v>
      </c>
      <c r="L41" s="45">
        <f t="shared" ref="L41:P44" si="42">+B41/B$38</f>
        <v>8.271210496283642E-3</v>
      </c>
      <c r="M41" s="45">
        <f t="shared" si="42"/>
        <v>8.3854848836455616E-3</v>
      </c>
      <c r="N41" s="45">
        <f t="shared" si="42"/>
        <v>8.5240228170385766E-3</v>
      </c>
      <c r="O41" s="45">
        <f t="shared" si="42"/>
        <v>1.1235049543716694E-2</v>
      </c>
      <c r="P41" s="45">
        <f t="shared" si="42"/>
        <v>1.1456314366389114E-2</v>
      </c>
      <c r="Q41" s="45">
        <f t="shared" ref="Q41:R44" si="43">+G41/G$38</f>
        <v>1.3736696197124318E-2</v>
      </c>
      <c r="R41" s="45">
        <f t="shared" si="43"/>
        <v>1.2881046298769851E-2</v>
      </c>
      <c r="S41" s="45">
        <f t="shared" ref="S41:S47" si="44">+I41/I$38</f>
        <v>1.2271274546532344E-2</v>
      </c>
      <c r="T41" s="19">
        <f t="shared" ref="T41:T57" si="45">SUM(E41:I41)/SUM(E$38:I$38)</f>
        <v>1.2353634487345232E-2</v>
      </c>
    </row>
    <row r="42" spans="1:20" x14ac:dyDescent="0.2">
      <c r="A42" s="7" t="s">
        <v>60</v>
      </c>
      <c r="B42" s="47">
        <v>2159056</v>
      </c>
      <c r="C42" s="47">
        <v>3404219</v>
      </c>
      <c r="D42" s="47">
        <v>2673463</v>
      </c>
      <c r="E42" s="47">
        <v>2056480</v>
      </c>
      <c r="F42" s="47">
        <v>2721206</v>
      </c>
      <c r="G42" s="47">
        <v>2686287</v>
      </c>
      <c r="H42" s="47">
        <v>2670658</v>
      </c>
      <c r="I42" s="47">
        <v>3327741</v>
      </c>
      <c r="J42" s="19">
        <f t="shared" si="41"/>
        <v>4.4756466585204283E-2</v>
      </c>
      <c r="K42" t="str">
        <f t="shared" si="40"/>
        <v>Acounts Payable</v>
      </c>
      <c r="L42" s="45">
        <f t="shared" si="42"/>
        <v>3.8346012942180756E-2</v>
      </c>
      <c r="M42" s="45">
        <f t="shared" si="42"/>
        <v>5.7297637854861257E-2</v>
      </c>
      <c r="N42" s="45">
        <f t="shared" si="42"/>
        <v>4.3050268466059138E-2</v>
      </c>
      <c r="O42" s="45">
        <f t="shared" si="42"/>
        <v>3.7318841710607085E-2</v>
      </c>
      <c r="P42" s="45">
        <f t="shared" si="42"/>
        <v>4.6172722897980481E-2</v>
      </c>
      <c r="Q42" s="45">
        <f t="shared" si="43"/>
        <v>4.3455337740747953E-2</v>
      </c>
      <c r="R42" s="45">
        <f t="shared" si="43"/>
        <v>4.0624646428286428E-2</v>
      </c>
      <c r="S42" s="45">
        <f t="shared" si="44"/>
        <v>4.8553954207372921E-2</v>
      </c>
      <c r="T42" s="19">
        <f t="shared" si="45"/>
        <v>4.3408096484523068E-2</v>
      </c>
    </row>
    <row r="43" spans="1:20" x14ac:dyDescent="0.2">
      <c r="A43" s="7" t="s">
        <v>87</v>
      </c>
      <c r="B43" s="47">
        <v>407915</v>
      </c>
      <c r="C43" s="47">
        <v>445689</v>
      </c>
      <c r="D43" s="47">
        <v>495845</v>
      </c>
      <c r="E43" s="47">
        <v>497768</v>
      </c>
      <c r="F43" s="47">
        <v>557497</v>
      </c>
      <c r="G43" s="47">
        <v>595484</v>
      </c>
      <c r="H43" s="47">
        <v>621117</v>
      </c>
      <c r="I43" s="47">
        <v>647998</v>
      </c>
      <c r="J43" s="19">
        <f t="shared" si="41"/>
        <v>5.4983203985312812E-2</v>
      </c>
      <c r="K43" t="str">
        <f t="shared" si="40"/>
        <v>Accrued Expenses</v>
      </c>
      <c r="L43" s="45">
        <f t="shared" si="42"/>
        <v>7.2447930342286922E-3</v>
      </c>
      <c r="M43" s="45">
        <f t="shared" si="42"/>
        <v>7.5015523143179856E-3</v>
      </c>
      <c r="N43" s="45">
        <f t="shared" si="42"/>
        <v>7.984498146244438E-3</v>
      </c>
      <c r="O43" s="45">
        <f t="shared" si="42"/>
        <v>9.0329714855507809E-3</v>
      </c>
      <c r="P43" s="45">
        <f t="shared" si="42"/>
        <v>9.4594655816044159E-3</v>
      </c>
      <c r="Q43" s="45">
        <f t="shared" si="43"/>
        <v>9.632983497002201E-3</v>
      </c>
      <c r="R43" s="45">
        <f t="shared" si="43"/>
        <v>9.4481054914549081E-3</v>
      </c>
      <c r="S43" s="45">
        <f t="shared" si="44"/>
        <v>9.4547217522244782E-3</v>
      </c>
      <c r="T43" s="19">
        <f t="shared" si="45"/>
        <v>9.4148147320312851E-3</v>
      </c>
    </row>
    <row r="44" spans="1:20" x14ac:dyDescent="0.2">
      <c r="A44" s="28" t="s">
        <v>74</v>
      </c>
      <c r="B44" s="47">
        <v>217516</v>
      </c>
      <c r="C44" s="47">
        <v>503076</v>
      </c>
      <c r="D44" s="47">
        <v>369390</v>
      </c>
      <c r="E44" s="47">
        <v>361566</v>
      </c>
      <c r="F44" s="47">
        <v>333886</v>
      </c>
      <c r="G44" s="47">
        <v>327004</v>
      </c>
      <c r="H44" s="47">
        <v>329665</v>
      </c>
      <c r="I44" s="47">
        <v>348870</v>
      </c>
      <c r="J44" s="19">
        <f t="shared" si="41"/>
        <v>-1.1365644752979564E-2</v>
      </c>
      <c r="K44" t="str">
        <f t="shared" si="40"/>
        <v>Customer Deposits</v>
      </c>
      <c r="L44" s="45">
        <f t="shared" si="42"/>
        <v>3.8632028771515836E-3</v>
      </c>
      <c r="M44" s="45">
        <f t="shared" si="42"/>
        <v>8.4674536102031569E-3</v>
      </c>
      <c r="N44" s="45">
        <f t="shared" si="42"/>
        <v>5.9482172256274295E-3</v>
      </c>
      <c r="O44" s="45">
        <f t="shared" si="42"/>
        <v>6.5613204708712767E-3</v>
      </c>
      <c r="P44" s="45">
        <f t="shared" si="42"/>
        <v>5.6652916969590359E-3</v>
      </c>
      <c r="Q44" s="45">
        <f t="shared" si="43"/>
        <v>5.2898552025809386E-3</v>
      </c>
      <c r="R44" s="45">
        <f t="shared" si="43"/>
        <v>5.0146907858591577E-3</v>
      </c>
      <c r="S44" s="45">
        <f t="shared" si="44"/>
        <v>5.0902453058474777E-3</v>
      </c>
      <c r="T44" s="19">
        <f t="shared" si="45"/>
        <v>5.4846784390823085E-3</v>
      </c>
    </row>
    <row r="45" spans="1:20" x14ac:dyDescent="0.2">
      <c r="A45" s="7" t="s">
        <v>86</v>
      </c>
      <c r="B45" s="47">
        <v>3000000</v>
      </c>
      <c r="C45" s="47"/>
      <c r="D45" s="47"/>
      <c r="E45" s="47"/>
      <c r="F45" s="47"/>
      <c r="G45" s="47"/>
      <c r="H45" s="47"/>
      <c r="I45" s="47">
        <v>1500000</v>
      </c>
      <c r="J45" s="19"/>
      <c r="K45" t="str">
        <f t="shared" si="40"/>
        <v>Perpetual Line of Credit</v>
      </c>
      <c r="L45" s="45">
        <f>+B45/B$38</f>
        <v>5.3281637357503589E-2</v>
      </c>
      <c r="M45" s="45"/>
      <c r="N45" s="45"/>
      <c r="O45" s="45"/>
      <c r="P45" s="45"/>
      <c r="Q45" s="45"/>
      <c r="R45" s="45"/>
      <c r="S45" s="45">
        <f t="shared" si="44"/>
        <v>2.1885997531376204E-2</v>
      </c>
      <c r="T45" s="19">
        <f t="shared" si="45"/>
        <v>4.8366026972649842E-3</v>
      </c>
    </row>
    <row r="46" spans="1:20" x14ac:dyDescent="0.2">
      <c r="A46" s="7" t="s">
        <v>83</v>
      </c>
      <c r="B46" s="47">
        <f>561420+74289</f>
        <v>635709</v>
      </c>
      <c r="C46" s="51">
        <f>604200+47561</f>
        <v>651761</v>
      </c>
      <c r="D46" s="48">
        <f>40185+592476</f>
        <v>632661</v>
      </c>
      <c r="E46" s="48">
        <f>639634+22223</f>
        <v>661857</v>
      </c>
      <c r="F46" s="51">
        <f>668880+46293</f>
        <v>715173</v>
      </c>
      <c r="G46" s="51">
        <f t="shared" ref="G46" si="46">68423+741938</f>
        <v>810361</v>
      </c>
      <c r="H46" s="51">
        <f>815314+95754</f>
        <v>911068</v>
      </c>
      <c r="I46" s="51">
        <f>765565+106927</f>
        <v>872492</v>
      </c>
      <c r="J46" s="23">
        <f>RATE(5,,-D46,I46)</f>
        <v>6.6394945681907777E-2</v>
      </c>
      <c r="K46" t="str">
        <f t="shared" si="40"/>
        <v>Other Current and Accrued Liabilities</v>
      </c>
      <c r="L46" s="118">
        <f>+B46/B$38</f>
        <v>1.1290538800967084E-2</v>
      </c>
      <c r="M46" s="118">
        <f t="shared" ref="M46:P47" si="47">+C46/C$38</f>
        <v>1.0970024474313264E-2</v>
      </c>
      <c r="N46" s="118">
        <f t="shared" si="47"/>
        <v>1.0187620287995547E-2</v>
      </c>
      <c r="O46" s="118">
        <f t="shared" si="47"/>
        <v>1.2010686521657044E-2</v>
      </c>
      <c r="P46" s="118">
        <f t="shared" si="47"/>
        <v>1.2134871359653548E-2</v>
      </c>
      <c r="Q46" s="118">
        <f t="shared" ref="Q46:R47" si="48">+G46/G$38</f>
        <v>1.3108990568368253E-2</v>
      </c>
      <c r="R46" s="118">
        <f t="shared" si="48"/>
        <v>1.3858687773622104E-2</v>
      </c>
      <c r="S46" s="118">
        <f t="shared" si="44"/>
        <v>1.2730238505430324E-2</v>
      </c>
      <c r="T46" s="23">
        <f>SUM(E46:I46)/SUM(E$38:I$38)</f>
        <v>1.2803941544871392E-2</v>
      </c>
    </row>
    <row r="47" spans="1:20" x14ac:dyDescent="0.2">
      <c r="A47" s="7" t="s">
        <v>34</v>
      </c>
      <c r="B47" s="61">
        <f t="shared" ref="B47:I47" si="49">SUM(B40:B46)</f>
        <v>6885903</v>
      </c>
      <c r="C47" s="61">
        <f t="shared" si="49"/>
        <v>5502951</v>
      </c>
      <c r="D47" s="51">
        <f t="shared" si="49"/>
        <v>4700709</v>
      </c>
      <c r="E47" s="51">
        <f t="shared" si="49"/>
        <v>4196786</v>
      </c>
      <c r="F47" s="61">
        <f t="shared" si="49"/>
        <v>5002944</v>
      </c>
      <c r="G47" s="61">
        <f t="shared" ref="G47" si="50">SUM(G40:G46)</f>
        <v>5268300</v>
      </c>
      <c r="H47" s="61">
        <f t="shared" ref="H47" si="51">SUM(H40:H46)</f>
        <v>5379306</v>
      </c>
      <c r="I47" s="61">
        <f t="shared" si="49"/>
        <v>7538137</v>
      </c>
      <c r="J47" s="19">
        <f t="shared" si="41"/>
        <v>9.9056785423587007E-2</v>
      </c>
      <c r="K47" t="str">
        <f t="shared" si="40"/>
        <v>Total Current Liabilities</v>
      </c>
      <c r="L47" s="45">
        <f>+B47/B$38</f>
        <v>0.12229739550831535</v>
      </c>
      <c r="M47" s="45">
        <f t="shared" si="47"/>
        <v>9.262215313734122E-2</v>
      </c>
      <c r="N47" s="45">
        <f t="shared" si="47"/>
        <v>7.5694626942965137E-2</v>
      </c>
      <c r="O47" s="45">
        <f t="shared" si="47"/>
        <v>7.6158869732402878E-2</v>
      </c>
      <c r="P47" s="45">
        <f t="shared" si="47"/>
        <v>8.4888665902586591E-2</v>
      </c>
      <c r="Q47" s="45">
        <f t="shared" si="48"/>
        <v>8.5223863205823661E-2</v>
      </c>
      <c r="R47" s="45">
        <f t="shared" si="48"/>
        <v>8.182717677799245E-2</v>
      </c>
      <c r="S47" s="45">
        <f t="shared" si="44"/>
        <v>0.10998643184878375</v>
      </c>
      <c r="T47" s="19">
        <f t="shared" si="45"/>
        <v>8.8301768385118273E-2</v>
      </c>
    </row>
    <row r="48" spans="1:20" x14ac:dyDescent="0.2">
      <c r="A48" s="7"/>
      <c r="B48" s="47"/>
      <c r="C48" s="47"/>
      <c r="D48" s="47"/>
      <c r="E48" s="47"/>
      <c r="F48" s="47"/>
      <c r="G48" s="47"/>
      <c r="H48" s="47"/>
      <c r="I48" s="47"/>
      <c r="J48" s="19"/>
      <c r="L48" s="47"/>
      <c r="M48" s="47"/>
      <c r="N48" s="47"/>
      <c r="O48" s="47"/>
      <c r="P48" s="47"/>
      <c r="Q48" s="47"/>
      <c r="R48" s="47"/>
      <c r="S48" s="47"/>
    </row>
    <row r="49" spans="1:20" x14ac:dyDescent="0.2">
      <c r="A49" s="7" t="s">
        <v>51</v>
      </c>
      <c r="B49" s="47">
        <v>8301033</v>
      </c>
      <c r="C49" s="47">
        <v>8294453</v>
      </c>
      <c r="D49" s="47">
        <v>7765150</v>
      </c>
      <c r="E49" s="47">
        <v>9146007</v>
      </c>
      <c r="F49" s="47">
        <v>8470197</v>
      </c>
      <c r="G49" s="47">
        <v>9654960</v>
      </c>
      <c r="H49" s="47">
        <v>8816948</v>
      </c>
      <c r="I49" s="47">
        <v>7982352</v>
      </c>
      <c r="J49" s="19">
        <f t="shared" si="41"/>
        <v>5.5327154521453235E-3</v>
      </c>
      <c r="K49" t="str">
        <f t="shared" ref="K49:K55" si="52">+A49</f>
        <v>Long-Term Debt</v>
      </c>
      <c r="L49" s="45">
        <f>+B49/B$38</f>
        <v>0.14743087666622337</v>
      </c>
      <c r="M49" s="45">
        <f>+C49/C$38</f>
        <v>0.1396069301646479</v>
      </c>
      <c r="N49" s="45">
        <f>+D49/D$38</f>
        <v>0.12504074011094193</v>
      </c>
      <c r="O49" s="45">
        <f>+E49/E$38</f>
        <v>0.16597214051053472</v>
      </c>
      <c r="P49" s="45">
        <f>+F49/F$38</f>
        <v>0.14372012224444072</v>
      </c>
      <c r="Q49" s="45">
        <f t="shared" ref="Q49:R49" si="53">+G49/G$38</f>
        <v>0.15618567475232983</v>
      </c>
      <c r="R49" s="45">
        <f t="shared" si="53"/>
        <v>0.13411878086845533</v>
      </c>
      <c r="S49" s="45">
        <f>+I49/I$38</f>
        <v>0.1164678241110506</v>
      </c>
      <c r="T49" s="19">
        <f t="shared" si="45"/>
        <v>0.14210088336807961</v>
      </c>
    </row>
    <row r="50" spans="1:20" x14ac:dyDescent="0.2">
      <c r="A50" s="7" t="s">
        <v>9</v>
      </c>
      <c r="B50" s="47"/>
      <c r="C50" s="47"/>
      <c r="D50" s="47"/>
      <c r="E50" s="47"/>
      <c r="F50" s="47"/>
      <c r="G50" s="47"/>
      <c r="H50" s="47"/>
      <c r="I50" s="47"/>
      <c r="J50" s="19"/>
      <c r="K50" t="str">
        <f t="shared" si="52"/>
        <v>Deferred Income Taxes</v>
      </c>
      <c r="L50" s="47"/>
      <c r="M50" s="47"/>
      <c r="N50" s="47"/>
      <c r="O50" s="47"/>
      <c r="P50" s="47"/>
      <c r="Q50" s="47"/>
      <c r="R50" s="47"/>
      <c r="S50" s="47"/>
    </row>
    <row r="51" spans="1:20" x14ac:dyDescent="0.2">
      <c r="A51" s="7" t="s">
        <v>93</v>
      </c>
      <c r="B51" s="47">
        <v>6135014</v>
      </c>
      <c r="C51" s="47">
        <v>9185487</v>
      </c>
      <c r="D51" s="47">
        <v>10717753</v>
      </c>
      <c r="E51" s="47">
        <v>1272379</v>
      </c>
      <c r="F51" s="47">
        <v>3313659</v>
      </c>
      <c r="G51" s="47">
        <v>2669833</v>
      </c>
      <c r="H51" s="47">
        <v>3823863</v>
      </c>
      <c r="I51" s="47">
        <v>3372674</v>
      </c>
      <c r="J51" s="19">
        <f t="shared" si="41"/>
        <v>-0.20645031405178702</v>
      </c>
      <c r="K51" t="str">
        <f t="shared" si="52"/>
        <v>Customer Advances for Construction</v>
      </c>
      <c r="L51" s="45">
        <f t="shared" ref="L51:P55" si="54">+B51/B$38</f>
        <v>0.10896119704373584</v>
      </c>
      <c r="M51" s="45">
        <f t="shared" si="54"/>
        <v>0.15460424480520671</v>
      </c>
      <c r="N51" s="45">
        <f t="shared" si="54"/>
        <v>0.17258594714155787</v>
      </c>
      <c r="O51" s="45">
        <f t="shared" si="54"/>
        <v>2.3089799315772843E-2</v>
      </c>
      <c r="P51" s="45">
        <f t="shared" si="54"/>
        <v>5.6225312888990804E-2</v>
      </c>
      <c r="Q51" s="45">
        <f t="shared" ref="Q51:R55" si="55">+G51/G$38</f>
        <v>4.3189165836112937E-2</v>
      </c>
      <c r="R51" s="45">
        <f t="shared" si="55"/>
        <v>5.8166595035832609E-2</v>
      </c>
      <c r="S51" s="45">
        <f>+I51/I$38</f>
        <v>4.9209556558757805E-2</v>
      </c>
      <c r="T51" s="19">
        <f t="shared" si="45"/>
        <v>4.6600370343182693E-2</v>
      </c>
    </row>
    <row r="52" spans="1:20" x14ac:dyDescent="0.2">
      <c r="A52" s="7" t="s">
        <v>94</v>
      </c>
      <c r="B52" s="47">
        <v>17968453</v>
      </c>
      <c r="C52" s="47">
        <v>18062692</v>
      </c>
      <c r="D52" s="47">
        <v>18668208</v>
      </c>
      <c r="E52" s="47">
        <v>19226793</v>
      </c>
      <c r="F52" s="47">
        <v>20220814</v>
      </c>
      <c r="G52" s="47">
        <v>21524636</v>
      </c>
      <c r="H52" s="47">
        <v>23091709</v>
      </c>
      <c r="I52" s="47">
        <v>25412240</v>
      </c>
      <c r="J52" s="19">
        <f t="shared" si="41"/>
        <v>6.3623841009309498E-2</v>
      </c>
      <c r="K52" t="str">
        <f t="shared" si="52"/>
        <v>Deferred Revenue - Impact Fees</v>
      </c>
      <c r="L52" s="45">
        <f t="shared" si="54"/>
        <v>0.31912953220711582</v>
      </c>
      <c r="M52" s="45">
        <f t="shared" si="54"/>
        <v>0.30401968407434998</v>
      </c>
      <c r="N52" s="45">
        <f t="shared" si="54"/>
        <v>0.30061061857980942</v>
      </c>
      <c r="O52" s="45">
        <f t="shared" si="54"/>
        <v>0.34890766969268283</v>
      </c>
      <c r="P52" s="45">
        <f t="shared" si="54"/>
        <v>0.34310156658246538</v>
      </c>
      <c r="Q52" s="45">
        <f t="shared" si="55"/>
        <v>0.34819821081167501</v>
      </c>
      <c r="R52" s="45">
        <f t="shared" si="55"/>
        <v>0.35125894575414734</v>
      </c>
      <c r="S52" s="45">
        <f>+I52/I$38</f>
        <v>0.37078148127115973</v>
      </c>
      <c r="T52" s="19">
        <f t="shared" si="45"/>
        <v>0.35299523034233288</v>
      </c>
    </row>
    <row r="53" spans="1:20" x14ac:dyDescent="0.2">
      <c r="A53" s="7" t="s">
        <v>152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1131551</v>
      </c>
      <c r="I53" s="47">
        <v>729169</v>
      </c>
      <c r="J53" s="19">
        <f>RATE(1,,-H53,I53)</f>
        <v>-0.35560217789564935</v>
      </c>
      <c r="K53" t="str">
        <f t="shared" si="52"/>
        <v>Deferred Revenue - Grants</v>
      </c>
      <c r="L53" s="45">
        <f t="shared" si="54"/>
        <v>0</v>
      </c>
      <c r="M53" s="45">
        <f t="shared" si="54"/>
        <v>0</v>
      </c>
      <c r="N53" s="45">
        <f t="shared" si="54"/>
        <v>0</v>
      </c>
      <c r="O53" s="45">
        <f t="shared" si="54"/>
        <v>0</v>
      </c>
      <c r="P53" s="45">
        <f t="shared" si="54"/>
        <v>0</v>
      </c>
      <c r="Q53" s="45">
        <f t="shared" ref="Q53" si="56">+G53/G$38</f>
        <v>0</v>
      </c>
      <c r="R53" s="45">
        <f t="shared" ref="R53" si="57">+H53/H$38</f>
        <v>1.72125593357794E-2</v>
      </c>
      <c r="S53" s="45">
        <f>+I53/I$38</f>
        <v>1.0639060622637369E-2</v>
      </c>
      <c r="T53" s="19">
        <f t="shared" si="45"/>
        <v>5.9997089139032676E-3</v>
      </c>
    </row>
    <row r="54" spans="1:20" x14ac:dyDescent="0.2">
      <c r="A54" s="7" t="s">
        <v>52</v>
      </c>
      <c r="B54" s="47">
        <v>156909</v>
      </c>
      <c r="C54" s="51">
        <v>136878</v>
      </c>
      <c r="D54" s="48">
        <v>116847</v>
      </c>
      <c r="E54" s="48">
        <v>96816</v>
      </c>
      <c r="F54" s="51">
        <v>76785</v>
      </c>
      <c r="G54" s="51">
        <v>56754</v>
      </c>
      <c r="H54" s="51">
        <v>36723</v>
      </c>
      <c r="I54" s="51">
        <v>16692</v>
      </c>
      <c r="J54" s="23">
        <f>RATE(5,,-D54,I54)</f>
        <v>-0.32239256611309963</v>
      </c>
      <c r="K54" t="str">
        <f t="shared" si="52"/>
        <v>Other Deferred Credits</v>
      </c>
      <c r="L54" s="118">
        <f t="shared" si="54"/>
        <v>2.7867894787095104E-3</v>
      </c>
      <c r="M54" s="118">
        <f t="shared" si="54"/>
        <v>2.3038429884498324E-3</v>
      </c>
      <c r="N54" s="118">
        <f t="shared" si="54"/>
        <v>1.8815651159015899E-3</v>
      </c>
      <c r="O54" s="118">
        <f t="shared" si="54"/>
        <v>1.7569152041615459E-3</v>
      </c>
      <c r="P54" s="118">
        <f t="shared" si="54"/>
        <v>1.3028681135207813E-3</v>
      </c>
      <c r="Q54" s="118">
        <f t="shared" si="55"/>
        <v>9.1809409721984626E-4</v>
      </c>
      <c r="R54" s="118">
        <f t="shared" si="55"/>
        <v>5.5861098305584709E-4</v>
      </c>
      <c r="S54" s="118">
        <f>+I54/I$38</f>
        <v>2.435473805291544E-4</v>
      </c>
      <c r="T54" s="23">
        <f>SUM(E54:I54)/SUM(E$38:I$38)</f>
        <v>9.1498849826858973E-4</v>
      </c>
    </row>
    <row r="55" spans="1:20" x14ac:dyDescent="0.2">
      <c r="A55" s="25" t="s">
        <v>53</v>
      </c>
      <c r="B55" s="61">
        <f t="shared" ref="B55:I55" si="58">SUM(B49:B54)</f>
        <v>32561409</v>
      </c>
      <c r="C55" s="61">
        <f t="shared" si="58"/>
        <v>35679510</v>
      </c>
      <c r="D55" s="51">
        <f t="shared" si="58"/>
        <v>37267958</v>
      </c>
      <c r="E55" s="51">
        <f t="shared" si="58"/>
        <v>29741995</v>
      </c>
      <c r="F55" s="61">
        <f t="shared" si="58"/>
        <v>32081455</v>
      </c>
      <c r="G55" s="61">
        <f t="shared" ref="G55" si="59">SUM(G49:G54)</f>
        <v>33906183</v>
      </c>
      <c r="H55" s="61">
        <f t="shared" ref="H55" si="60">SUM(H49:H54)</f>
        <v>36900794</v>
      </c>
      <c r="I55" s="61">
        <f t="shared" si="58"/>
        <v>37513127</v>
      </c>
      <c r="J55" s="19">
        <f t="shared" si="41"/>
        <v>1.3122607496246698E-3</v>
      </c>
      <c r="K55" t="str">
        <f t="shared" si="52"/>
        <v>Total LTD &amp; Deferrals</v>
      </c>
      <c r="L55" s="45">
        <f t="shared" si="54"/>
        <v>0.57830839539578449</v>
      </c>
      <c r="M55" s="45">
        <f t="shared" si="54"/>
        <v>0.60053470203265447</v>
      </c>
      <c r="N55" s="45">
        <f t="shared" si="54"/>
        <v>0.60011887094821081</v>
      </c>
      <c r="O55" s="45">
        <f t="shared" si="54"/>
        <v>0.53972652472315197</v>
      </c>
      <c r="P55" s="45">
        <f t="shared" si="54"/>
        <v>0.54434986982941769</v>
      </c>
      <c r="Q55" s="45">
        <f t="shared" si="55"/>
        <v>0.54849114549733757</v>
      </c>
      <c r="R55" s="45">
        <f t="shared" si="55"/>
        <v>0.56131549197727049</v>
      </c>
      <c r="S55" s="45">
        <f>+I55/I$38</f>
        <v>0.54734146994413468</v>
      </c>
      <c r="T55" s="19">
        <f t="shared" si="45"/>
        <v>0.54861118146576704</v>
      </c>
    </row>
    <row r="56" spans="1:20" ht="7.5" customHeight="1" x14ac:dyDescent="0.2">
      <c r="A56" s="25"/>
      <c r="B56" s="47"/>
      <c r="C56" s="51"/>
      <c r="D56" s="51"/>
      <c r="E56" s="51"/>
      <c r="F56" s="51"/>
      <c r="G56" s="51"/>
      <c r="H56" s="51"/>
      <c r="I56" s="51"/>
      <c r="J56" s="19"/>
      <c r="L56" s="51"/>
      <c r="M56" s="51"/>
      <c r="N56" s="51"/>
      <c r="O56" s="51"/>
      <c r="P56" s="51"/>
      <c r="Q56" s="51"/>
      <c r="R56" s="51"/>
      <c r="S56" s="51"/>
    </row>
    <row r="57" spans="1:20" x14ac:dyDescent="0.2">
      <c r="A57" s="7" t="s">
        <v>35</v>
      </c>
      <c r="B57" s="47">
        <f t="shared" ref="B57:I57" si="61">B55+B47</f>
        <v>39447312</v>
      </c>
      <c r="C57" s="47">
        <f t="shared" si="61"/>
        <v>41182461</v>
      </c>
      <c r="D57" s="47">
        <f t="shared" si="61"/>
        <v>41968667</v>
      </c>
      <c r="E57" s="47">
        <f t="shared" si="61"/>
        <v>33938781</v>
      </c>
      <c r="F57" s="47">
        <f t="shared" si="61"/>
        <v>37084399</v>
      </c>
      <c r="G57" s="47">
        <f t="shared" ref="G57:H57" si="62">G55+G47</f>
        <v>39174483</v>
      </c>
      <c r="H57" s="47">
        <f t="shared" si="62"/>
        <v>42280100</v>
      </c>
      <c r="I57" s="47">
        <f t="shared" si="61"/>
        <v>45051264</v>
      </c>
      <c r="J57" s="19">
        <f t="shared" si="41"/>
        <v>1.4276494542489417E-2</v>
      </c>
      <c r="K57" t="str">
        <f>+A57</f>
        <v>Total Liabilities</v>
      </c>
      <c r="L57" s="45">
        <f>+B57/B$38</f>
        <v>0.70060579090409991</v>
      </c>
      <c r="M57" s="45">
        <f>+C57/C$38</f>
        <v>0.6931568551699957</v>
      </c>
      <c r="N57" s="45">
        <f>+D57/D$38</f>
        <v>0.67581349789117595</v>
      </c>
      <c r="O57" s="45">
        <f>+E57/E$38</f>
        <v>0.61588539445555479</v>
      </c>
      <c r="P57" s="45">
        <f>+F57/F$38</f>
        <v>0.62923853573200428</v>
      </c>
      <c r="Q57" s="45">
        <f t="shared" ref="Q57:R57" si="63">+G57/G$38</f>
        <v>0.63371500870316122</v>
      </c>
      <c r="R57" s="45">
        <f t="shared" si="63"/>
        <v>0.64314266875526294</v>
      </c>
      <c r="S57" s="45">
        <f>+I57/I$38</f>
        <v>0.65732790179291845</v>
      </c>
      <c r="T57" s="19">
        <f t="shared" si="45"/>
        <v>0.63691294985088531</v>
      </c>
    </row>
    <row r="58" spans="1:20" ht="7.5" customHeight="1" x14ac:dyDescent="0.2">
      <c r="A58" s="7"/>
      <c r="B58" s="47"/>
      <c r="C58" s="47"/>
      <c r="D58" s="47"/>
      <c r="E58" s="47"/>
      <c r="F58" s="47"/>
      <c r="G58" s="47"/>
      <c r="H58" s="47"/>
      <c r="I58" s="47"/>
      <c r="J58" s="19"/>
      <c r="L58" s="47"/>
      <c r="M58" s="47"/>
      <c r="N58" s="47"/>
      <c r="O58" s="47"/>
      <c r="P58" s="47"/>
      <c r="Q58" s="47"/>
      <c r="R58" s="47"/>
      <c r="S58" s="47"/>
    </row>
    <row r="59" spans="1:20" hidden="1" x14ac:dyDescent="0.2">
      <c r="A59" s="7" t="s">
        <v>84</v>
      </c>
      <c r="B59" s="47"/>
      <c r="C59" s="47"/>
      <c r="D59" s="47"/>
      <c r="E59" s="47"/>
      <c r="F59" s="47"/>
      <c r="G59" s="47"/>
      <c r="H59" s="47"/>
      <c r="I59" s="47"/>
      <c r="J59" s="19"/>
      <c r="K59" t="str">
        <f>+A59</f>
        <v>Other Deferred Credit</v>
      </c>
      <c r="L59" s="47"/>
      <c r="M59" s="47"/>
      <c r="N59" s="47"/>
      <c r="O59" s="47"/>
      <c r="P59" s="47"/>
      <c r="Q59" s="47"/>
      <c r="R59" s="47"/>
      <c r="S59" s="47"/>
    </row>
    <row r="60" spans="1:20" ht="7.5" hidden="1" customHeight="1" x14ac:dyDescent="0.2">
      <c r="A60" s="7"/>
      <c r="B60" s="47"/>
      <c r="C60" s="47"/>
      <c r="D60" s="47"/>
      <c r="E60" s="47"/>
      <c r="F60" s="47"/>
      <c r="G60" s="47"/>
      <c r="H60" s="47"/>
      <c r="I60" s="47"/>
      <c r="J60" s="19"/>
      <c r="L60" s="47"/>
      <c r="M60" s="47"/>
      <c r="N60" s="47"/>
      <c r="O60" s="47"/>
      <c r="P60" s="47"/>
      <c r="Q60" s="47"/>
      <c r="R60" s="47"/>
      <c r="S60" s="47"/>
    </row>
    <row r="61" spans="1:20" x14ac:dyDescent="0.2">
      <c r="A61" s="8" t="s">
        <v>55</v>
      </c>
      <c r="B61" s="47"/>
      <c r="C61" s="47"/>
      <c r="D61" s="47"/>
      <c r="E61" s="47"/>
      <c r="F61" s="47"/>
      <c r="G61" s="47"/>
      <c r="H61" s="47"/>
      <c r="I61" s="47"/>
      <c r="J61" s="19"/>
      <c r="K61" s="8" t="str">
        <f t="shared" ref="K61:K66" si="64">+A61</f>
        <v>Common Equity:</v>
      </c>
      <c r="L61" s="47"/>
      <c r="M61" s="47"/>
      <c r="N61" s="47"/>
      <c r="O61" s="47"/>
      <c r="P61" s="47"/>
      <c r="Q61" s="47"/>
      <c r="R61" s="47"/>
      <c r="S61" s="47"/>
    </row>
    <row r="62" spans="1:20" x14ac:dyDescent="0.2">
      <c r="A62" s="7" t="s">
        <v>92</v>
      </c>
      <c r="B62" s="47">
        <v>8595</v>
      </c>
      <c r="C62" s="47">
        <v>8595</v>
      </c>
      <c r="D62" s="47">
        <v>8595</v>
      </c>
      <c r="E62" s="47">
        <v>8595</v>
      </c>
      <c r="F62" s="47">
        <v>8595</v>
      </c>
      <c r="G62" s="47">
        <v>8595</v>
      </c>
      <c r="H62" s="47">
        <v>8595</v>
      </c>
      <c r="I62" s="47">
        <v>8595</v>
      </c>
      <c r="J62" s="19">
        <f t="shared" ref="J62:J63" si="65">RATE(5,,-D62,I62)</f>
        <v>2.1174698793272619E-16</v>
      </c>
      <c r="K62" t="str">
        <f t="shared" si="64"/>
        <v>Memberships</v>
      </c>
      <c r="L62" s="45">
        <f t="shared" ref="L62:P66" si="66">+B62/B$38</f>
        <v>1.5265189102924779E-4</v>
      </c>
      <c r="M62" s="45">
        <f t="shared" si="66"/>
        <v>1.4466554512577849E-4</v>
      </c>
      <c r="N62" s="45">
        <f t="shared" si="66"/>
        <v>1.3840365752799957E-4</v>
      </c>
      <c r="O62" s="45">
        <f t="shared" si="66"/>
        <v>1.5597304350281447E-4</v>
      </c>
      <c r="P62" s="45">
        <f t="shared" si="66"/>
        <v>1.4583774742086495E-4</v>
      </c>
      <c r="Q62" s="45">
        <f t="shared" ref="Q62:R66" si="67">+G62/G$38</f>
        <v>1.3903898871629451E-4</v>
      </c>
      <c r="R62" s="45">
        <f t="shared" si="67"/>
        <v>1.3074262449595637E-4</v>
      </c>
      <c r="S62" s="45">
        <f>+I62/I$38</f>
        <v>1.2540676585478565E-4</v>
      </c>
      <c r="T62" s="19">
        <f t="shared" ref="T62:T63" si="68">SUM(E62:I62)/SUM(E$38:I$38)</f>
        <v>1.3856866727664181E-4</v>
      </c>
    </row>
    <row r="63" spans="1:20" x14ac:dyDescent="0.2">
      <c r="A63" s="22" t="s">
        <v>70</v>
      </c>
      <c r="B63" s="47">
        <v>8062822</v>
      </c>
      <c r="C63" s="47">
        <v>8359631</v>
      </c>
      <c r="D63" s="47">
        <v>9107936</v>
      </c>
      <c r="E63" s="47">
        <v>10261482</v>
      </c>
      <c r="F63" s="47">
        <v>10954960</v>
      </c>
      <c r="G63" s="47">
        <v>11402983</v>
      </c>
      <c r="H63" s="47">
        <v>12152503</v>
      </c>
      <c r="I63" s="47">
        <v>13588931</v>
      </c>
      <c r="J63" s="19">
        <f t="shared" si="65"/>
        <v>8.3310779550539144E-2</v>
      </c>
      <c r="K63" t="str">
        <f t="shared" si="64"/>
        <v>Patrons Capital</v>
      </c>
      <c r="L63" s="45">
        <f t="shared" si="66"/>
        <v>0.14320011929403392</v>
      </c>
      <c r="M63" s="45">
        <f t="shared" si="66"/>
        <v>0.14070396459166454</v>
      </c>
      <c r="N63" s="45">
        <f t="shared" si="66"/>
        <v>0.14666336881104575</v>
      </c>
      <c r="O63" s="45">
        <f t="shared" si="66"/>
        <v>0.18621461063285025</v>
      </c>
      <c r="P63" s="45">
        <f t="shared" si="66"/>
        <v>0.18588094118507023</v>
      </c>
      <c r="Q63" s="45">
        <f t="shared" si="67"/>
        <v>0.18446296971135523</v>
      </c>
      <c r="R63" s="45">
        <f t="shared" si="67"/>
        <v>0.1848574911477584</v>
      </c>
      <c r="S63" s="45">
        <f>+I63/I$38</f>
        <v>0.19827154021336105</v>
      </c>
      <c r="T63" s="19">
        <f t="shared" si="68"/>
        <v>0.18817885870273429</v>
      </c>
    </row>
    <row r="64" spans="1:20" x14ac:dyDescent="0.2">
      <c r="A64" s="22" t="s">
        <v>151</v>
      </c>
      <c r="B64" s="47">
        <v>8785847</v>
      </c>
      <c r="C64" s="47">
        <v>9862216</v>
      </c>
      <c r="D64" s="47">
        <v>11015762</v>
      </c>
      <c r="E64" s="47">
        <v>10896818</v>
      </c>
      <c r="F64" s="47">
        <v>10887405</v>
      </c>
      <c r="G64" s="47">
        <v>11231132</v>
      </c>
      <c r="H64" s="47">
        <v>11298648</v>
      </c>
      <c r="I64" s="47">
        <v>9888182</v>
      </c>
      <c r="J64" s="23">
        <f>RATE(5,,-D64,I64)</f>
        <v>-2.1365816694454632E-2</v>
      </c>
      <c r="K64" t="str">
        <f t="shared" si="64"/>
        <v>Other Equity</v>
      </c>
      <c r="L64" s="118">
        <f t="shared" si="66"/>
        <v>0.15604143791083694</v>
      </c>
      <c r="M64" s="118">
        <f t="shared" si="66"/>
        <v>0.16599451469321402</v>
      </c>
      <c r="N64" s="118">
        <f t="shared" si="66"/>
        <v>0.17738472964025032</v>
      </c>
      <c r="O64" s="118">
        <f t="shared" si="66"/>
        <v>0.19774402186809215</v>
      </c>
      <c r="P64" s="118">
        <f t="shared" si="66"/>
        <v>0.18473468533550461</v>
      </c>
      <c r="Q64" s="118">
        <f t="shared" si="67"/>
        <v>0.18168298259676721</v>
      </c>
      <c r="R64" s="118">
        <f t="shared" si="67"/>
        <v>0.17186909747248266</v>
      </c>
      <c r="S64" s="118">
        <f>+I64/I$38</f>
        <v>0.14427515122786574</v>
      </c>
      <c r="T64" s="23">
        <f>SUM(E64:I64)/SUM(E$38:I$38)</f>
        <v>0.17476962277910379</v>
      </c>
    </row>
    <row r="65" spans="1:20" x14ac:dyDescent="0.2">
      <c r="A65" s="7" t="s">
        <v>77</v>
      </c>
      <c r="B65" s="61">
        <f t="shared" ref="B65:I65" si="69">SUM(B61:B64)</f>
        <v>16857264</v>
      </c>
      <c r="C65" s="61">
        <f t="shared" si="69"/>
        <v>18230442</v>
      </c>
      <c r="D65" s="61">
        <f t="shared" si="69"/>
        <v>20132293</v>
      </c>
      <c r="E65" s="61">
        <f t="shared" si="69"/>
        <v>21166895</v>
      </c>
      <c r="F65" s="61">
        <f t="shared" si="69"/>
        <v>21850960</v>
      </c>
      <c r="G65" s="61">
        <f t="shared" ref="G65" si="70">SUM(G61:G64)</f>
        <v>22642710</v>
      </c>
      <c r="H65" s="61">
        <f t="shared" ref="H65" si="71">SUM(H61:H64)</f>
        <v>23459746</v>
      </c>
      <c r="I65" s="61">
        <f t="shared" si="69"/>
        <v>23485708</v>
      </c>
      <c r="J65" s="23">
        <f>RATE(5,,-D65,I65)</f>
        <v>3.1293030802426854E-2</v>
      </c>
      <c r="K65" t="str">
        <f t="shared" si="64"/>
        <v>Total Patronage Equity</v>
      </c>
      <c r="L65" s="118">
        <f t="shared" si="66"/>
        <v>0.29939420909590014</v>
      </c>
      <c r="M65" s="118">
        <f t="shared" si="66"/>
        <v>0.30684314483000436</v>
      </c>
      <c r="N65" s="118">
        <f t="shared" si="66"/>
        <v>0.3241865021088241</v>
      </c>
      <c r="O65" s="118">
        <f t="shared" si="66"/>
        <v>0.38411460554444521</v>
      </c>
      <c r="P65" s="118">
        <f t="shared" si="66"/>
        <v>0.37076146426799572</v>
      </c>
      <c r="Q65" s="118">
        <f t="shared" si="67"/>
        <v>0.36628499129683872</v>
      </c>
      <c r="R65" s="118">
        <f t="shared" si="67"/>
        <v>0.35685733124473701</v>
      </c>
      <c r="S65" s="118">
        <f>+I65/I$38</f>
        <v>0.34267209820708155</v>
      </c>
      <c r="T65" s="23">
        <f>SUM(E65:I65)/SUM(E$38:I$38)</f>
        <v>0.36308705014911474</v>
      </c>
    </row>
    <row r="66" spans="1:20" ht="13.5" thickBot="1" x14ac:dyDescent="0.25">
      <c r="A66" s="7" t="s">
        <v>36</v>
      </c>
      <c r="B66" s="63">
        <f t="shared" ref="B66:I66" si="72">B65+B57+B59</f>
        <v>56304576</v>
      </c>
      <c r="C66" s="63">
        <f t="shared" si="72"/>
        <v>59412903</v>
      </c>
      <c r="D66" s="63">
        <f t="shared" si="72"/>
        <v>62100960</v>
      </c>
      <c r="E66" s="63">
        <f t="shared" si="72"/>
        <v>55105676</v>
      </c>
      <c r="F66" s="63">
        <f t="shared" si="72"/>
        <v>58935359</v>
      </c>
      <c r="G66" s="63">
        <f t="shared" ref="G66" si="73">G65+G57+G59</f>
        <v>61817193</v>
      </c>
      <c r="H66" s="63">
        <f t="shared" ref="H66" si="74">H65+H57+H59</f>
        <v>65739846</v>
      </c>
      <c r="I66" s="63">
        <f t="shared" si="72"/>
        <v>68536972</v>
      </c>
      <c r="J66" s="26">
        <f>RATE(5,,-D66,I66)</f>
        <v>1.9918148825037129E-2</v>
      </c>
      <c r="K66" t="str">
        <f t="shared" si="64"/>
        <v>Total Liabilities &amp; Equity</v>
      </c>
      <c r="L66" s="117">
        <f t="shared" si="66"/>
        <v>1</v>
      </c>
      <c r="M66" s="117">
        <f t="shared" si="66"/>
        <v>1</v>
      </c>
      <c r="N66" s="117">
        <f t="shared" si="66"/>
        <v>1</v>
      </c>
      <c r="O66" s="117">
        <f t="shared" si="66"/>
        <v>1</v>
      </c>
      <c r="P66" s="117">
        <f t="shared" si="66"/>
        <v>1</v>
      </c>
      <c r="Q66" s="117">
        <f t="shared" si="67"/>
        <v>1</v>
      </c>
      <c r="R66" s="117">
        <f t="shared" si="67"/>
        <v>1</v>
      </c>
      <c r="S66" s="117">
        <f>+I66/I$38</f>
        <v>1</v>
      </c>
      <c r="T66" s="29">
        <f>SUM(E66:I66)/SUM(E$38:I$38)</f>
        <v>1</v>
      </c>
    </row>
    <row r="67" spans="1:20" ht="13.5" thickTop="1" x14ac:dyDescent="0.2">
      <c r="A67" s="2"/>
      <c r="B67" s="65">
        <f t="shared" ref="B67:C67" si="75">+B66-B38</f>
        <v>0</v>
      </c>
      <c r="C67" s="65">
        <f t="shared" si="75"/>
        <v>0</v>
      </c>
      <c r="D67" s="65">
        <f>+D66-D38</f>
        <v>0</v>
      </c>
      <c r="E67" s="65">
        <f>+E66-E38</f>
        <v>0</v>
      </c>
      <c r="F67" s="65">
        <f>+F66-F38</f>
        <v>0</v>
      </c>
      <c r="G67" s="65">
        <f t="shared" ref="G67:H67" si="76">+G66-G38</f>
        <v>0</v>
      </c>
      <c r="H67" s="65">
        <f t="shared" si="76"/>
        <v>0</v>
      </c>
      <c r="I67" s="65">
        <f>+I66-I38</f>
        <v>0</v>
      </c>
      <c r="J67" s="3"/>
    </row>
    <row r="68" spans="1:20" x14ac:dyDescent="0.2">
      <c r="A68" s="7"/>
      <c r="B68" s="7"/>
      <c r="C68" s="7"/>
      <c r="D68" s="7"/>
      <c r="E68" s="7"/>
      <c r="F68" s="7"/>
      <c r="G68" s="7"/>
      <c r="H68" s="7"/>
      <c r="I68" s="7"/>
      <c r="J68" s="33" t="str">
        <f>+J1</f>
        <v>Exhibit 1</v>
      </c>
      <c r="K68" s="7"/>
      <c r="L68" s="7"/>
      <c r="M68" s="7"/>
      <c r="N68" s="7"/>
      <c r="O68" s="7"/>
      <c r="P68" s="7"/>
      <c r="Q68" s="7"/>
      <c r="R68" s="7"/>
      <c r="S68" s="7"/>
      <c r="T68" s="33" t="str">
        <f>+T1</f>
        <v>Exhibit 1</v>
      </c>
    </row>
    <row r="69" spans="1:20" x14ac:dyDescent="0.2">
      <c r="A69" s="7"/>
      <c r="B69" s="7"/>
      <c r="C69" s="7"/>
      <c r="D69" s="7"/>
      <c r="E69" s="7"/>
      <c r="F69" s="7"/>
      <c r="G69" s="7"/>
      <c r="H69" s="7"/>
      <c r="I69" s="7"/>
      <c r="J69" s="99" t="s">
        <v>160</v>
      </c>
      <c r="K69" s="7"/>
      <c r="L69" s="7"/>
      <c r="M69" s="7"/>
      <c r="N69" s="7"/>
      <c r="O69" s="7"/>
      <c r="P69" s="7"/>
      <c r="Q69" s="7"/>
      <c r="R69" s="7"/>
      <c r="S69" s="7"/>
      <c r="T69" s="99" t="s">
        <v>88</v>
      </c>
    </row>
    <row r="70" spans="1:20" ht="18" x14ac:dyDescent="0.25">
      <c r="A70" s="30" t="str">
        <f>A3</f>
        <v>Dixie Escalante Rural Electric Association, Inc</v>
      </c>
      <c r="B70" s="9"/>
      <c r="C70" s="9"/>
      <c r="D70" s="9"/>
      <c r="E70" s="9"/>
      <c r="F70" s="9"/>
      <c r="G70" s="9"/>
      <c r="H70" s="9"/>
      <c r="I70" s="9"/>
      <c r="J70" s="10"/>
      <c r="K70" s="30" t="str">
        <f>K3</f>
        <v>Dixie Escalante Rural Electric Association, Inc</v>
      </c>
      <c r="L70" s="9"/>
      <c r="M70" s="9"/>
      <c r="N70" s="9"/>
      <c r="O70" s="9"/>
      <c r="P70" s="9"/>
      <c r="Q70" s="9"/>
      <c r="R70" s="9"/>
      <c r="S70" s="9"/>
      <c r="T70" s="10"/>
    </row>
    <row r="71" spans="1:20" ht="15.75" x14ac:dyDescent="0.25">
      <c r="A71" s="31" t="s">
        <v>12</v>
      </c>
      <c r="B71" s="9"/>
      <c r="C71" s="9"/>
      <c r="D71" s="9"/>
      <c r="E71" s="9"/>
      <c r="F71" s="9"/>
      <c r="G71" s="9"/>
      <c r="H71" s="9"/>
      <c r="I71" s="9"/>
      <c r="J71" s="10"/>
      <c r="K71" s="31" t="str">
        <f>+K4</f>
        <v>Common Size</v>
      </c>
      <c r="L71" s="9"/>
      <c r="M71" s="9"/>
      <c r="N71" s="9"/>
      <c r="O71" s="9"/>
      <c r="P71" s="9"/>
      <c r="Q71" s="9"/>
      <c r="R71" s="9"/>
      <c r="S71" s="9"/>
      <c r="T71" s="10"/>
    </row>
    <row r="72" spans="1:20" ht="15.75" x14ac:dyDescent="0.25">
      <c r="A72" s="32" t="str">
        <f>A5</f>
        <v>Years Ended December 31</v>
      </c>
      <c r="B72" s="9"/>
      <c r="C72" s="9"/>
      <c r="D72" s="9"/>
      <c r="E72" s="9"/>
      <c r="F72" s="9"/>
      <c r="G72" s="9"/>
      <c r="H72" s="9"/>
      <c r="I72" s="9"/>
      <c r="J72" s="10"/>
      <c r="K72" s="32" t="s">
        <v>148</v>
      </c>
      <c r="L72" s="9"/>
      <c r="M72" s="9"/>
      <c r="N72" s="9"/>
      <c r="O72" s="9"/>
      <c r="P72" s="9"/>
      <c r="Q72" s="9"/>
      <c r="R72" s="9"/>
      <c r="S72" s="9"/>
      <c r="T72" s="10"/>
    </row>
    <row r="73" spans="1:20" ht="15.75" x14ac:dyDescent="0.25">
      <c r="A73" s="31"/>
      <c r="B73" s="9"/>
      <c r="C73" s="9"/>
      <c r="D73" s="9"/>
      <c r="E73" s="9"/>
      <c r="F73" s="9"/>
      <c r="G73" s="9"/>
      <c r="H73" s="9"/>
      <c r="I73" s="9"/>
      <c r="J73" s="10"/>
      <c r="K73" s="31"/>
      <c r="L73" s="9"/>
      <c r="M73" s="9"/>
      <c r="N73" s="9"/>
      <c r="O73" s="9"/>
      <c r="P73" s="9"/>
      <c r="Q73" s="9"/>
      <c r="R73" s="9"/>
      <c r="S73" s="9"/>
      <c r="T73" s="125"/>
    </row>
    <row r="74" spans="1:20" x14ac:dyDescent="0.2">
      <c r="A74" s="52"/>
      <c r="B74" s="52"/>
      <c r="C74" s="52"/>
      <c r="D74" s="54"/>
      <c r="E74" s="54"/>
      <c r="F74" s="54"/>
      <c r="G74" s="54"/>
      <c r="H74" s="54"/>
      <c r="I74" s="54"/>
      <c r="J74" s="75" t="str">
        <f>+J7</f>
        <v>2011 to 2015</v>
      </c>
      <c r="K74" s="52"/>
      <c r="L74" s="52"/>
      <c r="M74" s="52"/>
      <c r="N74" s="54"/>
      <c r="O74" s="54"/>
      <c r="P74" s="54"/>
      <c r="Q74" s="54"/>
      <c r="R74" s="54"/>
      <c r="S74" s="54"/>
      <c r="T74" s="49"/>
    </row>
    <row r="75" spans="1:20" x14ac:dyDescent="0.2">
      <c r="A75" s="52"/>
      <c r="B75" s="52"/>
      <c r="C75" s="54"/>
      <c r="D75" s="54"/>
      <c r="E75" s="54"/>
      <c r="F75" s="54"/>
      <c r="G75" s="54"/>
      <c r="H75" s="54"/>
      <c r="I75" s="54"/>
      <c r="J75" s="75" t="s">
        <v>3</v>
      </c>
      <c r="K75" s="52"/>
      <c r="L75" s="52"/>
      <c r="M75" s="54"/>
      <c r="N75" s="54"/>
      <c r="O75" s="54"/>
      <c r="P75" s="54"/>
      <c r="Q75" s="54"/>
      <c r="R75" s="54"/>
      <c r="S75" s="54"/>
      <c r="T75" s="49" t="str">
        <f>+T8</f>
        <v>2011 to 2015</v>
      </c>
    </row>
    <row r="76" spans="1:20" x14ac:dyDescent="0.2">
      <c r="A76" s="56" t="s">
        <v>0</v>
      </c>
      <c r="B76" s="53">
        <f>+B9</f>
        <v>2008</v>
      </c>
      <c r="C76" s="53">
        <f t="shared" ref="C76:F76" si="77">+C9</f>
        <v>2009</v>
      </c>
      <c r="D76" s="53">
        <f t="shared" si="77"/>
        <v>2010</v>
      </c>
      <c r="E76" s="53">
        <f t="shared" si="77"/>
        <v>2011</v>
      </c>
      <c r="F76" s="53">
        <f t="shared" si="77"/>
        <v>2012</v>
      </c>
      <c r="G76" s="53">
        <f t="shared" ref="G76:I76" si="78">+G9</f>
        <v>2013</v>
      </c>
      <c r="H76" s="53">
        <f t="shared" si="78"/>
        <v>2014</v>
      </c>
      <c r="I76" s="53">
        <f t="shared" si="78"/>
        <v>2015</v>
      </c>
      <c r="J76" s="122" t="s">
        <v>20</v>
      </c>
      <c r="K76" s="56" t="s">
        <v>0</v>
      </c>
      <c r="L76" s="53">
        <f>+L9</f>
        <v>2008</v>
      </c>
      <c r="M76" s="53">
        <f t="shared" ref="M76:P76" si="79">+M9</f>
        <v>2009</v>
      </c>
      <c r="N76" s="53">
        <f t="shared" si="79"/>
        <v>2010</v>
      </c>
      <c r="O76" s="53">
        <f t="shared" si="79"/>
        <v>2011</v>
      </c>
      <c r="P76" s="53">
        <f t="shared" si="79"/>
        <v>2012</v>
      </c>
      <c r="Q76" s="53">
        <f t="shared" ref="Q76:S76" si="80">+Q9</f>
        <v>2013</v>
      </c>
      <c r="R76" s="53">
        <f t="shared" si="80"/>
        <v>2014</v>
      </c>
      <c r="S76" s="53">
        <f t="shared" si="80"/>
        <v>2015</v>
      </c>
      <c r="T76" s="50" t="str">
        <f>+T9</f>
        <v>Wt Average</v>
      </c>
    </row>
    <row r="77" spans="1:20" x14ac:dyDescent="0.2">
      <c r="A77" s="7"/>
      <c r="B77" s="7"/>
      <c r="C77" s="24"/>
      <c r="D77" s="24"/>
      <c r="E77" s="25"/>
      <c r="F77" s="25"/>
      <c r="G77" s="25"/>
      <c r="H77" s="25"/>
      <c r="I77" s="25"/>
      <c r="J77" s="19"/>
      <c r="T77" s="6"/>
    </row>
    <row r="78" spans="1:20" x14ac:dyDescent="0.2">
      <c r="A78" s="7" t="s">
        <v>71</v>
      </c>
      <c r="B78" s="47">
        <v>20304909</v>
      </c>
      <c r="C78" s="47">
        <v>20501053</v>
      </c>
      <c r="D78" s="66">
        <v>20741304</v>
      </c>
      <c r="E78" s="66">
        <v>20814289</v>
      </c>
      <c r="F78" s="66">
        <v>22746854</v>
      </c>
      <c r="G78" s="66">
        <v>24380635</v>
      </c>
      <c r="H78" s="66">
        <v>24741027</v>
      </c>
      <c r="I78" s="66">
        <v>26048448</v>
      </c>
      <c r="J78" s="19">
        <f t="shared" ref="J78" si="81">RATE(5,,-D78,I78)</f>
        <v>4.6620312486537654E-2</v>
      </c>
      <c r="K78" t="str">
        <f t="shared" ref="K78:K103" si="82">+A78</f>
        <v>Operating Revenues</v>
      </c>
      <c r="L78" s="45">
        <f>+B78/B$80</f>
        <v>1</v>
      </c>
      <c r="M78" s="45">
        <f>+C78/C$80</f>
        <v>1</v>
      </c>
      <c r="N78" s="45">
        <f>+D78/D$80</f>
        <v>1</v>
      </c>
      <c r="O78" s="45">
        <f>+E78/E$80</f>
        <v>1</v>
      </c>
      <c r="P78" s="45">
        <f>+F78/F$80</f>
        <v>1</v>
      </c>
      <c r="Q78" s="45">
        <f t="shared" ref="Q78" si="83">+G78/G$80</f>
        <v>1</v>
      </c>
      <c r="R78" s="45">
        <f t="shared" ref="R78" si="84">+H78/H$80</f>
        <v>1</v>
      </c>
      <c r="S78" s="45">
        <f t="shared" ref="S78" si="85">+I78/I$80</f>
        <v>1</v>
      </c>
      <c r="T78" s="1">
        <f>+S78</f>
        <v>1</v>
      </c>
    </row>
    <row r="79" spans="1:20" x14ac:dyDescent="0.2">
      <c r="A79" s="7"/>
      <c r="B79" s="67"/>
      <c r="C79" s="67"/>
      <c r="D79" s="66"/>
      <c r="E79" s="66"/>
      <c r="F79" s="66"/>
      <c r="G79" s="66"/>
      <c r="H79" s="66"/>
      <c r="I79" s="66"/>
      <c r="J79" s="23"/>
      <c r="L79" s="119"/>
      <c r="M79" s="119"/>
      <c r="N79" s="119"/>
      <c r="O79" s="119"/>
      <c r="P79" s="119"/>
      <c r="Q79" s="119"/>
      <c r="R79" s="119"/>
      <c r="S79" s="119"/>
      <c r="T79" s="119"/>
    </row>
    <row r="80" spans="1:20" x14ac:dyDescent="0.2">
      <c r="A80" s="7" t="s">
        <v>45</v>
      </c>
      <c r="B80" s="68">
        <f t="shared" ref="B80:I80" si="86">SUM(B77:B79)</f>
        <v>20304909</v>
      </c>
      <c r="C80" s="68">
        <f t="shared" si="86"/>
        <v>20501053</v>
      </c>
      <c r="D80" s="69">
        <f t="shared" si="86"/>
        <v>20741304</v>
      </c>
      <c r="E80" s="69">
        <f t="shared" si="86"/>
        <v>20814289</v>
      </c>
      <c r="F80" s="69">
        <f t="shared" si="86"/>
        <v>22746854</v>
      </c>
      <c r="G80" s="69">
        <f t="shared" ref="G80" si="87">SUM(G77:G79)</f>
        <v>24380635</v>
      </c>
      <c r="H80" s="69">
        <f t="shared" ref="H80" si="88">SUM(H77:H79)</f>
        <v>24741027</v>
      </c>
      <c r="I80" s="69">
        <f t="shared" si="86"/>
        <v>26048448</v>
      </c>
      <c r="J80" s="19">
        <f t="shared" ref="J80" si="89">RATE(5,,-D80,I80)</f>
        <v>4.6620312486537654E-2</v>
      </c>
      <c r="K80" t="str">
        <f t="shared" si="82"/>
        <v>Total Revenues</v>
      </c>
      <c r="L80" s="45">
        <f>+B80/B$80</f>
        <v>1</v>
      </c>
      <c r="M80" s="45">
        <f>+C80/C$80</f>
        <v>1</v>
      </c>
      <c r="N80" s="45">
        <f>+D80/D$80</f>
        <v>1</v>
      </c>
      <c r="O80" s="45">
        <f>+E80/E$80</f>
        <v>1</v>
      </c>
      <c r="P80" s="45">
        <f>+F80/F$80</f>
        <v>1</v>
      </c>
      <c r="Q80" s="45">
        <f t="shared" ref="Q80" si="90">+G80/G$80</f>
        <v>1</v>
      </c>
      <c r="R80" s="45">
        <f t="shared" ref="R80" si="91">+H80/H$80</f>
        <v>1</v>
      </c>
      <c r="S80" s="45">
        <f t="shared" ref="S80" si="92">+I80/I$80</f>
        <v>1</v>
      </c>
      <c r="T80" s="1">
        <f>+S80</f>
        <v>1</v>
      </c>
    </row>
    <row r="81" spans="1:20" x14ac:dyDescent="0.2">
      <c r="A81" s="7"/>
      <c r="B81" s="67"/>
      <c r="C81" s="67"/>
      <c r="D81" s="66"/>
      <c r="E81" s="66"/>
      <c r="F81" s="66"/>
      <c r="G81" s="66"/>
      <c r="H81" s="66"/>
      <c r="I81" s="66"/>
      <c r="J81" s="19"/>
    </row>
    <row r="82" spans="1:20" x14ac:dyDescent="0.2">
      <c r="A82" s="7" t="s">
        <v>18</v>
      </c>
      <c r="B82" s="67"/>
      <c r="C82" s="67"/>
      <c r="D82" s="66"/>
      <c r="E82" s="66"/>
      <c r="F82" s="66"/>
      <c r="G82" s="66"/>
      <c r="H82" s="66"/>
      <c r="I82" s="66"/>
      <c r="J82" s="19"/>
      <c r="K82" t="str">
        <f t="shared" si="82"/>
        <v>Operating Expenses:</v>
      </c>
    </row>
    <row r="83" spans="1:20" x14ac:dyDescent="0.2">
      <c r="A83" s="37" t="s">
        <v>75</v>
      </c>
      <c r="B83" s="67">
        <v>12418095</v>
      </c>
      <c r="C83" s="67">
        <v>12623963</v>
      </c>
      <c r="D83" s="66">
        <v>12123785</v>
      </c>
      <c r="E83" s="66">
        <v>12947928</v>
      </c>
      <c r="F83" s="66">
        <v>14162532</v>
      </c>
      <c r="G83" s="66">
        <v>14473238</v>
      </c>
      <c r="H83" s="66">
        <v>14234256</v>
      </c>
      <c r="I83" s="66">
        <v>17086768</v>
      </c>
      <c r="J83" s="19">
        <f t="shared" ref="J83:J89" si="93">RATE(5,,-D83,I83)</f>
        <v>7.1036667352673652E-2</v>
      </c>
      <c r="K83" t="str">
        <f t="shared" si="82"/>
        <v>Cost of Purchased Power</v>
      </c>
      <c r="L83" s="45">
        <f t="shared" ref="L83:L92" si="94">+B83/B$80</f>
        <v>0.61158092360817773</v>
      </c>
      <c r="M83" s="45">
        <f t="shared" ref="M83:M92" si="95">+C83/C$80</f>
        <v>0.61577144354487545</v>
      </c>
      <c r="N83" s="45">
        <f t="shared" ref="N83:N92" si="96">+D83/D$80</f>
        <v>0.58452375993331951</v>
      </c>
      <c r="O83" s="131">
        <f t="shared" ref="O83:O92" si="97">+E83/E$80</f>
        <v>0.62206919486896717</v>
      </c>
      <c r="P83" s="131">
        <f t="shared" ref="P83:P92" si="98">+F83/F$80</f>
        <v>0.62261497787781994</v>
      </c>
      <c r="Q83" s="131">
        <f t="shared" ref="Q83:Q92" si="99">+G83/G$80</f>
        <v>0.59363663005495959</v>
      </c>
      <c r="R83" s="131">
        <f t="shared" ref="R83:R92" si="100">+H83/H$80</f>
        <v>0.57533003783553527</v>
      </c>
      <c r="S83" s="131">
        <f t="shared" ref="S83:S92" si="101">+I83/I$80</f>
        <v>0.65596107683651628</v>
      </c>
      <c r="T83" s="19">
        <f t="shared" ref="T83:T89" si="102">SUM(E83:I83)/SUM(E$38:I$38)</f>
        <v>0.23507411671236922</v>
      </c>
    </row>
    <row r="84" spans="1:20" x14ac:dyDescent="0.2">
      <c r="A84" s="37" t="s">
        <v>78</v>
      </c>
      <c r="B84" s="67">
        <v>1742717</v>
      </c>
      <c r="C84" s="70">
        <v>1737684</v>
      </c>
      <c r="D84" s="71">
        <v>1832671</v>
      </c>
      <c r="E84" s="71">
        <v>1815518</v>
      </c>
      <c r="F84" s="71">
        <v>1939571</v>
      </c>
      <c r="G84" s="71">
        <v>2127824</v>
      </c>
      <c r="H84" s="71">
        <v>2235431</v>
      </c>
      <c r="I84" s="71">
        <v>2205660</v>
      </c>
      <c r="J84" s="19">
        <f t="shared" si="93"/>
        <v>3.7745387941265959E-2</v>
      </c>
      <c r="K84" t="str">
        <f t="shared" si="82"/>
        <v>Administrative and General Expenses</v>
      </c>
      <c r="L84" s="45">
        <f t="shared" si="94"/>
        <v>8.5827373075151439E-2</v>
      </c>
      <c r="M84" s="45">
        <f t="shared" si="95"/>
        <v>8.4760719364024864E-2</v>
      </c>
      <c r="N84" s="45">
        <f t="shared" si="96"/>
        <v>8.8358523649236326E-2</v>
      </c>
      <c r="O84" s="131">
        <f t="shared" si="97"/>
        <v>8.7224598447729826E-2</v>
      </c>
      <c r="P84" s="131">
        <f t="shared" si="98"/>
        <v>8.5267659431058032E-2</v>
      </c>
      <c r="Q84" s="131">
        <f t="shared" si="99"/>
        <v>8.7275167361309497E-2</v>
      </c>
      <c r="R84" s="131">
        <f t="shared" si="100"/>
        <v>9.0353201586983428E-2</v>
      </c>
      <c r="S84" s="131">
        <f t="shared" si="101"/>
        <v>8.4675294282407915E-2</v>
      </c>
      <c r="T84" s="19">
        <f t="shared" si="102"/>
        <v>3.3288737061982994E-2</v>
      </c>
    </row>
    <row r="85" spans="1:20" x14ac:dyDescent="0.2">
      <c r="A85" s="38" t="s">
        <v>61</v>
      </c>
      <c r="B85" s="67">
        <v>2058008</v>
      </c>
      <c r="C85" s="66">
        <f>1200314+813211</f>
        <v>2013525</v>
      </c>
      <c r="D85" s="66">
        <f>1204210+809135</f>
        <v>2013345</v>
      </c>
      <c r="E85" s="66">
        <f>1190622+899605</f>
        <v>2090227</v>
      </c>
      <c r="F85" s="66">
        <f>1472295+974476</f>
        <v>2446771</v>
      </c>
      <c r="G85" s="66">
        <f t="shared" ref="G85" si="103">1674830+947935</f>
        <v>2622765</v>
      </c>
      <c r="H85" s="66">
        <f>1858315+1090777</f>
        <v>2949092</v>
      </c>
      <c r="I85" s="66">
        <f>1767310+1170636</f>
        <v>2937946</v>
      </c>
      <c r="J85" s="19">
        <f t="shared" si="93"/>
        <v>7.851234793223083E-2</v>
      </c>
      <c r="K85" t="str">
        <f t="shared" si="82"/>
        <v xml:space="preserve">   Operating and Maintenance</v>
      </c>
      <c r="L85" s="45">
        <f t="shared" si="94"/>
        <v>0.10135519445076065</v>
      </c>
      <c r="M85" s="45">
        <f t="shared" si="95"/>
        <v>9.8215686774723227E-2</v>
      </c>
      <c r="N85" s="45">
        <f t="shared" si="96"/>
        <v>9.7069354945089281E-2</v>
      </c>
      <c r="O85" s="131">
        <f t="shared" si="97"/>
        <v>0.10042269519751551</v>
      </c>
      <c r="P85" s="131">
        <f t="shared" si="98"/>
        <v>0.10756524836357591</v>
      </c>
      <c r="Q85" s="131">
        <f t="shared" si="99"/>
        <v>0.10757574607880394</v>
      </c>
      <c r="R85" s="131">
        <f t="shared" si="100"/>
        <v>0.11919844717844574</v>
      </c>
      <c r="S85" s="131">
        <f t="shared" si="101"/>
        <v>0.11278775610738882</v>
      </c>
      <c r="T85" s="19">
        <f t="shared" si="102"/>
        <v>4.2068128604852997E-2</v>
      </c>
    </row>
    <row r="86" spans="1:20" x14ac:dyDescent="0.2">
      <c r="A86" s="39" t="s">
        <v>41</v>
      </c>
      <c r="B86" s="67">
        <v>1400270</v>
      </c>
      <c r="C86" s="66">
        <v>1429185</v>
      </c>
      <c r="D86" s="66">
        <v>1487459</v>
      </c>
      <c r="E86" s="66">
        <v>1631468</v>
      </c>
      <c r="F86" s="66">
        <v>1723579</v>
      </c>
      <c r="G86" s="66">
        <v>1823909</v>
      </c>
      <c r="H86" s="66">
        <v>1969612</v>
      </c>
      <c r="I86" s="66">
        <v>2148749</v>
      </c>
      <c r="J86" s="19">
        <f t="shared" si="93"/>
        <v>7.6336670349685956E-2</v>
      </c>
      <c r="K86" t="str">
        <f t="shared" si="82"/>
        <v xml:space="preserve">   Depreciation and amortization</v>
      </c>
      <c r="L86" s="45">
        <f t="shared" si="94"/>
        <v>6.8962141125577067E-2</v>
      </c>
      <c r="M86" s="45">
        <f t="shared" si="95"/>
        <v>6.9712760607955115E-2</v>
      </c>
      <c r="N86" s="45">
        <f t="shared" si="96"/>
        <v>7.1714825644520711E-2</v>
      </c>
      <c r="O86" s="131">
        <f t="shared" si="97"/>
        <v>7.8382115286282417E-2</v>
      </c>
      <c r="P86" s="131">
        <f t="shared" si="98"/>
        <v>7.5772192497476798E-2</v>
      </c>
      <c r="Q86" s="131">
        <f t="shared" si="99"/>
        <v>7.4809741419778447E-2</v>
      </c>
      <c r="R86" s="131">
        <f t="shared" si="100"/>
        <v>7.9609144761856487E-2</v>
      </c>
      <c r="S86" s="131">
        <f t="shared" si="101"/>
        <v>8.2490480814826281E-2</v>
      </c>
      <c r="T86" s="19">
        <f t="shared" si="102"/>
        <v>2.9978285653018397E-2</v>
      </c>
    </row>
    <row r="87" spans="1:20" x14ac:dyDescent="0.2">
      <c r="A87" s="39" t="s">
        <v>96</v>
      </c>
      <c r="B87" s="67">
        <v>552357</v>
      </c>
      <c r="C87" s="66">
        <v>629580</v>
      </c>
      <c r="D87" s="66">
        <v>637136</v>
      </c>
      <c r="E87" s="66">
        <v>696315</v>
      </c>
      <c r="F87" s="66">
        <v>792149</v>
      </c>
      <c r="G87" s="66">
        <v>820821</v>
      </c>
      <c r="H87" s="66">
        <v>812946</v>
      </c>
      <c r="I87" s="66">
        <v>950152</v>
      </c>
      <c r="J87" s="19">
        <f t="shared" si="93"/>
        <v>8.3208822125296969E-2</v>
      </c>
      <c r="K87" t="str">
        <f t="shared" si="82"/>
        <v xml:space="preserve">   Consumer Accounts</v>
      </c>
      <c r="L87" s="45">
        <f t="shared" si="94"/>
        <v>2.7203126101180752E-2</v>
      </c>
      <c r="M87" s="45">
        <f t="shared" si="95"/>
        <v>3.0709642085213866E-2</v>
      </c>
      <c r="N87" s="45">
        <f t="shared" si="96"/>
        <v>3.0718222923688886E-2</v>
      </c>
      <c r="O87" s="131">
        <f t="shared" si="97"/>
        <v>3.3453700964755508E-2</v>
      </c>
      <c r="P87" s="131">
        <f t="shared" si="98"/>
        <v>3.4824552001784512E-2</v>
      </c>
      <c r="Q87" s="131">
        <f t="shared" si="99"/>
        <v>3.3666924589946079E-2</v>
      </c>
      <c r="R87" s="131">
        <f t="shared" si="100"/>
        <v>3.2858215627023082E-2</v>
      </c>
      <c r="S87" s="131">
        <f t="shared" si="101"/>
        <v>3.647633824479677E-2</v>
      </c>
      <c r="T87" s="19">
        <f t="shared" si="102"/>
        <v>1.3130999068064047E-2</v>
      </c>
    </row>
    <row r="88" spans="1:20" x14ac:dyDescent="0.2">
      <c r="A88" s="39" t="s">
        <v>95</v>
      </c>
      <c r="B88" s="67">
        <v>454343</v>
      </c>
      <c r="C88" s="66">
        <v>339253</v>
      </c>
      <c r="D88" s="66">
        <v>605263</v>
      </c>
      <c r="E88" s="66">
        <v>657029</v>
      </c>
      <c r="F88" s="66">
        <v>815146</v>
      </c>
      <c r="G88" s="66">
        <v>1224345</v>
      </c>
      <c r="H88" s="66">
        <v>1506552</v>
      </c>
      <c r="I88" s="66">
        <v>1296944</v>
      </c>
      <c r="J88" s="19">
        <f t="shared" si="93"/>
        <v>0.1646499694935265</v>
      </c>
      <c r="K88" t="str">
        <f t="shared" si="82"/>
        <v xml:space="preserve">   Customer Service</v>
      </c>
      <c r="L88" s="45">
        <f t="shared" si="94"/>
        <v>2.237601754334383E-2</v>
      </c>
      <c r="M88" s="45">
        <f t="shared" si="95"/>
        <v>1.6548076823175863E-2</v>
      </c>
      <c r="N88" s="45">
        <f t="shared" si="96"/>
        <v>2.9181530727286964E-2</v>
      </c>
      <c r="O88" s="131">
        <f t="shared" si="97"/>
        <v>3.1566247590777662E-2</v>
      </c>
      <c r="P88" s="131">
        <f t="shared" si="98"/>
        <v>3.5835548951076927E-2</v>
      </c>
      <c r="Q88" s="131">
        <f t="shared" si="99"/>
        <v>5.021792910644042E-2</v>
      </c>
      <c r="R88" s="131">
        <f t="shared" si="100"/>
        <v>6.089286430995771E-2</v>
      </c>
      <c r="S88" s="131">
        <f t="shared" si="101"/>
        <v>4.9789684206905535E-2</v>
      </c>
      <c r="T88" s="19">
        <f t="shared" si="102"/>
        <v>1.773426148040038E-2</v>
      </c>
    </row>
    <row r="89" spans="1:20" x14ac:dyDescent="0.2">
      <c r="A89" s="38" t="s">
        <v>72</v>
      </c>
      <c r="B89" s="67">
        <f>93553+88995+21403</f>
        <v>203951</v>
      </c>
      <c r="C89" s="67">
        <f>56562+90764+2121</f>
        <v>149447</v>
      </c>
      <c r="D89" s="66">
        <f>115640+4861+4435</f>
        <v>124936</v>
      </c>
      <c r="E89" s="66">
        <f>98302+108258+13905</f>
        <v>220465</v>
      </c>
      <c r="F89" s="66">
        <f>72791+78082-2498</f>
        <v>148375</v>
      </c>
      <c r="G89" s="66">
        <f t="shared" ref="G89" si="104">200098+68774+7196</f>
        <v>276068</v>
      </c>
      <c r="H89" s="66">
        <f>32717+84540+17632</f>
        <v>134889</v>
      </c>
      <c r="I89" s="66">
        <f>143761+45891+21279</f>
        <v>210931</v>
      </c>
      <c r="J89" s="19">
        <f t="shared" si="93"/>
        <v>0.11042840567000804</v>
      </c>
      <c r="K89" t="str">
        <f t="shared" si="82"/>
        <v xml:space="preserve">   Other</v>
      </c>
      <c r="L89" s="45">
        <f t="shared" si="94"/>
        <v>1.004441832268246E-2</v>
      </c>
      <c r="M89" s="45">
        <f t="shared" si="95"/>
        <v>7.2897231181247128E-3</v>
      </c>
      <c r="N89" s="45">
        <f t="shared" si="96"/>
        <v>6.0235364179609925E-3</v>
      </c>
      <c r="O89" s="45">
        <f t="shared" si="97"/>
        <v>1.0592002446011968E-2</v>
      </c>
      <c r="P89" s="45">
        <f t="shared" si="98"/>
        <v>6.5228800431039831E-3</v>
      </c>
      <c r="Q89" s="45">
        <f t="shared" si="99"/>
        <v>1.1323248963778015E-2</v>
      </c>
      <c r="R89" s="45">
        <f t="shared" si="100"/>
        <v>5.4520372173717767E-3</v>
      </c>
      <c r="S89" s="45">
        <f t="shared" si="101"/>
        <v>8.0976417481763222E-3</v>
      </c>
      <c r="T89" s="19">
        <f t="shared" si="102"/>
        <v>3.1945051447039622E-3</v>
      </c>
    </row>
    <row r="90" spans="1:20" x14ac:dyDescent="0.2">
      <c r="A90" s="39" t="s">
        <v>42</v>
      </c>
      <c r="B90" s="67">
        <v>232973</v>
      </c>
      <c r="C90" s="67">
        <v>305843</v>
      </c>
      <c r="D90" s="66">
        <v>348698</v>
      </c>
      <c r="E90" s="66">
        <v>406164</v>
      </c>
      <c r="F90" s="66">
        <v>465749</v>
      </c>
      <c r="G90" s="66">
        <v>464910</v>
      </c>
      <c r="H90" s="66">
        <v>462430</v>
      </c>
      <c r="I90" s="66">
        <v>535143</v>
      </c>
      <c r="J90" s="23">
        <f>RATE(5,,-D90,I90)</f>
        <v>8.9441910675002012E-2</v>
      </c>
      <c r="K90" t="str">
        <f t="shared" si="82"/>
        <v xml:space="preserve">   Taxes, other than income taxes</v>
      </c>
      <c r="L90" s="118">
        <f t="shared" si="94"/>
        <v>1.1473727855662884E-2</v>
      </c>
      <c r="M90" s="118">
        <f t="shared" si="95"/>
        <v>1.4918404435128284E-2</v>
      </c>
      <c r="N90" s="118">
        <f t="shared" si="96"/>
        <v>1.6811768440402781E-2</v>
      </c>
      <c r="O90" s="118">
        <f t="shared" si="97"/>
        <v>1.9513710028721133E-2</v>
      </c>
      <c r="P90" s="118">
        <f t="shared" si="98"/>
        <v>2.0475314960037991E-2</v>
      </c>
      <c r="Q90" s="118">
        <f t="shared" si="99"/>
        <v>1.9068822448635978E-2</v>
      </c>
      <c r="R90" s="118">
        <f t="shared" si="100"/>
        <v>1.8690816674667547E-2</v>
      </c>
      <c r="S90" s="118">
        <f t="shared" si="101"/>
        <v>2.0544141439827815E-2</v>
      </c>
      <c r="T90" s="23">
        <f>SUM(E90:I90)/SUM(E$38:I$38)</f>
        <v>7.5270306600563937E-3</v>
      </c>
    </row>
    <row r="91" spans="1:20" x14ac:dyDescent="0.2">
      <c r="A91" s="7" t="s">
        <v>38</v>
      </c>
      <c r="B91" s="68">
        <f t="shared" ref="B91:I91" si="105">SUM(B82:B90)</f>
        <v>19062714</v>
      </c>
      <c r="C91" s="68">
        <f t="shared" si="105"/>
        <v>19228480</v>
      </c>
      <c r="D91" s="69">
        <f t="shared" si="105"/>
        <v>19173293</v>
      </c>
      <c r="E91" s="69">
        <f t="shared" si="105"/>
        <v>20465114</v>
      </c>
      <c r="F91" s="69">
        <f t="shared" si="105"/>
        <v>22493872</v>
      </c>
      <c r="G91" s="69">
        <f t="shared" ref="G91" si="106">SUM(G82:G90)</f>
        <v>23833880</v>
      </c>
      <c r="H91" s="69">
        <f t="shared" ref="H91" si="107">SUM(H82:H90)</f>
        <v>24305208</v>
      </c>
      <c r="I91" s="69">
        <f t="shared" si="105"/>
        <v>27372293</v>
      </c>
      <c r="J91" s="23">
        <f>RATE(5,,-D91,I91)</f>
        <v>7.3798750364772833E-2</v>
      </c>
      <c r="K91" t="str">
        <f t="shared" si="82"/>
        <v>Total Operating Expenses</v>
      </c>
      <c r="L91" s="124">
        <f t="shared" si="94"/>
        <v>0.93882292208253681</v>
      </c>
      <c r="M91" s="124">
        <f t="shared" si="95"/>
        <v>0.93792645675322139</v>
      </c>
      <c r="N91" s="124">
        <f t="shared" si="96"/>
        <v>0.92440152268150544</v>
      </c>
      <c r="O91" s="124">
        <f t="shared" si="97"/>
        <v>0.9832242648307612</v>
      </c>
      <c r="P91" s="124">
        <f t="shared" si="98"/>
        <v>0.98887837412593405</v>
      </c>
      <c r="Q91" s="124">
        <f t="shared" si="99"/>
        <v>0.97757421002365197</v>
      </c>
      <c r="R91" s="124">
        <f t="shared" si="100"/>
        <v>0.98238476519184104</v>
      </c>
      <c r="S91" s="124">
        <f t="shared" si="101"/>
        <v>1.0508224136808457</v>
      </c>
      <c r="T91" s="23">
        <f>SUM(E91:I91)/SUM(E$38:I$38)</f>
        <v>0.38199606438544842</v>
      </c>
    </row>
    <row r="92" spans="1:20" x14ac:dyDescent="0.2">
      <c r="A92" s="7" t="s">
        <v>11</v>
      </c>
      <c r="B92" s="68">
        <f t="shared" ref="B92:I92" si="108">B80-B91</f>
        <v>1242195</v>
      </c>
      <c r="C92" s="68">
        <f t="shared" si="108"/>
        <v>1272573</v>
      </c>
      <c r="D92" s="69">
        <f t="shared" si="108"/>
        <v>1568011</v>
      </c>
      <c r="E92" s="69">
        <f t="shared" si="108"/>
        <v>349175</v>
      </c>
      <c r="F92" s="69">
        <f t="shared" si="108"/>
        <v>252982</v>
      </c>
      <c r="G92" s="69">
        <f t="shared" ref="G92" si="109">G80-G91</f>
        <v>546755</v>
      </c>
      <c r="H92" s="69">
        <f t="shared" ref="H92" si="110">H80-H91</f>
        <v>435819</v>
      </c>
      <c r="I92" s="69">
        <f t="shared" si="108"/>
        <v>-1323845</v>
      </c>
      <c r="J92" s="19"/>
      <c r="K92" t="str">
        <f t="shared" si="82"/>
        <v>Earnings From Operations</v>
      </c>
      <c r="L92" s="45">
        <f t="shared" si="94"/>
        <v>6.1177077917463213E-2</v>
      </c>
      <c r="M92" s="45">
        <f t="shared" si="95"/>
        <v>6.2073543246778592E-2</v>
      </c>
      <c r="N92" s="45">
        <f t="shared" si="96"/>
        <v>7.5598477318494534E-2</v>
      </c>
      <c r="O92" s="45">
        <f t="shared" si="97"/>
        <v>1.6775735169238786E-2</v>
      </c>
      <c r="P92" s="45">
        <f t="shared" si="98"/>
        <v>1.1121625874065925E-2</v>
      </c>
      <c r="Q92" s="45">
        <f t="shared" si="99"/>
        <v>2.2425789976348032E-2</v>
      </c>
      <c r="R92" s="45">
        <f t="shared" si="100"/>
        <v>1.7615234808158933E-2</v>
      </c>
      <c r="S92" s="45">
        <f t="shared" si="101"/>
        <v>-5.0822413680845786E-2</v>
      </c>
      <c r="T92" s="19">
        <f t="shared" ref="T92" si="111">SUM(E92:I92)/SUM(E$38:I$38)</f>
        <v>8.4120128751911515E-4</v>
      </c>
    </row>
    <row r="93" spans="1:20" x14ac:dyDescent="0.2">
      <c r="A93" s="7"/>
      <c r="B93" s="67"/>
      <c r="C93" s="67"/>
      <c r="D93" s="66"/>
      <c r="E93" s="66"/>
      <c r="F93" s="66"/>
      <c r="G93" s="66"/>
      <c r="H93" s="66"/>
      <c r="I93" s="66"/>
      <c r="J93" s="19"/>
    </row>
    <row r="94" spans="1:20" x14ac:dyDescent="0.2">
      <c r="A94" s="39" t="s">
        <v>43</v>
      </c>
      <c r="B94" s="67">
        <v>659503</v>
      </c>
      <c r="C94" s="67">
        <v>573012</v>
      </c>
      <c r="D94" s="66">
        <v>540558</v>
      </c>
      <c r="E94" s="66">
        <v>519091</v>
      </c>
      <c r="F94" s="66">
        <v>499834</v>
      </c>
      <c r="G94" s="66">
        <v>512377</v>
      </c>
      <c r="H94" s="66">
        <v>506678</v>
      </c>
      <c r="I94" s="66">
        <v>465564</v>
      </c>
      <c r="J94" s="19">
        <f t="shared" ref="J94:J95" si="112">RATE(5,,-D94,I94)</f>
        <v>-2.9428759514665687E-2</v>
      </c>
      <c r="K94" t="str">
        <f t="shared" si="82"/>
        <v xml:space="preserve">   Interest expense (net)</v>
      </c>
      <c r="L94" s="45">
        <f t="shared" ref="L94:L103" si="113">+B94/B$80</f>
        <v>3.2479978117606931E-2</v>
      </c>
      <c r="M94" s="45">
        <f t="shared" ref="M94:M98" si="114">+C94/C$80</f>
        <v>2.7950369183475599E-2</v>
      </c>
      <c r="N94" s="45">
        <f t="shared" ref="N94:N98" si="115">+D94/D$80</f>
        <v>2.606191009012741E-2</v>
      </c>
      <c r="O94" s="45">
        <f t="shared" ref="O94:O98" si="116">+E94/E$80</f>
        <v>2.4939165589562055E-2</v>
      </c>
      <c r="P94" s="45">
        <f>+F94/F$80</f>
        <v>2.1973763932366209E-2</v>
      </c>
      <c r="Q94" s="45">
        <f t="shared" ref="Q94:Q98" si="117">+G94/G$80</f>
        <v>2.1015736464616283E-2</v>
      </c>
      <c r="R94" s="45">
        <f t="shared" ref="R94:R98" si="118">+H94/H$80</f>
        <v>2.0479263047568721E-2</v>
      </c>
      <c r="S94" s="45">
        <f t="shared" ref="S94:S98" si="119">+I94/I$80</f>
        <v>1.7873003412717716E-2</v>
      </c>
      <c r="T94" s="19">
        <f t="shared" ref="T94:T96" si="120">SUM(E94:I94)/SUM(E$38:I$38)</f>
        <v>8.0724317754143782E-3</v>
      </c>
    </row>
    <row r="95" spans="1:20" x14ac:dyDescent="0.2">
      <c r="A95" s="38" t="s">
        <v>64</v>
      </c>
      <c r="B95" s="67">
        <v>-203806</v>
      </c>
      <c r="C95" s="67">
        <v>-217495</v>
      </c>
      <c r="D95" s="66">
        <v>-233435</v>
      </c>
      <c r="E95" s="66">
        <v>-226127</v>
      </c>
      <c r="F95" s="66">
        <v>-180000</v>
      </c>
      <c r="G95" s="66">
        <v>-138433</v>
      </c>
      <c r="H95" s="66">
        <v>-108354</v>
      </c>
      <c r="I95" s="66">
        <v>-88247</v>
      </c>
      <c r="J95" s="19">
        <f t="shared" si="112"/>
        <v>-0.17679728220932595</v>
      </c>
      <c r="K95" t="str">
        <f t="shared" si="82"/>
        <v xml:space="preserve">   Interest and Other Income</v>
      </c>
      <c r="L95" s="45">
        <f t="shared" si="113"/>
        <v>-1.0037277192426718E-2</v>
      </c>
      <c r="M95" s="45">
        <f t="shared" si="114"/>
        <v>-1.0608967256462388E-2</v>
      </c>
      <c r="N95" s="45">
        <f t="shared" si="115"/>
        <v>-1.1254596143039029E-2</v>
      </c>
      <c r="O95" s="45">
        <f t="shared" si="116"/>
        <v>-1.0864027111375267E-2</v>
      </c>
      <c r="P95" s="45">
        <f>+F95/F$80</f>
        <v>-7.9131821921396249E-3</v>
      </c>
      <c r="Q95" s="45">
        <f t="shared" si="117"/>
        <v>-5.6779899293024974E-3</v>
      </c>
      <c r="R95" s="45">
        <f t="shared" si="118"/>
        <v>-4.3795271716085193E-3</v>
      </c>
      <c r="S95" s="45">
        <f t="shared" si="119"/>
        <v>-3.3878026053605959E-3</v>
      </c>
      <c r="T95" s="19">
        <f t="shared" si="120"/>
        <v>-2.3898008611384089E-3</v>
      </c>
    </row>
    <row r="96" spans="1:20" x14ac:dyDescent="0.2">
      <c r="A96" s="39" t="s">
        <v>46</v>
      </c>
      <c r="B96" s="67"/>
      <c r="C96" s="67"/>
      <c r="D96" s="66"/>
      <c r="E96" s="66"/>
      <c r="F96" s="66"/>
      <c r="G96" s="66"/>
      <c r="H96" s="66"/>
      <c r="I96" s="66"/>
      <c r="J96" s="19"/>
      <c r="K96" t="str">
        <f t="shared" si="82"/>
        <v xml:space="preserve">   Loss (Gain) on Sale of Assets</v>
      </c>
      <c r="L96" s="45">
        <f t="shared" si="113"/>
        <v>0</v>
      </c>
      <c r="M96" s="45">
        <f t="shared" si="114"/>
        <v>0</v>
      </c>
      <c r="N96" s="45">
        <f t="shared" si="115"/>
        <v>0</v>
      </c>
      <c r="O96" s="45">
        <f t="shared" si="116"/>
        <v>0</v>
      </c>
      <c r="P96" s="45">
        <f>+F96/F$80</f>
        <v>0</v>
      </c>
      <c r="Q96" s="45">
        <f t="shared" si="117"/>
        <v>0</v>
      </c>
      <c r="R96" s="45">
        <f t="shared" si="118"/>
        <v>0</v>
      </c>
      <c r="S96" s="45">
        <f t="shared" si="119"/>
        <v>0</v>
      </c>
      <c r="T96" s="19">
        <f t="shared" si="120"/>
        <v>0</v>
      </c>
    </row>
    <row r="97" spans="1:20" x14ac:dyDescent="0.2">
      <c r="A97" s="40" t="s">
        <v>76</v>
      </c>
      <c r="B97" s="67">
        <v>-729760</v>
      </c>
      <c r="C97" s="67">
        <v>-784932</v>
      </c>
      <c r="D97" s="66">
        <v>-832365</v>
      </c>
      <c r="E97" s="66">
        <v>-909819</v>
      </c>
      <c r="F97" s="66">
        <v>-1011176</v>
      </c>
      <c r="G97" s="66">
        <v>-1039260</v>
      </c>
      <c r="H97" s="66">
        <v>-1087608</v>
      </c>
      <c r="I97" s="66">
        <v>-1386989</v>
      </c>
      <c r="J97" s="23">
        <f>RATE(5,,-D97,I97)</f>
        <v>0.10752067240451824</v>
      </c>
      <c r="K97" t="str">
        <f t="shared" si="82"/>
        <v xml:space="preserve">   Other (Income) Expense</v>
      </c>
      <c r="L97" s="118">
        <f t="shared" si="113"/>
        <v>-3.5940077347798013E-2</v>
      </c>
      <c r="M97" s="118">
        <f t="shared" si="114"/>
        <v>-3.8287399188714842E-2</v>
      </c>
      <c r="N97" s="118">
        <f t="shared" si="115"/>
        <v>-4.0130794090863335E-2</v>
      </c>
      <c r="O97" s="118">
        <f t="shared" si="116"/>
        <v>-4.3711269695544251E-2</v>
      </c>
      <c r="P97" s="118">
        <f>+F97/F$80</f>
        <v>-4.4453443979549874E-2</v>
      </c>
      <c r="Q97" s="118">
        <f t="shared" si="117"/>
        <v>-4.2626453330686424E-2</v>
      </c>
      <c r="R97" s="118">
        <f t="shared" si="118"/>
        <v>-4.3959694963349741E-2</v>
      </c>
      <c r="S97" s="118">
        <f t="shared" si="119"/>
        <v>-5.3246512037876496E-2</v>
      </c>
      <c r="T97" s="23">
        <f>SUM(E97:I97)/SUM(E$38:I$38)</f>
        <v>-1.7524146561623998E-2</v>
      </c>
    </row>
    <row r="98" spans="1:20" x14ac:dyDescent="0.2">
      <c r="A98" s="7" t="s">
        <v>44</v>
      </c>
      <c r="B98" s="68">
        <f t="shared" ref="B98:I98" si="121">SUM(B94:B97)</f>
        <v>-274063</v>
      </c>
      <c r="C98" s="68">
        <f t="shared" si="121"/>
        <v>-429415</v>
      </c>
      <c r="D98" s="69">
        <f t="shared" si="121"/>
        <v>-525242</v>
      </c>
      <c r="E98" s="69">
        <f t="shared" si="121"/>
        <v>-616855</v>
      </c>
      <c r="F98" s="69">
        <f t="shared" si="121"/>
        <v>-691342</v>
      </c>
      <c r="G98" s="69">
        <f t="shared" ref="G98" si="122">SUM(G94:G97)</f>
        <v>-665316</v>
      </c>
      <c r="H98" s="69">
        <f t="shared" ref="H98" si="123">SUM(H94:H97)</f>
        <v>-689284</v>
      </c>
      <c r="I98" s="69">
        <f t="shared" si="121"/>
        <v>-1009672</v>
      </c>
      <c r="J98" s="19">
        <f t="shared" ref="J98" si="124">RATE(5,,-D98,I98)</f>
        <v>0.13963078731198642</v>
      </c>
      <c r="K98" t="str">
        <f t="shared" si="82"/>
        <v>Total Other Income/Expense</v>
      </c>
      <c r="L98" s="45">
        <f t="shared" si="113"/>
        <v>-1.3497376422617802E-2</v>
      </c>
      <c r="M98" s="45">
        <f t="shared" si="114"/>
        <v>-2.094599726170163E-2</v>
      </c>
      <c r="N98" s="45">
        <f t="shared" si="115"/>
        <v>-2.5323480143774953E-2</v>
      </c>
      <c r="O98" s="45">
        <f t="shared" si="116"/>
        <v>-2.9636131217357461E-2</v>
      </c>
      <c r="P98" s="45">
        <f>+F98/F$80</f>
        <v>-3.0392862239323293E-2</v>
      </c>
      <c r="Q98" s="45">
        <f t="shared" si="117"/>
        <v>-2.7288706795372639E-2</v>
      </c>
      <c r="R98" s="45">
        <f t="shared" si="118"/>
        <v>-2.785995908738954E-2</v>
      </c>
      <c r="S98" s="45">
        <f t="shared" si="119"/>
        <v>-3.8761311230519374E-2</v>
      </c>
      <c r="T98" s="19">
        <f t="shared" ref="T98" si="125">SUM(E98:I98)/SUM(E$38:I$38)</f>
        <v>-1.1841515647348026E-2</v>
      </c>
    </row>
    <row r="99" spans="1:20" ht="7.5" customHeight="1" x14ac:dyDescent="0.2">
      <c r="A99" s="7"/>
      <c r="B99" s="67"/>
      <c r="C99" s="67"/>
      <c r="D99" s="66"/>
      <c r="E99" s="66"/>
      <c r="F99" s="66"/>
      <c r="G99" s="66"/>
      <c r="H99" s="66"/>
      <c r="I99" s="66"/>
      <c r="J99" s="19"/>
      <c r="L99" s="45"/>
      <c r="M99" s="45"/>
      <c r="N99" s="45"/>
      <c r="O99" s="45"/>
      <c r="P99" s="45"/>
      <c r="Q99" s="45"/>
      <c r="R99" s="45"/>
      <c r="S99" s="45"/>
      <c r="T99" s="45"/>
    </row>
    <row r="100" spans="1:20" x14ac:dyDescent="0.2">
      <c r="A100" s="7" t="s">
        <v>10</v>
      </c>
      <c r="B100" s="67">
        <f t="shared" ref="B100:I100" si="126">B92-B98</f>
        <v>1516258</v>
      </c>
      <c r="C100" s="67">
        <f t="shared" si="126"/>
        <v>1701988</v>
      </c>
      <c r="D100" s="66">
        <f t="shared" si="126"/>
        <v>2093253</v>
      </c>
      <c r="E100" s="72">
        <f t="shared" si="126"/>
        <v>966030</v>
      </c>
      <c r="F100" s="72">
        <f t="shared" si="126"/>
        <v>944324</v>
      </c>
      <c r="G100" s="72">
        <f t="shared" ref="G100:H100" si="127">G92-G98</f>
        <v>1212071</v>
      </c>
      <c r="H100" s="72">
        <f t="shared" si="127"/>
        <v>1125103</v>
      </c>
      <c r="I100" s="72">
        <f t="shared" si="126"/>
        <v>-314173</v>
      </c>
      <c r="J100" s="23"/>
      <c r="K100" t="str">
        <f t="shared" si="82"/>
        <v>Earnings Before Taxes</v>
      </c>
      <c r="L100" s="118">
        <f t="shared" si="113"/>
        <v>7.4674454340081006E-2</v>
      </c>
      <c r="M100" s="118">
        <f t="shared" ref="M100:M101" si="128">+C100/C$80</f>
        <v>8.3019540508480219E-2</v>
      </c>
      <c r="N100" s="118">
        <f t="shared" ref="N100:N101" si="129">+D100/D$80</f>
        <v>0.10092195746226949</v>
      </c>
      <c r="O100" s="118">
        <f t="shared" ref="O100:O101" si="130">+E100/E$80</f>
        <v>4.6411866386596244E-2</v>
      </c>
      <c r="P100" s="118">
        <f>+F100/F$80</f>
        <v>4.1514488113389217E-2</v>
      </c>
      <c r="Q100" s="118">
        <f t="shared" ref="Q100:Q101" si="131">+G100/G$80</f>
        <v>4.971449677172067E-2</v>
      </c>
      <c r="R100" s="118">
        <f t="shared" ref="R100:R101" si="132">+H100/H$80</f>
        <v>4.5475193895548473E-2</v>
      </c>
      <c r="S100" s="118">
        <f t="shared" ref="S100:S101" si="133">+I100/I$80</f>
        <v>-1.2061102450326407E-2</v>
      </c>
      <c r="T100" s="23">
        <f>SUM(E100:I100)/SUM(E$38:I$38)</f>
        <v>1.2682716934867142E-2</v>
      </c>
    </row>
    <row r="101" spans="1:20" x14ac:dyDescent="0.2">
      <c r="A101" s="7" t="s">
        <v>97</v>
      </c>
      <c r="B101" s="68">
        <f>16360+67835</f>
        <v>84195</v>
      </c>
      <c r="C101" s="68">
        <f>16360+57582</f>
        <v>73942</v>
      </c>
      <c r="D101" s="69">
        <f>24540+63206</f>
        <v>87746</v>
      </c>
      <c r="E101" s="66">
        <f>16360+52212</f>
        <v>68572</v>
      </c>
      <c r="F101" s="66">
        <f>32720+48145</f>
        <v>80865</v>
      </c>
      <c r="G101" s="66">
        <f t="shared" ref="G101" si="134">16360+140485</f>
        <v>156845</v>
      </c>
      <c r="H101" s="66">
        <v>311329</v>
      </c>
      <c r="I101" s="66">
        <f>16360+323775</f>
        <v>340135</v>
      </c>
      <c r="J101" s="19">
        <f t="shared" ref="J101" si="135">RATE(5,,-D101,I101)</f>
        <v>0.31124788016244992</v>
      </c>
      <c r="K101" t="str">
        <f t="shared" si="82"/>
        <v>Patronage Capital Credits</v>
      </c>
      <c r="L101" s="45">
        <f t="shared" si="113"/>
        <v>4.1465342198775679E-3</v>
      </c>
      <c r="M101" s="45">
        <f t="shared" si="128"/>
        <v>3.6067415659088342E-3</v>
      </c>
      <c r="N101" s="45">
        <f t="shared" si="129"/>
        <v>4.2304958261062085E-3</v>
      </c>
      <c r="O101" s="45">
        <f t="shared" si="130"/>
        <v>3.2944675650463007E-3</v>
      </c>
      <c r="P101" s="45">
        <f>+F101/F$80</f>
        <v>3.5549970998187265E-3</v>
      </c>
      <c r="Q101" s="45">
        <f t="shared" si="131"/>
        <v>6.4331794475410509E-3</v>
      </c>
      <c r="R101" s="45">
        <f t="shared" si="132"/>
        <v>1.2583511589878625E-2</v>
      </c>
      <c r="S101" s="45">
        <f t="shared" si="133"/>
        <v>1.305778371133666E-2</v>
      </c>
      <c r="T101" s="19">
        <f t="shared" ref="T101" si="136">SUM(E101:I101)/SUM(E$38:I$38)</f>
        <v>3.0881579245964999E-3</v>
      </c>
    </row>
    <row r="102" spans="1:20" x14ac:dyDescent="0.2">
      <c r="A102" s="7" t="s">
        <v>13</v>
      </c>
      <c r="B102" s="67"/>
      <c r="C102" s="67"/>
      <c r="D102" s="66"/>
      <c r="E102" s="66"/>
      <c r="F102" s="66"/>
      <c r="G102" s="66"/>
      <c r="H102" s="66"/>
      <c r="I102" s="66"/>
      <c r="J102" s="23"/>
      <c r="K102" t="str">
        <f t="shared" si="82"/>
        <v>Income Taxes</v>
      </c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 ht="13.5" thickBot="1" x14ac:dyDescent="0.25">
      <c r="A103" s="7" t="s">
        <v>80</v>
      </c>
      <c r="B103" s="69">
        <f t="shared" ref="B103:I103" si="137">B100+B101-B102</f>
        <v>1600453</v>
      </c>
      <c r="C103" s="69">
        <f t="shared" si="137"/>
        <v>1775930</v>
      </c>
      <c r="D103" s="73">
        <f t="shared" si="137"/>
        <v>2180999</v>
      </c>
      <c r="E103" s="73">
        <f t="shared" si="137"/>
        <v>1034602</v>
      </c>
      <c r="F103" s="73">
        <f t="shared" si="137"/>
        <v>1025189</v>
      </c>
      <c r="G103" s="73">
        <f t="shared" ref="G103" si="138">G100+G101-G102</f>
        <v>1368916</v>
      </c>
      <c r="H103" s="73">
        <f t="shared" ref="H103" si="139">H100+H101-H102</f>
        <v>1436432</v>
      </c>
      <c r="I103" s="73">
        <f t="shared" si="137"/>
        <v>25962</v>
      </c>
      <c r="J103" s="26">
        <f>RATE(5,,-D103,I103)</f>
        <v>-0.58777290310909625</v>
      </c>
      <c r="K103" t="str">
        <f t="shared" si="82"/>
        <v>Net Margin</v>
      </c>
      <c r="L103" s="117">
        <f t="shared" si="113"/>
        <v>7.8820988559958574E-2</v>
      </c>
      <c r="M103" s="117">
        <f t="shared" ref="M103" si="140">+C103/C$80</f>
        <v>8.6626282074389063E-2</v>
      </c>
      <c r="N103" s="117">
        <f t="shared" ref="N103" si="141">+D103/D$80</f>
        <v>0.10515245328837569</v>
      </c>
      <c r="O103" s="117">
        <f t="shared" ref="O103" si="142">+E103/E$80</f>
        <v>4.9706333951642548E-2</v>
      </c>
      <c r="P103" s="117">
        <f>+F103/F$80</f>
        <v>4.5069485213207944E-2</v>
      </c>
      <c r="Q103" s="117">
        <f t="shared" ref="Q103" si="143">+G103/G$80</f>
        <v>5.614767621926172E-2</v>
      </c>
      <c r="R103" s="117">
        <f t="shared" ref="R103" si="144">+H103/H$80</f>
        <v>5.8058705485427103E-2</v>
      </c>
      <c r="S103" s="117">
        <f t="shared" ref="S103" si="145">+I103/I$80</f>
        <v>9.9668126101025282E-4</v>
      </c>
      <c r="T103" s="117">
        <f>SUM(E103:I103)/SUM(E$80:I$80)</f>
        <v>4.1194722336502253E-2</v>
      </c>
    </row>
    <row r="104" spans="1:20" ht="13.5" thickTop="1" x14ac:dyDescent="0.2">
      <c r="A104" s="7"/>
      <c r="B104" s="74"/>
      <c r="C104" s="74"/>
      <c r="D104" s="66"/>
      <c r="E104" s="66"/>
      <c r="F104" s="66"/>
      <c r="G104" s="66"/>
      <c r="H104" s="66"/>
      <c r="I104" s="66"/>
      <c r="J104" s="19"/>
      <c r="L104" s="45"/>
      <c r="M104" s="45"/>
      <c r="N104" s="45"/>
      <c r="O104" s="45"/>
      <c r="P104" s="45"/>
      <c r="Q104" s="45"/>
      <c r="R104" s="45"/>
      <c r="S104" s="45"/>
    </row>
    <row r="105" spans="1:20" x14ac:dyDescent="0.2">
      <c r="A105" s="21" t="s">
        <v>79</v>
      </c>
      <c r="B105" s="20">
        <f>-'Cash Flow'!B48</f>
        <v>374677</v>
      </c>
      <c r="C105" s="20">
        <f>-'Cash Flow'!C48</f>
        <v>402752</v>
      </c>
      <c r="D105" s="20">
        <f>-'Cash Flow'!D48</f>
        <v>279148</v>
      </c>
      <c r="E105" s="20">
        <f>-'Cash Flow'!E48</f>
        <v>0</v>
      </c>
      <c r="F105" s="20">
        <f>-'Cash Flow'!F48</f>
        <v>341124</v>
      </c>
      <c r="G105" s="20">
        <f>-'Cash Flow'!G48</f>
        <v>577166</v>
      </c>
      <c r="H105" s="20">
        <f>-'Cash Flow'!H48</f>
        <v>619396</v>
      </c>
      <c r="I105" s="20">
        <f>-'Cash Flow'!I48</f>
        <v>0</v>
      </c>
      <c r="J105" s="19"/>
      <c r="K105" t="str">
        <f t="shared" ref="K105" si="146">+A105</f>
        <v>Return of Patrons Capital</v>
      </c>
      <c r="L105" s="45">
        <f>+B105/B103</f>
        <v>0.23410684349993408</v>
      </c>
      <c r="M105" s="45">
        <f>+C105/C103</f>
        <v>0.22678371332203409</v>
      </c>
      <c r="N105" s="45">
        <f>+D105/D103</f>
        <v>0.12799088857904106</v>
      </c>
      <c r="O105" s="45">
        <f>+E105/E103</f>
        <v>0</v>
      </c>
      <c r="P105" s="45">
        <f>+F105/F103</f>
        <v>0.33274254795944941</v>
      </c>
      <c r="Q105" s="45">
        <f t="shared" ref="Q105" si="147">+G105/G103</f>
        <v>0.42162265617466665</v>
      </c>
      <c r="R105" s="45">
        <f t="shared" ref="R105" si="148">+H105/H103</f>
        <v>0.43120454013834281</v>
      </c>
      <c r="S105" s="45">
        <f t="shared" ref="S105" si="149">+I105/I103</f>
        <v>0</v>
      </c>
      <c r="T105" s="19">
        <f t="shared" ref="T105" si="150">SUM(E105:I105)/SUM(E$38:I$38)</f>
        <v>4.95811750343107E-3</v>
      </c>
    </row>
    <row r="106" spans="1:20" x14ac:dyDescent="0.2">
      <c r="A106" s="7"/>
      <c r="B106" s="132"/>
      <c r="C106" s="132"/>
      <c r="D106" s="132"/>
      <c r="E106" s="132"/>
      <c r="F106" s="132"/>
      <c r="G106" s="132"/>
      <c r="H106" s="132"/>
      <c r="I106" s="132"/>
      <c r="J106" s="19"/>
    </row>
    <row r="107" spans="1:2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33" t="str">
        <f>+J68</f>
        <v>Exhibit 1</v>
      </c>
    </row>
    <row r="108" spans="1:2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99" t="s">
        <v>161</v>
      </c>
    </row>
    <row r="109" spans="1:20" ht="18" x14ac:dyDescent="0.25">
      <c r="A109" s="30" t="str">
        <f>A3</f>
        <v>Dixie Escalante Rural Electric Association, Inc</v>
      </c>
      <c r="B109" s="9"/>
      <c r="C109" s="9"/>
      <c r="D109" s="9"/>
      <c r="E109" s="9"/>
      <c r="F109" s="9"/>
      <c r="G109" s="9"/>
      <c r="H109" s="9"/>
      <c r="I109" s="9"/>
      <c r="J109" s="9"/>
    </row>
    <row r="110" spans="1:20" ht="15.75" x14ac:dyDescent="0.25">
      <c r="A110" s="31" t="s">
        <v>145</v>
      </c>
      <c r="B110" s="9"/>
      <c r="C110" s="9"/>
      <c r="D110" s="9"/>
      <c r="E110" s="9"/>
      <c r="F110" s="9"/>
      <c r="G110" s="9"/>
      <c r="H110" s="9"/>
      <c r="I110" s="9"/>
      <c r="J110" s="10"/>
    </row>
    <row r="111" spans="1:20" ht="15.75" x14ac:dyDescent="0.25">
      <c r="A111" s="32" t="str">
        <f>A5</f>
        <v>Years Ended December 31</v>
      </c>
      <c r="B111" s="9"/>
      <c r="C111" s="9"/>
      <c r="D111" s="9"/>
      <c r="E111" s="9"/>
      <c r="F111" s="9"/>
      <c r="G111" s="9"/>
      <c r="H111" s="9"/>
      <c r="I111" s="9"/>
      <c r="J111" s="10"/>
    </row>
    <row r="112" spans="1:20" ht="15.75" x14ac:dyDescent="0.25">
      <c r="A112" s="31"/>
      <c r="B112" s="9"/>
      <c r="C112" s="9"/>
      <c r="D112" s="9"/>
      <c r="E112" s="9"/>
      <c r="F112" s="9"/>
      <c r="G112" s="9"/>
      <c r="H112" s="9"/>
      <c r="I112" s="9"/>
      <c r="J112" s="10"/>
    </row>
    <row r="113" spans="1:1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19"/>
    </row>
    <row r="114" spans="1:10" x14ac:dyDescent="0.2">
      <c r="A114" s="52"/>
      <c r="B114" s="52"/>
      <c r="C114" s="54"/>
      <c r="D114" s="54"/>
      <c r="E114" s="54"/>
      <c r="F114" s="58"/>
      <c r="G114" s="58"/>
      <c r="H114" s="58"/>
      <c r="I114" s="58"/>
      <c r="J114" s="55" t="s">
        <v>158</v>
      </c>
    </row>
    <row r="115" spans="1:10" x14ac:dyDescent="0.2">
      <c r="A115" s="56" t="s">
        <v>23</v>
      </c>
      <c r="B115" s="53">
        <f>+B76</f>
        <v>2008</v>
      </c>
      <c r="C115" s="53">
        <f t="shared" ref="C115:F115" si="151">+C76</f>
        <v>2009</v>
      </c>
      <c r="D115" s="53">
        <f t="shared" si="151"/>
        <v>2010</v>
      </c>
      <c r="E115" s="53">
        <f t="shared" si="151"/>
        <v>2011</v>
      </c>
      <c r="F115" s="53">
        <f t="shared" si="151"/>
        <v>2012</v>
      </c>
      <c r="G115" s="53">
        <f t="shared" ref="G115:I115" si="152">+G76</f>
        <v>2013</v>
      </c>
      <c r="H115" s="53">
        <f t="shared" si="152"/>
        <v>2014</v>
      </c>
      <c r="I115" s="53">
        <f t="shared" si="152"/>
        <v>2015</v>
      </c>
      <c r="J115" s="57" t="s">
        <v>2</v>
      </c>
    </row>
    <row r="116" spans="1:10" ht="7.5" customHeight="1" x14ac:dyDescent="0.2">
      <c r="A116" s="25"/>
      <c r="B116" s="42"/>
      <c r="C116" s="42"/>
      <c r="D116" s="42"/>
      <c r="E116" s="34"/>
      <c r="F116" s="34"/>
      <c r="G116" s="34"/>
      <c r="H116" s="34"/>
      <c r="I116" s="34"/>
      <c r="J116" s="35"/>
    </row>
    <row r="117" spans="1:10" x14ac:dyDescent="0.2">
      <c r="A117" s="18" t="s">
        <v>30</v>
      </c>
      <c r="B117" s="43"/>
      <c r="C117" s="43"/>
      <c r="D117" s="43"/>
      <c r="E117" s="43"/>
      <c r="F117" s="43"/>
      <c r="G117" s="43"/>
      <c r="H117" s="43"/>
      <c r="I117" s="43"/>
      <c r="J117" s="19"/>
    </row>
    <row r="118" spans="1:10" x14ac:dyDescent="0.2">
      <c r="A118" s="7" t="s">
        <v>5</v>
      </c>
      <c r="B118" s="44">
        <f t="shared" ref="B118:I118" si="153">B18/B47</f>
        <v>1.5958546032379486</v>
      </c>
      <c r="C118" s="44">
        <f t="shared" si="153"/>
        <v>1.7464138786625576</v>
      </c>
      <c r="D118" s="44">
        <f t="shared" si="153"/>
        <v>1.6773971756175505</v>
      </c>
      <c r="E118" s="44">
        <f t="shared" si="153"/>
        <v>1.9741290120582751</v>
      </c>
      <c r="F118" s="44">
        <f t="shared" si="153"/>
        <v>2.1708276166992873</v>
      </c>
      <c r="G118" s="44">
        <f t="shared" ref="G118:H118" si="154">G18/G47</f>
        <v>2.4915686274509805</v>
      </c>
      <c r="H118" s="44">
        <f t="shared" si="154"/>
        <v>2.2455952496474452</v>
      </c>
      <c r="I118" s="44">
        <f t="shared" si="153"/>
        <v>1.3222154227231477</v>
      </c>
      <c r="J118" s="44">
        <f>AVERAGE(E118:I118)</f>
        <v>2.0408671857158271</v>
      </c>
    </row>
    <row r="119" spans="1:10" x14ac:dyDescent="0.2">
      <c r="A119" s="7" t="s">
        <v>22</v>
      </c>
      <c r="B119" s="44">
        <f t="shared" ref="B119:I119" si="155">(B12+B13)/B47</f>
        <v>0.29493604542497914</v>
      </c>
      <c r="C119" s="44">
        <f t="shared" si="155"/>
        <v>0.60825328083059438</v>
      </c>
      <c r="D119" s="44">
        <f t="shared" si="155"/>
        <v>0.49145713976338462</v>
      </c>
      <c r="E119" s="44">
        <f t="shared" si="155"/>
        <v>0.63695337336714331</v>
      </c>
      <c r="F119" s="44">
        <f t="shared" si="155"/>
        <v>0.78880475176216247</v>
      </c>
      <c r="G119" s="44">
        <f t="shared" ref="G119:H119" si="156">(G12+G13)/G47</f>
        <v>1.039489019228214</v>
      </c>
      <c r="H119" s="44">
        <f t="shared" si="156"/>
        <v>0.82462124296331163</v>
      </c>
      <c r="I119" s="44">
        <f t="shared" si="155"/>
        <v>0.345749752226578</v>
      </c>
      <c r="J119" s="44">
        <f t="shared" ref="J119:J120" si="157">AVERAGE(E119:I119)</f>
        <v>0.72712362790948182</v>
      </c>
    </row>
    <row r="120" spans="1:10" x14ac:dyDescent="0.2">
      <c r="A120" s="7" t="s">
        <v>8</v>
      </c>
      <c r="B120" s="44"/>
      <c r="C120" s="44">
        <f>365*(((B13+C13)/2)/((B80+C80)/2))</f>
        <v>19.59041781688666</v>
      </c>
      <c r="D120" s="44">
        <f>365*(((C13+D13)/2)/((C80+D80)/2))</f>
        <v>19.577281070526595</v>
      </c>
      <c r="E120" s="44">
        <f>365*(((D13+E13)/2)/((D80+E80)/2))</f>
        <v>21.015891531135171</v>
      </c>
      <c r="F120" s="44">
        <f>365*(((E13+F13)/2)/((E80+F80)/2))</f>
        <v>20.652919391945247</v>
      </c>
      <c r="G120" s="44">
        <f t="shared" ref="G120:H120" si="158">365*(((D13+G13)/2)/((D80+G80)/2))</f>
        <v>20.676862977896405</v>
      </c>
      <c r="H120" s="44">
        <f t="shared" si="158"/>
        <v>19.110515883590843</v>
      </c>
      <c r="I120" s="44">
        <f>365*(((F13+I13)/2)/((F80+I80)/2))</f>
        <v>21.649306730389743</v>
      </c>
      <c r="J120" s="44">
        <f t="shared" si="157"/>
        <v>20.621099302991482</v>
      </c>
    </row>
    <row r="121" spans="1:10" x14ac:dyDescent="0.2">
      <c r="A121" s="7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x14ac:dyDescent="0.2">
      <c r="A122" s="18" t="s">
        <v>14</v>
      </c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x14ac:dyDescent="0.2">
      <c r="A123" s="7" t="s">
        <v>17</v>
      </c>
      <c r="B123" s="44">
        <f t="shared" ref="B123:I123" si="159">B65/B57</f>
        <v>0.42733618959892627</v>
      </c>
      <c r="C123" s="44">
        <f t="shared" si="159"/>
        <v>0.44267490473675192</v>
      </c>
      <c r="D123" s="44">
        <f t="shared" si="159"/>
        <v>0.47969817578432977</v>
      </c>
      <c r="E123" s="44">
        <f t="shared" si="159"/>
        <v>0.62367870549033566</v>
      </c>
      <c r="F123" s="44">
        <f t="shared" si="159"/>
        <v>0.58922243825496534</v>
      </c>
      <c r="G123" s="44">
        <f t="shared" ref="G123:H123" si="160">G65/G57</f>
        <v>0.57799639627662736</v>
      </c>
      <c r="H123" s="44">
        <f t="shared" si="160"/>
        <v>0.55486496011125797</v>
      </c>
      <c r="I123" s="44">
        <f t="shared" si="159"/>
        <v>0.52131074502149377</v>
      </c>
      <c r="J123" s="44">
        <f t="shared" ref="J123:J126" si="161">AVERAGE(E123:I123)</f>
        <v>0.57341464903093597</v>
      </c>
    </row>
    <row r="124" spans="1:10" x14ac:dyDescent="0.2">
      <c r="A124" s="7" t="s">
        <v>16</v>
      </c>
      <c r="B124" s="44">
        <f t="shared" ref="B124:I124" si="162">B65/B55</f>
        <v>0.51770683510655202</v>
      </c>
      <c r="C124" s="44">
        <f t="shared" si="162"/>
        <v>0.51094989813481184</v>
      </c>
      <c r="D124" s="44">
        <f t="shared" si="162"/>
        <v>0.54020381261565231</v>
      </c>
      <c r="E124" s="44">
        <f t="shared" si="162"/>
        <v>0.71168376566534963</v>
      </c>
      <c r="F124" s="44">
        <f t="shared" si="162"/>
        <v>0.6811087589387701</v>
      </c>
      <c r="G124" s="44">
        <f t="shared" ref="G124:H124" si="163">G65/G55</f>
        <v>0.66780474817823055</v>
      </c>
      <c r="H124" s="44">
        <f t="shared" si="163"/>
        <v>0.63575179439228324</v>
      </c>
      <c r="I124" s="44">
        <f t="shared" si="162"/>
        <v>0.62606639003994524</v>
      </c>
      <c r="J124" s="44">
        <f t="shared" si="161"/>
        <v>0.66448309144291573</v>
      </c>
    </row>
    <row r="125" spans="1:10" x14ac:dyDescent="0.2">
      <c r="A125" s="7" t="s">
        <v>15</v>
      </c>
      <c r="B125" s="44">
        <f t="shared" ref="B125:I125" si="164">B65/B28</f>
        <v>0.42007191123770582</v>
      </c>
      <c r="C125" s="44">
        <f t="shared" si="164"/>
        <v>0.41471018477813942</v>
      </c>
      <c r="D125" s="44">
        <f t="shared" si="164"/>
        <v>0.41700213425678395</v>
      </c>
      <c r="E125" s="44">
        <f t="shared" si="164"/>
        <v>0.51640853756094796</v>
      </c>
      <c r="F125" s="44">
        <f t="shared" si="164"/>
        <v>0.49792281879110517</v>
      </c>
      <c r="G125" s="44">
        <f t="shared" ref="G125:H125" si="165">G65/G28</f>
        <v>0.5079944584976247</v>
      </c>
      <c r="H125" s="44">
        <f t="shared" si="165"/>
        <v>0.46638062076489356</v>
      </c>
      <c r="I125" s="44">
        <f t="shared" si="164"/>
        <v>0.42593989914388208</v>
      </c>
      <c r="J125" s="44">
        <f t="shared" si="161"/>
        <v>0.48292926695169064</v>
      </c>
    </row>
    <row r="126" spans="1:10" x14ac:dyDescent="0.2">
      <c r="A126" s="7" t="s">
        <v>31</v>
      </c>
      <c r="B126" s="44">
        <f t="shared" ref="B126:I126" si="166">(B100+B94)/B94</f>
        <v>3.2990918919246766</v>
      </c>
      <c r="C126" s="44">
        <f t="shared" si="166"/>
        <v>3.9702484415684141</v>
      </c>
      <c r="D126" s="44">
        <f t="shared" si="166"/>
        <v>4.872392971707014</v>
      </c>
      <c r="E126" s="44">
        <f t="shared" si="166"/>
        <v>2.8610031767069741</v>
      </c>
      <c r="F126" s="44">
        <f t="shared" si="166"/>
        <v>2.8892752393794741</v>
      </c>
      <c r="G126" s="44">
        <f t="shared" ref="G126:H126" si="167">(G100+G94)/G94</f>
        <v>3.3655843256039986</v>
      </c>
      <c r="H126" s="44">
        <f t="shared" si="167"/>
        <v>3.2205483561551911</v>
      </c>
      <c r="I126" s="44">
        <f t="shared" si="166"/>
        <v>0.32517763400950245</v>
      </c>
      <c r="J126" s="44">
        <f t="shared" si="161"/>
        <v>2.5323177463710285</v>
      </c>
    </row>
    <row r="127" spans="1:10" x14ac:dyDescent="0.2">
      <c r="A127" s="25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x14ac:dyDescent="0.2">
      <c r="A128" s="126" t="s">
        <v>57</v>
      </c>
      <c r="B128" s="44"/>
      <c r="C128" s="44"/>
      <c r="D128" s="44"/>
      <c r="E128" s="130"/>
      <c r="F128" s="130"/>
      <c r="G128" s="130"/>
      <c r="H128" s="130"/>
      <c r="I128" s="130"/>
      <c r="J128" s="44"/>
    </row>
    <row r="129" spans="1:10" x14ac:dyDescent="0.2">
      <c r="A129" s="25" t="s">
        <v>146</v>
      </c>
      <c r="B129" s="45">
        <f>(B80-B83)/B80</f>
        <v>0.38841907639182227</v>
      </c>
      <c r="C129" s="45">
        <f>(C80-C83)/C80</f>
        <v>0.38422855645512455</v>
      </c>
      <c r="D129" s="45">
        <f t="shared" ref="D129:F129" si="168">(D80-D83)/D80</f>
        <v>0.41547624006668049</v>
      </c>
      <c r="E129" s="131">
        <f t="shared" si="168"/>
        <v>0.37793080513103283</v>
      </c>
      <c r="F129" s="131">
        <f t="shared" si="168"/>
        <v>0.37738502212218006</v>
      </c>
      <c r="G129" s="131">
        <f t="shared" ref="G129:I129" si="169">(G80-G83)/G80</f>
        <v>0.40636336994504041</v>
      </c>
      <c r="H129" s="131">
        <f t="shared" si="169"/>
        <v>0.42466996216446473</v>
      </c>
      <c r="I129" s="131">
        <f t="shared" si="169"/>
        <v>0.34403892316348367</v>
      </c>
      <c r="J129" s="45">
        <f>AVERAGE(E129:I129)</f>
        <v>0.38607761650524031</v>
      </c>
    </row>
    <row r="130" spans="1:10" x14ac:dyDescent="0.2">
      <c r="A130" s="25" t="s">
        <v>80</v>
      </c>
      <c r="B130" s="45">
        <f>+B103/B80</f>
        <v>7.8820988559958574E-2</v>
      </c>
      <c r="C130" s="45">
        <f>+C103/C80</f>
        <v>8.6626282074389063E-2</v>
      </c>
      <c r="D130" s="45">
        <f t="shared" ref="D130:F130" si="170">+D103/D80</f>
        <v>0.10515245328837569</v>
      </c>
      <c r="E130" s="131">
        <f t="shared" si="170"/>
        <v>4.9706333951642548E-2</v>
      </c>
      <c r="F130" s="131">
        <f t="shared" si="170"/>
        <v>4.5069485213207944E-2</v>
      </c>
      <c r="G130" s="131">
        <f t="shared" ref="G130:I130" si="171">+G103/G80</f>
        <v>5.614767621926172E-2</v>
      </c>
      <c r="H130" s="131">
        <f t="shared" si="171"/>
        <v>5.8058705485427103E-2</v>
      </c>
      <c r="I130" s="131">
        <f t="shared" si="171"/>
        <v>9.9668126101025282E-4</v>
      </c>
      <c r="J130" s="45">
        <f t="shared" ref="J130:J133" si="172">AVERAGE(E130:I130)</f>
        <v>4.199577642610991E-2</v>
      </c>
    </row>
    <row r="131" spans="1:10" x14ac:dyDescent="0.2">
      <c r="A131" s="25" t="s">
        <v>24</v>
      </c>
      <c r="B131" s="19"/>
      <c r="C131" s="19">
        <f>(C103+(C94*(1-(C102/C100))))/((B38+C38)/2)</f>
        <v>4.0597877179816541E-2</v>
      </c>
      <c r="D131" s="19">
        <f>(D103+(D94*(1-(D102/D100))))/((C38+D38)/2)</f>
        <v>4.4794181220294181E-2</v>
      </c>
      <c r="E131" s="19">
        <f>(E103+(E94*(1-(E102/E100))))/((D38+E38)/2)</f>
        <v>2.6512031281232234E-2</v>
      </c>
      <c r="F131" s="19">
        <f>(F103+(F94*(1-(F102/F100))))/((E38+F38)/2)</f>
        <v>2.6745162388257877E-2</v>
      </c>
      <c r="G131" s="19">
        <f t="shared" ref="G131:H131" si="173">(G103+(G94*(1-(G102/G100))))/((D38+G38)/2)</f>
        <v>3.0363477092819485E-2</v>
      </c>
      <c r="H131" s="19">
        <f t="shared" si="173"/>
        <v>3.2158576798567678E-2</v>
      </c>
      <c r="I131" s="19">
        <f>(I103+(I94*(1-(I102/I100))))/((F38+I38)/2)</f>
        <v>7.7118853345515426E-3</v>
      </c>
      <c r="J131" s="45">
        <f t="shared" si="172"/>
        <v>2.4698226579085762E-2</v>
      </c>
    </row>
    <row r="132" spans="1:10" x14ac:dyDescent="0.2">
      <c r="A132" s="25" t="s">
        <v>56</v>
      </c>
      <c r="B132" s="19"/>
      <c r="C132" s="19">
        <f>(C103+(C94*(1-(C102/C100))))/((B49+C49+B59+C59+B65+C65)/2)</f>
        <v>9.0897713902810026E-2</v>
      </c>
      <c r="D132" s="19">
        <f>(D103+(D94*(1-(D102/D100))))/((C49+D49+C59+D59+C65+D65)/2)</f>
        <v>0.100016173505813</v>
      </c>
      <c r="E132" s="19">
        <f>(E103+(E94*(1-(E102/E100))))/((D49+E49+D59+E59+D65+E65)/2)</f>
        <v>5.3382023418689584E-2</v>
      </c>
      <c r="F132" s="19">
        <f>(F103+(F94*(1-(F102/F100))))/((E49+F49+E59+F59+E65+F65)/2)</f>
        <v>5.0302520568514142E-2</v>
      </c>
      <c r="G132" s="19">
        <f t="shared" ref="G132:H132" si="174">(G103+(G94*(1-(G102/G100))))/((D49+G49+D59+G59+D65+G65)/2)</f>
        <v>6.2506502811947542E-2</v>
      </c>
      <c r="H132" s="19">
        <f t="shared" si="174"/>
        <v>6.2090511017198452E-2</v>
      </c>
      <c r="I132" s="19">
        <f>(I103+(I94*(1-(I102/I100))))/((F49+I49+F59+I59+F65+I65)/2)</f>
        <v>1.5909766262291365E-2</v>
      </c>
      <c r="J132" s="45">
        <f t="shared" si="172"/>
        <v>4.8838264815728213E-2</v>
      </c>
    </row>
    <row r="133" spans="1:10" x14ac:dyDescent="0.2">
      <c r="A133" s="7" t="s">
        <v>82</v>
      </c>
      <c r="B133" s="19"/>
      <c r="C133" s="19">
        <f>C103/((C65+B65)/2)</f>
        <v>0.10122804836543033</v>
      </c>
      <c r="D133" s="19">
        <f>D103/((D65+C65)/2)</f>
        <v>0.11370404117433233</v>
      </c>
      <c r="E133" s="19">
        <f t="shared" ref="E133:F133" si="175">E103/((E65+D65)/2)</f>
        <v>5.0102776839099111E-2</v>
      </c>
      <c r="F133" s="19">
        <f t="shared" si="175"/>
        <v>4.7663417899381548E-2</v>
      </c>
      <c r="G133" s="19">
        <f t="shared" ref="G133:H133" si="176">G103/((G65+D65)/2)</f>
        <v>6.400541923983033E-2</v>
      </c>
      <c r="H133" s="19">
        <f t="shared" si="176"/>
        <v>6.437553747323263E-2</v>
      </c>
      <c r="I133" s="19">
        <f>I103/((I65+F65)/2)</f>
        <v>1.145298106159897E-3</v>
      </c>
      <c r="J133" s="45">
        <f t="shared" si="172"/>
        <v>4.5458489911540709E-2</v>
      </c>
    </row>
    <row r="134" spans="1:10" x14ac:dyDescent="0.2">
      <c r="A134" s="7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x14ac:dyDescent="0.2">
      <c r="A135" s="18" t="s">
        <v>1</v>
      </c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x14ac:dyDescent="0.2">
      <c r="A136" s="7" t="s">
        <v>26</v>
      </c>
      <c r="B136" s="44"/>
      <c r="C136" s="44">
        <f>C80/((B12+C12)/2)</f>
        <v>12.861646532427251</v>
      </c>
      <c r="D136" s="44">
        <f>D80/((C12+D12)/2)</f>
        <v>12.04036810791764</v>
      </c>
      <c r="E136" s="44">
        <f>E80/((D12+E12)/2)</f>
        <v>16.068622270257752</v>
      </c>
      <c r="F136" s="44">
        <f>F80/((E12+F12)/2)</f>
        <v>10.95002248073733</v>
      </c>
      <c r="G136" s="44">
        <f t="shared" ref="G136:H136" si="177">G80/((D12+G12)/2)</f>
        <v>9.3226174459561335</v>
      </c>
      <c r="H136" s="44">
        <f t="shared" si="177"/>
        <v>10.474873096930256</v>
      </c>
      <c r="I136" s="44">
        <f>I80/((F12+I12)/2)</f>
        <v>14.240151364607589</v>
      </c>
      <c r="J136" s="44">
        <f t="shared" ref="J136:J140" si="178">AVERAGE(E136:I136)</f>
        <v>12.211257331697812</v>
      </c>
    </row>
    <row r="137" spans="1:10" x14ac:dyDescent="0.2">
      <c r="A137" s="7" t="s">
        <v>25</v>
      </c>
      <c r="B137" s="44"/>
      <c r="C137" s="44">
        <f>C80/((B13+C13)/2)</f>
        <v>18.721114917542291</v>
      </c>
      <c r="D137" s="44">
        <f>D80/((C13+D13)/2)</f>
        <v>18.752667950821191</v>
      </c>
      <c r="E137" s="44">
        <f>E80/((D13+E13)/2)</f>
        <v>17.398312937088509</v>
      </c>
      <c r="F137" s="44">
        <f>F80/((E13+F13)/2)</f>
        <v>18.457100779565366</v>
      </c>
      <c r="G137" s="44">
        <f t="shared" ref="G137:H137" si="179">G80/((D13+G13)/2)</f>
        <v>19.076358216195704</v>
      </c>
      <c r="H137" s="44">
        <f t="shared" si="179"/>
        <v>20.745748513939912</v>
      </c>
      <c r="I137" s="44">
        <f>I80/((F13+I13)/2)</f>
        <v>18.00042291421061</v>
      </c>
      <c r="J137" s="44">
        <f t="shared" si="178"/>
        <v>18.73558867220002</v>
      </c>
    </row>
    <row r="138" spans="1:10" x14ac:dyDescent="0.2">
      <c r="A138" s="7" t="s">
        <v>29</v>
      </c>
      <c r="B138" s="44"/>
      <c r="C138" s="44">
        <f>C80/((B18+C18-B47-C47)/2)</f>
        <v>4.9938768470914479</v>
      </c>
      <c r="D138" s="44">
        <f>D80/((C18+D18-C47-D47)/2)</f>
        <v>5.6889970906751017</v>
      </c>
      <c r="E138" s="44">
        <f>E80/((D18+E18-D47-E47)/2)</f>
        <v>5.7241414113357543</v>
      </c>
      <c r="F138" s="44">
        <f>F80/((E18+F18-E47-F47)/2)</f>
        <v>4.5741646018076381</v>
      </c>
      <c r="G138" s="44">
        <f t="shared" ref="G138:H138" si="180">G80/((D18+G18-D47-G47)/2)</f>
        <v>4.415870529613545</v>
      </c>
      <c r="H138" s="44">
        <f t="shared" si="180"/>
        <v>4.5864921548564608</v>
      </c>
      <c r="I138" s="44">
        <f>I80/((F18+I18-F47-I47)/2)</f>
        <v>6.2869685822306645</v>
      </c>
      <c r="J138" s="44">
        <f t="shared" si="178"/>
        <v>5.1175274559688129</v>
      </c>
    </row>
    <row r="139" spans="1:10" x14ac:dyDescent="0.2">
      <c r="A139" s="7" t="s">
        <v>27</v>
      </c>
      <c r="B139" s="44"/>
      <c r="C139" s="44">
        <f>C80/((B28+C28)/2)</f>
        <v>0.48760398914259206</v>
      </c>
      <c r="D139" s="44">
        <f>D80/((B28+D28)/2)</f>
        <v>0.46921725106538592</v>
      </c>
      <c r="E139" s="44">
        <f>E80/((C28+E28)/2)</f>
        <v>0.49004698007679676</v>
      </c>
      <c r="F139" s="44">
        <f>F80/((D28+F28)/2)</f>
        <v>0.49362298463294285</v>
      </c>
      <c r="G139" s="44">
        <f t="shared" ref="G139:H139" si="181">G80/((C28+G28)/2)</f>
        <v>0.5507742519743517</v>
      </c>
      <c r="H139" s="44">
        <f t="shared" si="181"/>
        <v>0.50194642238539422</v>
      </c>
      <c r="I139" s="44">
        <f>I80/((E28+I28)/2)</f>
        <v>0.54195784375768485</v>
      </c>
      <c r="J139" s="44">
        <f t="shared" si="178"/>
        <v>0.51566969656543404</v>
      </c>
    </row>
    <row r="140" spans="1:10" x14ac:dyDescent="0.2">
      <c r="A140" s="7" t="s">
        <v>28</v>
      </c>
      <c r="B140" s="44"/>
      <c r="C140" s="44">
        <f>C80/((B38+C38)/2)</f>
        <v>0.35432940947495062</v>
      </c>
      <c r="D140" s="44">
        <f>D80/((C38+D38)/2)</f>
        <v>0.34138169074585339</v>
      </c>
      <c r="E140" s="44">
        <f>E80/((D38+E38)/2)</f>
        <v>0.35517253477013028</v>
      </c>
      <c r="F140" s="44">
        <f>F80/((E38+F38)/2)</f>
        <v>0.39892401888495665</v>
      </c>
      <c r="G140" s="44">
        <f t="shared" ref="G140:H140" si="182">G80/((D38+G38)/2)</f>
        <v>0.39349577781392531</v>
      </c>
      <c r="H140" s="44">
        <f t="shared" si="182"/>
        <v>0.40946535031724218</v>
      </c>
      <c r="I140" s="44">
        <f>I80/((F38+I38)/2)</f>
        <v>0.40869179681039958</v>
      </c>
      <c r="J140" s="44">
        <f t="shared" si="178"/>
        <v>0.39314989571933079</v>
      </c>
    </row>
    <row r="141" spans="1:10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44"/>
    </row>
    <row r="142" spans="1:10" x14ac:dyDescent="0.2">
      <c r="A142" s="18" t="s">
        <v>81</v>
      </c>
      <c r="B142" s="7"/>
      <c r="C142" s="7"/>
      <c r="D142" s="7"/>
      <c r="E142" s="7"/>
      <c r="F142" s="7"/>
      <c r="G142" s="7"/>
      <c r="H142" s="7"/>
      <c r="I142" s="7"/>
      <c r="J142" s="44"/>
    </row>
    <row r="143" spans="1:10" x14ac:dyDescent="0.2">
      <c r="A143" s="127"/>
      <c r="B143" s="46"/>
      <c r="C143" s="46"/>
      <c r="D143" s="46"/>
      <c r="E143" s="46"/>
      <c r="F143" s="46"/>
      <c r="G143" s="46"/>
      <c r="H143" s="46"/>
      <c r="I143" s="46"/>
      <c r="J143" s="44"/>
    </row>
    <row r="144" spans="1:10" x14ac:dyDescent="0.2">
      <c r="A144" s="127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x14ac:dyDescent="0.2">
      <c r="A145" s="127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44"/>
    </row>
    <row r="147" spans="1:10" x14ac:dyDescent="0.2">
      <c r="A147" s="18" t="s">
        <v>66</v>
      </c>
      <c r="B147" s="7"/>
      <c r="C147" s="7"/>
      <c r="D147" s="7"/>
      <c r="E147" s="7"/>
      <c r="F147" s="7"/>
      <c r="G147" s="7"/>
      <c r="H147" s="7"/>
      <c r="I147" s="7"/>
      <c r="J147" s="44"/>
    </row>
    <row r="148" spans="1:10" x14ac:dyDescent="0.2">
      <c r="A148" s="7" t="s">
        <v>51</v>
      </c>
      <c r="B148" s="19">
        <f t="shared" ref="B148:I148" si="183">B49/(B$49+B$65)</f>
        <v>0.32995210287882365</v>
      </c>
      <c r="C148" s="19">
        <f t="shared" si="183"/>
        <v>0.31270446122406892</v>
      </c>
      <c r="D148" s="19">
        <f t="shared" si="183"/>
        <v>0.27834629861955451</v>
      </c>
      <c r="E148" s="19">
        <f t="shared" si="183"/>
        <v>0.30171994090173221</v>
      </c>
      <c r="F148" s="19">
        <f t="shared" si="183"/>
        <v>0.27934939949685955</v>
      </c>
      <c r="G148" s="19">
        <f t="shared" ref="G148:H148" si="184">G49/(G$49+G$65)</f>
        <v>0.2989367344455498</v>
      </c>
      <c r="H148" s="19">
        <f t="shared" si="184"/>
        <v>0.27316762986940363</v>
      </c>
      <c r="I148" s="19">
        <f t="shared" si="183"/>
        <v>0.25366520846852331</v>
      </c>
      <c r="J148" s="45">
        <f t="shared" ref="J148:J149" si="185">AVERAGE(E148:I148)</f>
        <v>0.28136778263641371</v>
      </c>
    </row>
    <row r="149" spans="1:10" x14ac:dyDescent="0.2">
      <c r="A149" s="7" t="s">
        <v>67</v>
      </c>
      <c r="B149" s="19">
        <f t="shared" ref="B149:I149" si="186">B65/(B$49+B$65)</f>
        <v>0.67004789712117641</v>
      </c>
      <c r="C149" s="19">
        <f t="shared" si="186"/>
        <v>0.68729553877593108</v>
      </c>
      <c r="D149" s="19">
        <f t="shared" si="186"/>
        <v>0.72165370138044549</v>
      </c>
      <c r="E149" s="19">
        <f t="shared" si="186"/>
        <v>0.69828005909826785</v>
      </c>
      <c r="F149" s="19">
        <f t="shared" si="186"/>
        <v>0.72065060050314045</v>
      </c>
      <c r="G149" s="19">
        <f t="shared" ref="G149:H149" si="187">G65/(G$49+G$65)</f>
        <v>0.7010632655544502</v>
      </c>
      <c r="H149" s="19">
        <f t="shared" si="187"/>
        <v>0.72683237013059643</v>
      </c>
      <c r="I149" s="19">
        <f t="shared" si="186"/>
        <v>0.74633479153147664</v>
      </c>
      <c r="J149" s="45">
        <f t="shared" si="185"/>
        <v>0.7186322173635864</v>
      </c>
    </row>
    <row r="150" spans="1:10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45"/>
    </row>
    <row r="151" spans="1:10" x14ac:dyDescent="0.2">
      <c r="A151" s="18" t="s">
        <v>68</v>
      </c>
      <c r="B151" s="7"/>
      <c r="C151" s="7"/>
      <c r="D151" s="7"/>
      <c r="E151" s="7"/>
      <c r="F151" s="7"/>
      <c r="G151" s="7"/>
      <c r="H151" s="7"/>
      <c r="I151" s="7"/>
      <c r="J151" s="45"/>
    </row>
    <row r="152" spans="1:10" x14ac:dyDescent="0.2">
      <c r="A152" s="7" t="s">
        <v>69</v>
      </c>
      <c r="B152" s="19">
        <f t="shared" ref="B152:I152" si="188">B$41/(B$41+B$49+B$65)</f>
        <v>1.81746381244711E-2</v>
      </c>
      <c r="C152" s="19">
        <f t="shared" si="188"/>
        <v>1.8436300112263208E-2</v>
      </c>
      <c r="D152" s="19">
        <f t="shared" si="188"/>
        <v>1.8621516679704249E-2</v>
      </c>
      <c r="E152" s="19">
        <f t="shared" si="188"/>
        <v>2.0015345265069522E-2</v>
      </c>
      <c r="F152" s="19">
        <f t="shared" si="188"/>
        <v>2.1782636975289243E-2</v>
      </c>
      <c r="G152" s="19">
        <f t="shared" si="188"/>
        <v>2.5618253616619915E-2</v>
      </c>
      <c r="H152" s="19">
        <f t="shared" si="188"/>
        <v>2.5564877036515353E-2</v>
      </c>
      <c r="I152" s="19">
        <f t="shared" si="188"/>
        <v>2.6030935684489595E-2</v>
      </c>
      <c r="J152" s="45">
        <f t="shared" ref="J152:J154" si="189">AVERAGE(E152:I152)</f>
        <v>2.3802409715596724E-2</v>
      </c>
    </row>
    <row r="153" spans="1:10" x14ac:dyDescent="0.2">
      <c r="A153" s="7" t="s">
        <v>51</v>
      </c>
      <c r="B153" s="19">
        <f t="shared" ref="B153:I153" si="190">B$49/(B$41+B$49+B$65)</f>
        <v>0.32395534281059274</v>
      </c>
      <c r="C153" s="19">
        <f t="shared" si="190"/>
        <v>0.30693934793049843</v>
      </c>
      <c r="D153" s="19">
        <f t="shared" si="190"/>
        <v>0.27316306837707649</v>
      </c>
      <c r="E153" s="19">
        <f t="shared" si="190"/>
        <v>0.29568091211122766</v>
      </c>
      <c r="F153" s="19">
        <f t="shared" si="190"/>
        <v>0.27326443293835445</v>
      </c>
      <c r="G153" s="19">
        <f t="shared" si="190"/>
        <v>0.29127849736719952</v>
      </c>
      <c r="H153" s="19">
        <f t="shared" si="190"/>
        <v>0.26618413300143595</v>
      </c>
      <c r="I153" s="19">
        <f t="shared" si="190"/>
        <v>0.24706206574148654</v>
      </c>
      <c r="J153" s="45">
        <f t="shared" si="189"/>
        <v>0.27469400823194084</v>
      </c>
    </row>
    <row r="154" spans="1:10" x14ac:dyDescent="0.2">
      <c r="A154" s="7" t="s">
        <v>67</v>
      </c>
      <c r="B154" s="19">
        <f t="shared" ref="B154:I154" si="191">B$65/(B$41+B$49+B$65)</f>
        <v>0.65787001906493614</v>
      </c>
      <c r="C154" s="19">
        <f t="shared" si="191"/>
        <v>0.67462435195723836</v>
      </c>
      <c r="D154" s="19">
        <f t="shared" si="191"/>
        <v>0.70821541494321927</v>
      </c>
      <c r="E154" s="19">
        <f t="shared" si="191"/>
        <v>0.68430374262370286</v>
      </c>
      <c r="F154" s="19">
        <f t="shared" si="191"/>
        <v>0.70495293008635629</v>
      </c>
      <c r="G154" s="19">
        <f t="shared" si="191"/>
        <v>0.68310324901618058</v>
      </c>
      <c r="H154" s="19">
        <f t="shared" si="191"/>
        <v>0.70825098996204872</v>
      </c>
      <c r="I154" s="19">
        <f t="shared" si="191"/>
        <v>0.72690699857402385</v>
      </c>
      <c r="J154" s="45">
        <f t="shared" si="189"/>
        <v>0.70150358205246255</v>
      </c>
    </row>
    <row r="155" spans="1:10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44"/>
    </row>
    <row r="156" spans="1:10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19"/>
    </row>
  </sheetData>
  <phoneticPr fontId="4" type="noConversion"/>
  <printOptions horizontalCentered="1"/>
  <pageMargins left="0.75" right="0.75" top="1" bottom="1" header="0.5" footer="0.5"/>
  <pageSetup scale="82" fitToHeight="0" orientation="portrait" r:id="rId1"/>
  <headerFooter alignWithMargins="0"/>
  <rowBreaks count="2" manualBreakCount="2">
    <brk id="67" max="9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view="pageBreakPreview" zoomScaleNormal="100" zoomScaleSheetLayoutView="100" workbookViewId="0">
      <selection activeCell="J12" sqref="J12"/>
    </sheetView>
  </sheetViews>
  <sheetFormatPr defaultRowHeight="12.75" x14ac:dyDescent="0.2"/>
  <cols>
    <col min="1" max="1" width="45.42578125" customWidth="1"/>
    <col min="2" max="2" width="11.5703125" hidden="1" customWidth="1"/>
    <col min="3" max="4" width="11.7109375" hidden="1" customWidth="1"/>
    <col min="5" max="9" width="11.7109375" customWidth="1"/>
    <col min="10" max="10" width="10.7109375" customWidth="1"/>
  </cols>
  <sheetData>
    <row r="1" spans="1:11" x14ac:dyDescent="0.2">
      <c r="A1" s="76"/>
      <c r="B1" s="77"/>
      <c r="C1" s="77"/>
      <c r="D1" s="77"/>
      <c r="E1" s="77"/>
      <c r="F1" s="77"/>
      <c r="G1" s="77"/>
      <c r="H1" s="77"/>
      <c r="I1" s="77"/>
      <c r="J1" s="33" t="s">
        <v>63</v>
      </c>
      <c r="K1" s="78"/>
    </row>
    <row r="2" spans="1:11" x14ac:dyDescent="0.2">
      <c r="A2" s="76"/>
      <c r="B2" s="77"/>
      <c r="C2" s="77"/>
      <c r="D2" s="77"/>
      <c r="E2" s="77"/>
      <c r="F2" s="77"/>
      <c r="G2" s="77"/>
      <c r="H2" s="77"/>
      <c r="I2" s="77"/>
      <c r="J2" s="99" t="s">
        <v>162</v>
      </c>
      <c r="K2" s="78"/>
    </row>
    <row r="3" spans="1:11" ht="18" x14ac:dyDescent="0.25">
      <c r="A3" s="80" t="str">
        <f>+'Financial Statements'!A3</f>
        <v>Dixie Escalante Rural Electric Association, Inc</v>
      </c>
      <c r="B3" s="79"/>
      <c r="C3" s="79"/>
      <c r="D3" s="79"/>
      <c r="E3" s="79"/>
      <c r="F3" s="79"/>
      <c r="G3" s="79"/>
      <c r="H3" s="79"/>
      <c r="I3" s="79"/>
      <c r="J3" s="79"/>
      <c r="K3" s="78"/>
    </row>
    <row r="4" spans="1:11" ht="15" x14ac:dyDescent="0.25">
      <c r="A4" s="81" t="s">
        <v>100</v>
      </c>
      <c r="B4" s="82"/>
      <c r="C4" s="82"/>
      <c r="D4" s="82"/>
      <c r="E4" s="82"/>
      <c r="F4" s="82"/>
      <c r="G4" s="82"/>
      <c r="H4" s="82"/>
      <c r="I4" s="82"/>
      <c r="J4" s="82"/>
      <c r="K4" s="78"/>
    </row>
    <row r="5" spans="1:11" ht="15" x14ac:dyDescent="0.25">
      <c r="A5" s="81" t="str">
        <f>'[1]Historical - Exhibit 1'!A5</f>
        <v>Years Ended December 31</v>
      </c>
      <c r="B5" s="82"/>
      <c r="C5" s="82"/>
      <c r="D5" s="82"/>
      <c r="E5" s="82"/>
      <c r="F5" s="82"/>
      <c r="G5" s="82"/>
      <c r="H5" s="82"/>
      <c r="I5" s="82"/>
      <c r="J5" s="82"/>
      <c r="K5" s="78"/>
    </row>
    <row r="6" spans="1:11" s="7" customFormat="1" x14ac:dyDescent="0.2">
      <c r="A6" s="83"/>
      <c r="B6" s="83"/>
      <c r="C6" s="83"/>
      <c r="D6" s="83"/>
      <c r="E6" s="83"/>
      <c r="F6" s="83"/>
      <c r="G6" s="83"/>
      <c r="H6" s="83"/>
      <c r="I6" s="83"/>
      <c r="J6" s="100" t="str">
        <f>+'Financial Statements'!J7</f>
        <v>2011 to 2015</v>
      </c>
      <c r="K6" s="78"/>
    </row>
    <row r="7" spans="1:11" s="7" customFormat="1" x14ac:dyDescent="0.2">
      <c r="A7" s="84" t="s">
        <v>101</v>
      </c>
      <c r="B7" s="85"/>
      <c r="C7" s="85"/>
      <c r="D7" s="86"/>
      <c r="E7" s="86"/>
      <c r="F7" s="86"/>
      <c r="G7" s="86"/>
      <c r="H7" s="86"/>
      <c r="I7" s="86"/>
      <c r="J7" s="101" t="s">
        <v>3</v>
      </c>
      <c r="K7" s="78"/>
    </row>
    <row r="8" spans="1:11" s="7" customFormat="1" x14ac:dyDescent="0.2">
      <c r="A8" s="84"/>
      <c r="B8" s="87">
        <f>+'Financial Statements'!L9</f>
        <v>2008</v>
      </c>
      <c r="C8" s="87">
        <f>+'Financial Statements'!M9</f>
        <v>2009</v>
      </c>
      <c r="D8" s="87">
        <f>+'Financial Statements'!N9</f>
        <v>2010</v>
      </c>
      <c r="E8" s="87">
        <f>+'Financial Statements'!O9</f>
        <v>2011</v>
      </c>
      <c r="F8" s="87">
        <f>+'Financial Statements'!P9</f>
        <v>2012</v>
      </c>
      <c r="G8" s="87">
        <f>+'Financial Statements'!Q9</f>
        <v>2013</v>
      </c>
      <c r="H8" s="87">
        <f>+'Financial Statements'!R9</f>
        <v>2014</v>
      </c>
      <c r="I8" s="87">
        <f>+'Financial Statements'!S9</f>
        <v>2015</v>
      </c>
      <c r="J8" s="102" t="s">
        <v>20</v>
      </c>
      <c r="K8" s="78"/>
    </row>
    <row r="9" spans="1:11" s="7" customFormat="1" x14ac:dyDescent="0.2">
      <c r="A9" s="88"/>
      <c r="B9" s="89"/>
      <c r="C9" s="89"/>
      <c r="D9" s="89"/>
      <c r="E9" s="89"/>
      <c r="F9" s="89"/>
      <c r="G9" s="89"/>
      <c r="H9" s="89"/>
      <c r="I9" s="89"/>
      <c r="J9" s="90"/>
      <c r="K9" s="78"/>
    </row>
    <row r="10" spans="1:11" s="7" customFormat="1" x14ac:dyDescent="0.2">
      <c r="A10" s="84" t="str">
        <f>+'Financial Statements'!A78</f>
        <v>Operating Revenues</v>
      </c>
      <c r="B10" s="47">
        <f>+'Financial Statements'!B80</f>
        <v>20304909</v>
      </c>
      <c r="C10" s="47">
        <f>+'Financial Statements'!C80</f>
        <v>20501053</v>
      </c>
      <c r="D10" s="47">
        <f>+'Financial Statements'!D80</f>
        <v>20741304</v>
      </c>
      <c r="E10" s="47">
        <f>+'Financial Statements'!E80</f>
        <v>20814289</v>
      </c>
      <c r="F10" s="47">
        <f>+'Financial Statements'!F80</f>
        <v>22746854</v>
      </c>
      <c r="G10" s="47">
        <f>+'Financial Statements'!G80</f>
        <v>24380635</v>
      </c>
      <c r="H10" s="47">
        <f>+'Financial Statements'!H80</f>
        <v>24741027</v>
      </c>
      <c r="I10" s="47">
        <f>+'Financial Statements'!I80</f>
        <v>26048448</v>
      </c>
      <c r="J10" s="19">
        <f>RATE(5,,-D10,I10)</f>
        <v>4.6620312486537654E-2</v>
      </c>
      <c r="K10" s="78"/>
    </row>
    <row r="11" spans="1:11" s="7" customFormat="1" x14ac:dyDescent="0.2">
      <c r="A11" s="113" t="s">
        <v>102</v>
      </c>
      <c r="B11" s="41"/>
      <c r="C11" s="41"/>
      <c r="D11" s="41"/>
      <c r="E11" s="41"/>
      <c r="F11" s="41"/>
      <c r="G11" s="41"/>
      <c r="H11" s="41"/>
      <c r="I11" s="41"/>
      <c r="J11" s="92"/>
      <c r="K11" s="76"/>
    </row>
    <row r="12" spans="1:11" s="7" customFormat="1" x14ac:dyDescent="0.2">
      <c r="A12" s="93" t="s">
        <v>118</v>
      </c>
      <c r="B12" s="103">
        <f>+'Financial Statements'!B103</f>
        <v>1600453</v>
      </c>
      <c r="C12" s="103">
        <f>+'Financial Statements'!C103</f>
        <v>1775930</v>
      </c>
      <c r="D12" s="103">
        <f>+'Financial Statements'!D103</f>
        <v>2180999</v>
      </c>
      <c r="E12" s="103">
        <f>+'Financial Statements'!E103</f>
        <v>1034602</v>
      </c>
      <c r="F12" s="103">
        <f>+'Financial Statements'!F103</f>
        <v>1025189</v>
      </c>
      <c r="G12" s="103">
        <f>+'Financial Statements'!G103</f>
        <v>1368916</v>
      </c>
      <c r="H12" s="103">
        <f>+'Financial Statements'!H103</f>
        <v>1436432</v>
      </c>
      <c r="I12" s="103">
        <f>+'Financial Statements'!I103</f>
        <v>25962</v>
      </c>
      <c r="J12" s="19">
        <f>RATE(5,,-D12,I12)</f>
        <v>-0.58777290310909625</v>
      </c>
      <c r="K12" s="76"/>
    </row>
    <row r="13" spans="1:11" s="7" customFormat="1" x14ac:dyDescent="0.2">
      <c r="A13" s="91" t="s">
        <v>119</v>
      </c>
      <c r="B13" s="103"/>
      <c r="C13" s="103"/>
      <c r="D13" s="103"/>
      <c r="E13" s="103"/>
      <c r="F13" s="103"/>
      <c r="G13" s="103"/>
      <c r="H13" s="103"/>
      <c r="I13" s="103"/>
      <c r="J13" s="19"/>
      <c r="K13" s="76"/>
    </row>
    <row r="14" spans="1:11" s="7" customFormat="1" x14ac:dyDescent="0.2">
      <c r="A14" s="93" t="s">
        <v>103</v>
      </c>
      <c r="B14" s="104">
        <v>1400270</v>
      </c>
      <c r="C14" s="104">
        <v>1429185</v>
      </c>
      <c r="D14" s="104">
        <v>1487459</v>
      </c>
      <c r="E14" s="104">
        <v>1631468</v>
      </c>
      <c r="F14" s="104">
        <v>1723579</v>
      </c>
      <c r="G14" s="104">
        <v>1823909</v>
      </c>
      <c r="H14" s="104">
        <v>1969612</v>
      </c>
      <c r="I14" s="104">
        <v>2148749</v>
      </c>
      <c r="J14" s="19">
        <f t="shared" ref="J14:J17" si="0">RATE(5,,-D14,I14)</f>
        <v>7.6336670349685956E-2</v>
      </c>
      <c r="K14" s="76"/>
    </row>
    <row r="15" spans="1:11" s="7" customFormat="1" x14ac:dyDescent="0.2">
      <c r="A15" s="93" t="s">
        <v>120</v>
      </c>
      <c r="B15" s="105">
        <v>-745071</v>
      </c>
      <c r="C15" s="105">
        <v>-774752</v>
      </c>
      <c r="D15" s="105">
        <v>-822348</v>
      </c>
      <c r="E15" s="105">
        <v>-869966</v>
      </c>
      <c r="F15" s="105">
        <v>-934242</v>
      </c>
      <c r="G15" s="105">
        <v>-1011416</v>
      </c>
      <c r="H15" s="105">
        <v>-1100330</v>
      </c>
      <c r="I15" s="105">
        <v>-1620672</v>
      </c>
      <c r="J15" s="19">
        <f t="shared" si="0"/>
        <v>0.14532277721802703</v>
      </c>
      <c r="K15" s="76"/>
    </row>
    <row r="16" spans="1:11" s="7" customFormat="1" x14ac:dyDescent="0.2">
      <c r="A16" s="93" t="s">
        <v>121</v>
      </c>
      <c r="B16" s="105">
        <v>-20031</v>
      </c>
      <c r="C16" s="105">
        <v>-20031</v>
      </c>
      <c r="D16" s="105">
        <v>-20031</v>
      </c>
      <c r="E16" s="105">
        <v>-20031</v>
      </c>
      <c r="F16" s="105">
        <v>-20031</v>
      </c>
      <c r="G16" s="105">
        <v>-20031</v>
      </c>
      <c r="H16" s="105">
        <v>-20031</v>
      </c>
      <c r="I16" s="105">
        <v>-20031</v>
      </c>
      <c r="J16" s="19">
        <f t="shared" si="0"/>
        <v>1.8640708057977523E-16</v>
      </c>
      <c r="K16" s="76"/>
    </row>
    <row r="17" spans="1:11" s="7" customFormat="1" x14ac:dyDescent="0.2">
      <c r="A17" s="94" t="s">
        <v>141</v>
      </c>
      <c r="B17" s="105">
        <v>11070</v>
      </c>
      <c r="C17" s="105">
        <v>-15259</v>
      </c>
      <c r="D17" s="105">
        <v>-33342</v>
      </c>
      <c r="E17" s="105">
        <v>-27169</v>
      </c>
      <c r="F17" s="105">
        <v>-24724</v>
      </c>
      <c r="G17" s="105">
        <v>46442</v>
      </c>
      <c r="H17" s="105">
        <v>80141</v>
      </c>
      <c r="I17" s="105">
        <v>-95750</v>
      </c>
      <c r="J17" s="19">
        <f t="shared" si="0"/>
        <v>0.23489327940264201</v>
      </c>
      <c r="K17" s="76"/>
    </row>
    <row r="18" spans="1:11" s="7" customFormat="1" x14ac:dyDescent="0.2">
      <c r="A18" s="94" t="s">
        <v>104</v>
      </c>
      <c r="B18" s="105"/>
      <c r="C18" s="105"/>
      <c r="D18" s="105"/>
      <c r="E18" s="105"/>
      <c r="F18" s="105"/>
      <c r="G18" s="105"/>
      <c r="H18" s="105"/>
      <c r="I18" s="105"/>
      <c r="J18" s="19"/>
      <c r="K18" s="76"/>
    </row>
    <row r="19" spans="1:11" s="7" customFormat="1" x14ac:dyDescent="0.2">
      <c r="A19" s="91" t="s">
        <v>132</v>
      </c>
      <c r="B19" s="103"/>
      <c r="C19" s="103"/>
      <c r="D19" s="103"/>
      <c r="E19" s="103"/>
      <c r="F19" s="103"/>
      <c r="G19" s="103"/>
      <c r="H19" s="103"/>
      <c r="I19" s="103"/>
      <c r="J19" s="19"/>
      <c r="K19" s="76"/>
    </row>
    <row r="20" spans="1:11" s="7" customFormat="1" x14ac:dyDescent="0.2">
      <c r="A20" s="95" t="s">
        <v>122</v>
      </c>
      <c r="B20" s="103">
        <v>-16317</v>
      </c>
      <c r="C20" s="103">
        <v>-624576</v>
      </c>
      <c r="D20" s="103">
        <v>-39039</v>
      </c>
      <c r="E20" s="103">
        <v>-23619</v>
      </c>
      <c r="F20" s="103">
        <v>-19632</v>
      </c>
      <c r="G20" s="103">
        <v>-89267</v>
      </c>
      <c r="H20" s="103">
        <v>279097</v>
      </c>
      <c r="I20" s="103">
        <v>-236727</v>
      </c>
      <c r="J20" s="19">
        <f t="shared" ref="J20:J28" si="1">RATE(5,,-D20,I20)</f>
        <v>0.4340022144148315</v>
      </c>
      <c r="K20" s="76"/>
    </row>
    <row r="21" spans="1:11" s="7" customFormat="1" x14ac:dyDescent="0.2">
      <c r="A21" s="95" t="s">
        <v>123</v>
      </c>
      <c r="B21" s="103">
        <v>-3083215</v>
      </c>
      <c r="C21" s="103">
        <v>2381740</v>
      </c>
      <c r="D21" s="103">
        <v>638851</v>
      </c>
      <c r="E21" s="103">
        <v>-50369</v>
      </c>
      <c r="F21" s="103">
        <v>-746296</v>
      </c>
      <c r="G21" s="103">
        <v>-10057</v>
      </c>
      <c r="H21" s="103">
        <v>-85307</v>
      </c>
      <c r="I21" s="103">
        <v>-371931</v>
      </c>
      <c r="J21" s="19"/>
      <c r="K21" s="76"/>
    </row>
    <row r="22" spans="1:11" s="7" customFormat="1" x14ac:dyDescent="0.2">
      <c r="A22" s="95" t="s">
        <v>124</v>
      </c>
      <c r="B22" s="103">
        <v>1564953</v>
      </c>
      <c r="C22" s="103">
        <v>389521</v>
      </c>
      <c r="D22" s="103">
        <v>607264</v>
      </c>
      <c r="E22" s="103">
        <v>-59629</v>
      </c>
      <c r="F22" s="103">
        <v>-561179</v>
      </c>
      <c r="G22" s="103">
        <v>1152035</v>
      </c>
      <c r="H22" s="103">
        <v>200853</v>
      </c>
      <c r="I22" s="103">
        <v>-149394</v>
      </c>
      <c r="J22" s="19"/>
      <c r="K22" s="76"/>
    </row>
    <row r="23" spans="1:11" s="7" customFormat="1" x14ac:dyDescent="0.2">
      <c r="A23" s="95" t="s">
        <v>125</v>
      </c>
      <c r="B23" s="103">
        <v>4972</v>
      </c>
      <c r="C23" s="103">
        <v>-3145</v>
      </c>
      <c r="D23" s="103">
        <v>-6999</v>
      </c>
      <c r="E23" s="103">
        <v>-1365</v>
      </c>
      <c r="F23" s="103">
        <v>2065</v>
      </c>
      <c r="G23" s="103">
        <v>-2094116</v>
      </c>
      <c r="H23" s="103">
        <v>171868</v>
      </c>
      <c r="I23" s="103">
        <v>169104</v>
      </c>
      <c r="J23" s="19"/>
      <c r="K23" s="76"/>
    </row>
    <row r="24" spans="1:11" s="7" customFormat="1" x14ac:dyDescent="0.2">
      <c r="A24" s="95" t="s">
        <v>126</v>
      </c>
      <c r="B24" s="103">
        <v>44638</v>
      </c>
      <c r="C24" s="103">
        <v>-17018</v>
      </c>
      <c r="D24" s="103">
        <v>-47225</v>
      </c>
      <c r="E24" s="103">
        <v>81827</v>
      </c>
      <c r="F24" s="103">
        <v>1649541</v>
      </c>
      <c r="G24" s="103">
        <v>37674</v>
      </c>
      <c r="H24" s="103">
        <v>94017</v>
      </c>
      <c r="I24" s="103">
        <v>263009</v>
      </c>
      <c r="J24" s="19"/>
      <c r="K24" s="76"/>
    </row>
    <row r="25" spans="1:11" s="7" customFormat="1" x14ac:dyDescent="0.2">
      <c r="A25" s="95" t="s">
        <v>127</v>
      </c>
      <c r="B25" s="103">
        <v>-238996</v>
      </c>
      <c r="C25" s="103">
        <v>1245163</v>
      </c>
      <c r="D25" s="103">
        <v>-730756</v>
      </c>
      <c r="E25" s="103">
        <v>-616983</v>
      </c>
      <c r="F25" s="103">
        <v>664726</v>
      </c>
      <c r="G25" s="103">
        <v>-34919</v>
      </c>
      <c r="H25" s="103">
        <v>-15629</v>
      </c>
      <c r="I25" s="103">
        <v>657083</v>
      </c>
      <c r="J25" s="19"/>
      <c r="K25" s="76"/>
    </row>
    <row r="26" spans="1:11" s="7" customFormat="1" x14ac:dyDescent="0.2">
      <c r="A26" s="95" t="s">
        <v>128</v>
      </c>
      <c r="B26" s="105">
        <v>15497</v>
      </c>
      <c r="C26" s="105">
        <v>285560</v>
      </c>
      <c r="D26" s="105">
        <v>-133686</v>
      </c>
      <c r="E26" s="105">
        <v>-7824</v>
      </c>
      <c r="F26" s="105">
        <v>-27680</v>
      </c>
      <c r="G26" s="105">
        <v>-6882</v>
      </c>
      <c r="H26" s="105">
        <v>2661</v>
      </c>
      <c r="I26" s="105">
        <v>19205</v>
      </c>
      <c r="J26" s="19"/>
      <c r="K26" s="76"/>
    </row>
    <row r="27" spans="1:11" s="7" customFormat="1" x14ac:dyDescent="0.2">
      <c r="A27" s="95" t="s">
        <v>129</v>
      </c>
      <c r="B27" s="105">
        <v>47076</v>
      </c>
      <c r="C27" s="105">
        <v>37774</v>
      </c>
      <c r="D27" s="105">
        <v>50156</v>
      </c>
      <c r="E27" s="105">
        <v>1923</v>
      </c>
      <c r="F27" s="105">
        <v>59729</v>
      </c>
      <c r="G27" s="105">
        <v>37987</v>
      </c>
      <c r="H27" s="105">
        <v>25633</v>
      </c>
      <c r="I27" s="105">
        <v>26881</v>
      </c>
      <c r="J27" s="19">
        <f t="shared" si="1"/>
        <v>-0.11727687228698186</v>
      </c>
      <c r="K27" s="76"/>
    </row>
    <row r="28" spans="1:11" s="7" customFormat="1" x14ac:dyDescent="0.2">
      <c r="A28" s="95" t="s">
        <v>130</v>
      </c>
      <c r="B28" s="105">
        <v>43134</v>
      </c>
      <c r="C28" s="105">
        <v>42780</v>
      </c>
      <c r="D28" s="105">
        <v>-11724</v>
      </c>
      <c r="E28" s="105">
        <v>47158</v>
      </c>
      <c r="F28" s="105">
        <v>29246</v>
      </c>
      <c r="G28" s="105">
        <v>73058</v>
      </c>
      <c r="H28" s="105">
        <v>73376</v>
      </c>
      <c r="I28" s="105">
        <v>-49749</v>
      </c>
      <c r="J28" s="19">
        <f t="shared" si="1"/>
        <v>0.33518581310116469</v>
      </c>
      <c r="K28" s="76"/>
    </row>
    <row r="29" spans="1:11" s="7" customFormat="1" x14ac:dyDescent="0.2">
      <c r="A29" s="95" t="s">
        <v>131</v>
      </c>
      <c r="B29" s="105">
        <v>-12512</v>
      </c>
      <c r="C29" s="105">
        <v>-26728</v>
      </c>
      <c r="D29" s="105">
        <v>-7376</v>
      </c>
      <c r="E29" s="105">
        <v>-17962</v>
      </c>
      <c r="F29" s="105">
        <v>24070</v>
      </c>
      <c r="G29" s="105">
        <v>22130</v>
      </c>
      <c r="H29" s="105">
        <v>27331</v>
      </c>
      <c r="I29" s="105">
        <v>11173</v>
      </c>
      <c r="J29" s="19"/>
      <c r="K29" s="76"/>
    </row>
    <row r="30" spans="1:11" s="7" customFormat="1" x14ac:dyDescent="0.2">
      <c r="A30" s="93"/>
      <c r="B30" s="105"/>
      <c r="C30" s="105"/>
      <c r="D30" s="105"/>
      <c r="E30" s="105"/>
      <c r="F30" s="105"/>
      <c r="G30" s="105"/>
      <c r="H30" s="105"/>
      <c r="I30" s="105"/>
      <c r="J30" s="23"/>
      <c r="K30" s="76"/>
    </row>
    <row r="31" spans="1:11" s="7" customFormat="1" x14ac:dyDescent="0.2">
      <c r="A31" s="112" t="s">
        <v>105</v>
      </c>
      <c r="B31" s="106">
        <f t="shared" ref="B31:I31" si="2">SUM(B11:B30)</f>
        <v>615921</v>
      </c>
      <c r="C31" s="106">
        <f t="shared" si="2"/>
        <v>6106144</v>
      </c>
      <c r="D31" s="106">
        <f t="shared" si="2"/>
        <v>3112203</v>
      </c>
      <c r="E31" s="106">
        <f t="shared" si="2"/>
        <v>1102061</v>
      </c>
      <c r="F31" s="106">
        <f t="shared" si="2"/>
        <v>2844361</v>
      </c>
      <c r="G31" s="106">
        <f t="shared" ref="G31" si="3">SUM(G11:G30)</f>
        <v>1295463</v>
      </c>
      <c r="H31" s="106">
        <f t="shared" ref="H31" si="4">SUM(H11:H30)</f>
        <v>3139724</v>
      </c>
      <c r="I31" s="106">
        <f t="shared" si="2"/>
        <v>776912</v>
      </c>
      <c r="J31" s="19">
        <f>RATE(5,,-D31,I31)</f>
        <v>-0.24236368601947048</v>
      </c>
      <c r="K31" s="76"/>
    </row>
    <row r="32" spans="1:11" s="7" customFormat="1" x14ac:dyDescent="0.2">
      <c r="A32" s="112"/>
      <c r="B32" s="105"/>
      <c r="C32" s="105"/>
      <c r="D32" s="105"/>
      <c r="E32" s="105"/>
      <c r="F32" s="105"/>
      <c r="G32" s="105"/>
      <c r="H32" s="105"/>
      <c r="I32" s="105"/>
      <c r="J32" s="19"/>
      <c r="K32" s="76"/>
    </row>
    <row r="33" spans="1:11" s="7" customFormat="1" x14ac:dyDescent="0.2">
      <c r="A33" s="113" t="s">
        <v>106</v>
      </c>
      <c r="B33" s="105"/>
      <c r="C33" s="105"/>
      <c r="D33" s="105"/>
      <c r="E33" s="105"/>
      <c r="F33" s="105"/>
      <c r="G33" s="105"/>
      <c r="H33" s="105"/>
      <c r="I33" s="105"/>
      <c r="J33" s="19"/>
      <c r="K33" s="76"/>
    </row>
    <row r="34" spans="1:11" s="7" customFormat="1" x14ac:dyDescent="0.2">
      <c r="A34" s="93" t="s">
        <v>107</v>
      </c>
      <c r="B34" s="105">
        <v>-8262707</v>
      </c>
      <c r="C34" s="105">
        <v>-5276956</v>
      </c>
      <c r="D34" s="105">
        <v>-7228297</v>
      </c>
      <c r="E34" s="105">
        <v>-5002924</v>
      </c>
      <c r="F34" s="105">
        <v>-6110140</v>
      </c>
      <c r="G34" s="105">
        <v>-7583068</v>
      </c>
      <c r="H34" s="105">
        <v>-11155299</v>
      </c>
      <c r="I34" s="105">
        <v>-11688277</v>
      </c>
      <c r="J34" s="19">
        <f t="shared" ref="J34" si="5">RATE(5,,-D34,I34)</f>
        <v>0.10088740051969408</v>
      </c>
      <c r="K34" s="76"/>
    </row>
    <row r="35" spans="1:11" s="7" customFormat="1" x14ac:dyDescent="0.2">
      <c r="A35" s="93" t="s">
        <v>108</v>
      </c>
      <c r="B35" s="105">
        <v>25712</v>
      </c>
      <c r="C35" s="105">
        <v>62027</v>
      </c>
      <c r="D35" s="105">
        <v>88489</v>
      </c>
      <c r="E35" s="105">
        <v>43484</v>
      </c>
      <c r="F35" s="105">
        <v>17486</v>
      </c>
      <c r="G35" s="105">
        <v>57889</v>
      </c>
      <c r="H35" s="105">
        <v>-5550</v>
      </c>
      <c r="I35" s="105">
        <v>-5564</v>
      </c>
      <c r="J35" s="19"/>
      <c r="K35" s="76"/>
    </row>
    <row r="36" spans="1:11" s="7" customFormat="1" x14ac:dyDescent="0.2">
      <c r="A36" s="93" t="s">
        <v>133</v>
      </c>
      <c r="B36" s="105"/>
      <c r="C36" s="105">
        <v>-29000</v>
      </c>
      <c r="D36" s="105">
        <v>-17454</v>
      </c>
      <c r="E36" s="105"/>
      <c r="F36" s="105">
        <v>-743902</v>
      </c>
      <c r="G36" s="105">
        <v>-6692</v>
      </c>
      <c r="H36" s="105">
        <v>54491</v>
      </c>
      <c r="I36" s="105">
        <v>0</v>
      </c>
      <c r="J36" s="19"/>
      <c r="K36" s="76"/>
    </row>
    <row r="37" spans="1:11" s="7" customFormat="1" x14ac:dyDescent="0.2">
      <c r="A37" s="93" t="s">
        <v>134</v>
      </c>
      <c r="B37" s="105"/>
      <c r="C37" s="105"/>
      <c r="D37" s="105"/>
      <c r="E37" s="105"/>
      <c r="F37" s="105">
        <v>731501</v>
      </c>
      <c r="G37" s="105">
        <v>88599</v>
      </c>
      <c r="H37" s="105">
        <v>190014</v>
      </c>
      <c r="I37" s="105">
        <v>772</v>
      </c>
      <c r="J37" s="19"/>
      <c r="K37" s="76"/>
    </row>
    <row r="38" spans="1:11" s="7" customFormat="1" x14ac:dyDescent="0.2">
      <c r="A38" s="93" t="s">
        <v>142</v>
      </c>
      <c r="B38" s="105"/>
      <c r="C38" s="105"/>
      <c r="D38" s="105">
        <v>-651785</v>
      </c>
      <c r="E38" s="105"/>
      <c r="F38" s="105"/>
      <c r="G38" s="105"/>
      <c r="H38" s="105"/>
      <c r="I38" s="105"/>
      <c r="J38" s="19"/>
      <c r="K38" s="76"/>
    </row>
    <row r="39" spans="1:11" s="7" customFormat="1" x14ac:dyDescent="0.2">
      <c r="A39" s="93"/>
      <c r="B39" s="107"/>
      <c r="C39" s="107"/>
      <c r="D39" s="107"/>
      <c r="E39" s="107"/>
      <c r="F39" s="107"/>
      <c r="G39" s="107"/>
      <c r="H39" s="107"/>
      <c r="I39" s="107"/>
      <c r="J39" s="23"/>
      <c r="K39" s="76"/>
    </row>
    <row r="40" spans="1:11" s="7" customFormat="1" x14ac:dyDescent="0.2">
      <c r="A40" s="112" t="s">
        <v>110</v>
      </c>
      <c r="B40" s="108">
        <f t="shared" ref="B40:I40" si="6">SUM(B33:B39)</f>
        <v>-8236995</v>
      </c>
      <c r="C40" s="108">
        <f t="shared" si="6"/>
        <v>-5243929</v>
      </c>
      <c r="D40" s="108">
        <f t="shared" si="6"/>
        <v>-7809047</v>
      </c>
      <c r="E40" s="108">
        <f t="shared" si="6"/>
        <v>-4959440</v>
      </c>
      <c r="F40" s="108">
        <f t="shared" si="6"/>
        <v>-6105055</v>
      </c>
      <c r="G40" s="108">
        <f t="shared" ref="G40" si="7">SUM(G33:G39)</f>
        <v>-7443272</v>
      </c>
      <c r="H40" s="108">
        <f t="shared" ref="H40" si="8">SUM(H33:H39)</f>
        <v>-10916344</v>
      </c>
      <c r="I40" s="108">
        <f t="shared" si="6"/>
        <v>-11693069</v>
      </c>
      <c r="J40" s="19">
        <f>RATE(5,,-D40,I40)</f>
        <v>8.4091889080954607E-2</v>
      </c>
      <c r="K40" s="76"/>
    </row>
    <row r="41" spans="1:11" s="7" customFormat="1" x14ac:dyDescent="0.2">
      <c r="A41" s="93"/>
      <c r="B41" s="105"/>
      <c r="C41" s="105"/>
      <c r="D41" s="105"/>
      <c r="E41" s="105"/>
      <c r="F41" s="105"/>
      <c r="G41" s="105"/>
      <c r="H41" s="105"/>
      <c r="I41" s="105"/>
      <c r="J41" s="19"/>
      <c r="K41" s="76"/>
    </row>
    <row r="42" spans="1:11" s="7" customFormat="1" x14ac:dyDescent="0.2">
      <c r="A42" s="113" t="s">
        <v>111</v>
      </c>
      <c r="B42" s="105"/>
      <c r="C42" s="105"/>
      <c r="D42" s="105"/>
      <c r="E42" s="105"/>
      <c r="F42" s="105"/>
      <c r="G42" s="105"/>
      <c r="H42" s="105"/>
      <c r="I42" s="105"/>
      <c r="J42" s="19"/>
      <c r="K42" s="76"/>
    </row>
    <row r="43" spans="1:11" s="7" customFormat="1" x14ac:dyDescent="0.2">
      <c r="A43" s="95" t="s">
        <v>112</v>
      </c>
      <c r="B43" s="105">
        <v>2300000</v>
      </c>
      <c r="C43" s="105">
        <v>496232</v>
      </c>
      <c r="D43" s="105"/>
      <c r="E43" s="105">
        <v>2000000</v>
      </c>
      <c r="F43" s="105"/>
      <c r="G43" s="105">
        <v>2098963</v>
      </c>
      <c r="H43" s="105">
        <v>0</v>
      </c>
      <c r="I43" s="105">
        <v>1500000</v>
      </c>
      <c r="J43" s="19"/>
      <c r="K43" s="76"/>
    </row>
    <row r="44" spans="1:11" s="7" customFormat="1" x14ac:dyDescent="0.2">
      <c r="A44" s="95" t="s">
        <v>113</v>
      </c>
      <c r="B44" s="105">
        <v>-443732</v>
      </c>
      <c r="C44" s="105">
        <v>-3470313</v>
      </c>
      <c r="D44" s="105">
        <v>-498159</v>
      </c>
      <c r="E44" s="105">
        <v>-529378</v>
      </c>
      <c r="F44" s="105">
        <v>-619743</v>
      </c>
      <c r="G44" s="105">
        <v>-740218</v>
      </c>
      <c r="H44" s="105">
        <v>-840378</v>
      </c>
      <c r="I44" s="105">
        <v>-840358</v>
      </c>
      <c r="J44" s="19">
        <f t="shared" ref="J44:J47" si="9">RATE(5,,-D44,I44)</f>
        <v>0.11024613908898659</v>
      </c>
      <c r="K44" s="76"/>
    </row>
    <row r="45" spans="1:11" s="7" customFormat="1" x14ac:dyDescent="0.2">
      <c r="A45" s="96" t="s">
        <v>135</v>
      </c>
      <c r="B45" s="105">
        <v>1211377</v>
      </c>
      <c r="C45" s="105">
        <v>868991</v>
      </c>
      <c r="D45" s="105">
        <v>1427864</v>
      </c>
      <c r="E45" s="105">
        <v>1428551</v>
      </c>
      <c r="F45" s="105">
        <v>1928263</v>
      </c>
      <c r="G45" s="105">
        <v>2315238</v>
      </c>
      <c r="H45" s="105">
        <v>2667403</v>
      </c>
      <c r="I45" s="105">
        <v>3538821</v>
      </c>
      <c r="J45" s="19">
        <f t="shared" si="9"/>
        <v>0.19904187444195065</v>
      </c>
      <c r="K45" s="76"/>
    </row>
    <row r="46" spans="1:11" s="7" customFormat="1" x14ac:dyDescent="0.2">
      <c r="A46" s="96" t="s">
        <v>136</v>
      </c>
      <c r="B46" s="105">
        <v>6088773</v>
      </c>
      <c r="C46" s="105">
        <v>3104255</v>
      </c>
      <c r="D46" s="105">
        <v>2976035</v>
      </c>
      <c r="E46" s="105">
        <v>1707314</v>
      </c>
      <c r="F46" s="105">
        <v>3710273</v>
      </c>
      <c r="G46" s="105">
        <v>4949175</v>
      </c>
      <c r="H46" s="105">
        <v>5099887</v>
      </c>
      <c r="I46" s="105">
        <v>4642586</v>
      </c>
      <c r="J46" s="19">
        <f t="shared" si="9"/>
        <v>9.3010627279439678E-2</v>
      </c>
      <c r="K46" s="76"/>
    </row>
    <row r="47" spans="1:11" s="7" customFormat="1" x14ac:dyDescent="0.2">
      <c r="A47" s="96" t="s">
        <v>138</v>
      </c>
      <c r="B47" s="105">
        <v>-651159</v>
      </c>
      <c r="C47" s="105">
        <v>-53782</v>
      </c>
      <c r="D47" s="105">
        <v>-77236</v>
      </c>
      <c r="E47" s="105">
        <v>-456239</v>
      </c>
      <c r="F47" s="105">
        <v>-145851</v>
      </c>
      <c r="G47" s="105">
        <v>-529555</v>
      </c>
      <c r="H47" s="105">
        <v>-461862</v>
      </c>
      <c r="I47" s="105">
        <v>-261446</v>
      </c>
      <c r="J47" s="19">
        <f t="shared" si="9"/>
        <v>0.27618150273398673</v>
      </c>
      <c r="K47" s="76"/>
    </row>
    <row r="48" spans="1:11" s="7" customFormat="1" x14ac:dyDescent="0.2">
      <c r="A48" s="93" t="s">
        <v>137</v>
      </c>
      <c r="B48" s="105">
        <v>-374677</v>
      </c>
      <c r="C48" s="105">
        <v>-402752</v>
      </c>
      <c r="D48" s="105">
        <v>-279148</v>
      </c>
      <c r="E48" s="105"/>
      <c r="F48" s="105">
        <v>-341124</v>
      </c>
      <c r="G48" s="105">
        <v>-577166</v>
      </c>
      <c r="H48" s="105">
        <v>-619396</v>
      </c>
      <c r="I48" s="105">
        <v>0</v>
      </c>
      <c r="J48" s="19"/>
      <c r="K48" s="76"/>
    </row>
    <row r="49" spans="1:11" s="7" customFormat="1" x14ac:dyDescent="0.2">
      <c r="A49" s="93" t="s">
        <v>109</v>
      </c>
      <c r="B49" s="105"/>
      <c r="C49" s="105"/>
      <c r="D49" s="105"/>
      <c r="E49" s="105"/>
      <c r="F49" s="105"/>
      <c r="G49" s="105"/>
      <c r="H49" s="105">
        <v>1131551</v>
      </c>
      <c r="I49" s="105">
        <v>0</v>
      </c>
      <c r="J49" s="19"/>
      <c r="K49" s="76"/>
    </row>
    <row r="50" spans="1:11" s="7" customFormat="1" x14ac:dyDescent="0.2">
      <c r="A50" s="93"/>
      <c r="B50" s="105"/>
      <c r="C50" s="105"/>
      <c r="D50" s="105"/>
      <c r="E50" s="105"/>
      <c r="F50" s="105"/>
      <c r="G50" s="105"/>
      <c r="H50" s="105"/>
      <c r="I50" s="105"/>
      <c r="J50" s="23"/>
      <c r="K50" s="76"/>
    </row>
    <row r="51" spans="1:11" s="7" customFormat="1" x14ac:dyDescent="0.2">
      <c r="A51" s="112" t="s">
        <v>114</v>
      </c>
      <c r="B51" s="109">
        <f t="shared" ref="B51:I51" si="10">SUM(B42:B50)</f>
        <v>8130582</v>
      </c>
      <c r="C51" s="109">
        <f t="shared" si="10"/>
        <v>542631</v>
      </c>
      <c r="D51" s="109">
        <f t="shared" si="10"/>
        <v>3549356</v>
      </c>
      <c r="E51" s="109">
        <f t="shared" si="10"/>
        <v>4150248</v>
      </c>
      <c r="F51" s="109">
        <f t="shared" si="10"/>
        <v>4531818</v>
      </c>
      <c r="G51" s="109">
        <f t="shared" ref="G51" si="11">SUM(G42:G50)</f>
        <v>7516437</v>
      </c>
      <c r="H51" s="109">
        <f t="shared" ref="H51" si="12">SUM(H42:H50)</f>
        <v>6977205</v>
      </c>
      <c r="I51" s="109">
        <f t="shared" si="10"/>
        <v>8579603</v>
      </c>
      <c r="J51" s="19">
        <f>RATE(5,,-D51,I51)</f>
        <v>0.19306340912782474</v>
      </c>
      <c r="K51" s="76"/>
    </row>
    <row r="52" spans="1:11" s="7" customFormat="1" x14ac:dyDescent="0.2">
      <c r="A52" s="93"/>
      <c r="B52" s="105"/>
      <c r="C52" s="105"/>
      <c r="D52" s="105"/>
      <c r="E52" s="105"/>
      <c r="F52" s="105"/>
      <c r="G52" s="105"/>
      <c r="H52" s="105"/>
      <c r="I52" s="105"/>
      <c r="J52" s="23"/>
      <c r="K52" s="76"/>
    </row>
    <row r="53" spans="1:11" s="7" customFormat="1" x14ac:dyDescent="0.2">
      <c r="A53" s="112" t="s">
        <v>115</v>
      </c>
      <c r="B53" s="110">
        <f t="shared" ref="B53:I53" si="13">B31+B40+B51</f>
        <v>509508</v>
      </c>
      <c r="C53" s="110">
        <f t="shared" si="13"/>
        <v>1404846</v>
      </c>
      <c r="D53" s="110">
        <f t="shared" si="13"/>
        <v>-1147488</v>
      </c>
      <c r="E53" s="110">
        <f t="shared" si="13"/>
        <v>292869</v>
      </c>
      <c r="F53" s="110">
        <f t="shared" si="13"/>
        <v>1271124</v>
      </c>
      <c r="G53" s="110">
        <f t="shared" ref="G53:H53" si="14">G31+G40+G51</f>
        <v>1368628</v>
      </c>
      <c r="H53" s="110">
        <f t="shared" si="14"/>
        <v>-799415</v>
      </c>
      <c r="I53" s="110">
        <f t="shared" si="13"/>
        <v>-2336554</v>
      </c>
      <c r="J53" s="19">
        <f>RATE(5,,-D53,I53)</f>
        <v>0.15283070189034098</v>
      </c>
      <c r="K53" s="76"/>
    </row>
    <row r="54" spans="1:11" s="7" customFormat="1" x14ac:dyDescent="0.2">
      <c r="A54" s="112"/>
      <c r="B54" s="105"/>
      <c r="C54" s="105"/>
      <c r="D54" s="105"/>
      <c r="E54" s="105"/>
      <c r="F54" s="105"/>
      <c r="G54" s="105"/>
      <c r="H54" s="105"/>
      <c r="I54" s="105"/>
      <c r="J54" s="23"/>
      <c r="K54" s="76"/>
    </row>
    <row r="55" spans="1:11" s="7" customFormat="1" x14ac:dyDescent="0.2">
      <c r="A55" s="112" t="s">
        <v>116</v>
      </c>
      <c r="B55" s="128">
        <v>382037</v>
      </c>
      <c r="C55" s="110">
        <f t="shared" ref="C55" si="15">B57</f>
        <v>891545</v>
      </c>
      <c r="D55" s="110">
        <f>C57</f>
        <v>2296391</v>
      </c>
      <c r="E55" s="110">
        <f>D57</f>
        <v>1148903</v>
      </c>
      <c r="F55" s="110">
        <f>E57</f>
        <v>1441772</v>
      </c>
      <c r="G55" s="110">
        <f t="shared" ref="G55:I55" si="16">F57</f>
        <v>2712896</v>
      </c>
      <c r="H55" s="110">
        <f t="shared" si="16"/>
        <v>4081524</v>
      </c>
      <c r="I55" s="110">
        <f t="shared" si="16"/>
        <v>3282109</v>
      </c>
      <c r="J55" s="19">
        <f>RATE(5,,-D55,I55)</f>
        <v>7.4042415892884475E-2</v>
      </c>
      <c r="K55" s="76"/>
    </row>
    <row r="56" spans="1:11" s="7" customFormat="1" x14ac:dyDescent="0.2">
      <c r="A56" s="112"/>
      <c r="B56" s="105"/>
      <c r="C56" s="105"/>
      <c r="D56" s="105"/>
      <c r="E56" s="105"/>
      <c r="F56" s="105"/>
      <c r="G56" s="105"/>
      <c r="H56" s="105"/>
      <c r="I56" s="105"/>
      <c r="J56" s="23"/>
      <c r="K56" s="76"/>
    </row>
    <row r="57" spans="1:11" s="7" customFormat="1" ht="13.5" thickBot="1" x14ac:dyDescent="0.25">
      <c r="A57" s="112" t="s">
        <v>117</v>
      </c>
      <c r="B57" s="110">
        <f t="shared" ref="B57:C57" si="17">B53+B55</f>
        <v>891545</v>
      </c>
      <c r="C57" s="110">
        <f t="shared" si="17"/>
        <v>2296391</v>
      </c>
      <c r="D57" s="110">
        <f>D53+D55</f>
        <v>1148903</v>
      </c>
      <c r="E57" s="110">
        <f>E53+E55</f>
        <v>1441772</v>
      </c>
      <c r="F57" s="110">
        <f t="shared" ref="F57:I57" si="18">F53+F55</f>
        <v>2712896</v>
      </c>
      <c r="G57" s="110">
        <f t="shared" ref="G57:H57" si="19">G53+G55</f>
        <v>4081524</v>
      </c>
      <c r="H57" s="110">
        <f t="shared" si="19"/>
        <v>3282109</v>
      </c>
      <c r="I57" s="110">
        <f t="shared" si="18"/>
        <v>945555</v>
      </c>
      <c r="J57" s="19">
        <f>RATE(5,,-D57,I57)</f>
        <v>-3.8209049662388944E-2</v>
      </c>
      <c r="K57" s="76"/>
    </row>
    <row r="58" spans="1:11" s="7" customFormat="1" ht="13.5" thickTop="1" x14ac:dyDescent="0.2">
      <c r="A58" s="97"/>
      <c r="B58" s="111">
        <f>+B57-'Financial Statements'!B12</f>
        <v>0</v>
      </c>
      <c r="C58" s="111">
        <f>+C57-'Financial Statements'!C12</f>
        <v>0</v>
      </c>
      <c r="D58" s="111">
        <f>+D57-'Financial Statements'!D12</f>
        <v>0</v>
      </c>
      <c r="E58" s="111">
        <f>+E57-'Financial Statements'!E12</f>
        <v>0</v>
      </c>
      <c r="F58" s="111">
        <f>+F57-'Financial Statements'!F12</f>
        <v>0</v>
      </c>
      <c r="G58" s="111">
        <f>+G57-'Financial Statements'!G12</f>
        <v>0</v>
      </c>
      <c r="H58" s="111">
        <f>+H57-'Financial Statements'!H12</f>
        <v>0</v>
      </c>
      <c r="I58" s="111">
        <f>+I57-'Financial Statements'!I12</f>
        <v>0</v>
      </c>
      <c r="J58" s="98"/>
      <c r="K58" s="76"/>
    </row>
    <row r="59" spans="1:11" x14ac:dyDescent="0.2">
      <c r="A59" s="76"/>
      <c r="B59" s="77"/>
      <c r="C59" s="77"/>
      <c r="D59" s="77"/>
      <c r="E59" s="77"/>
      <c r="F59" s="77"/>
      <c r="G59" s="77"/>
      <c r="H59" s="77"/>
      <c r="I59" s="77"/>
      <c r="J59" s="78"/>
      <c r="K59" s="77"/>
    </row>
    <row r="60" spans="1:11" x14ac:dyDescent="0.2">
      <c r="A60" s="76"/>
      <c r="B60" s="77"/>
      <c r="C60" s="77"/>
      <c r="D60" s="77"/>
      <c r="E60" s="77"/>
      <c r="F60" s="77"/>
      <c r="G60" s="77"/>
      <c r="H60" s="77"/>
      <c r="I60" s="77"/>
      <c r="J60" s="78"/>
      <c r="K60" s="77"/>
    </row>
    <row r="61" spans="1:11" x14ac:dyDescent="0.2">
      <c r="A61" s="76"/>
      <c r="B61" s="77"/>
      <c r="C61" s="77"/>
      <c r="D61" s="77"/>
      <c r="E61" s="77"/>
      <c r="F61" s="77"/>
      <c r="G61" s="77"/>
      <c r="H61" s="77"/>
      <c r="I61" s="77"/>
      <c r="J61" s="78"/>
      <c r="K61" s="77"/>
    </row>
    <row r="62" spans="1:11" x14ac:dyDescent="0.2">
      <c r="A62" s="76"/>
      <c r="B62" s="77"/>
      <c r="C62" s="77"/>
      <c r="D62" s="77"/>
      <c r="E62" s="77"/>
      <c r="F62" s="77"/>
      <c r="G62" s="77"/>
      <c r="H62" s="77"/>
      <c r="I62" s="77"/>
      <c r="J62" s="78"/>
      <c r="K62" s="77"/>
    </row>
  </sheetData>
  <printOptions horizontalCentered="1"/>
  <pageMargins left="0.5" right="0.5" top="1" bottom="1" header="0.3" footer="0.3"/>
  <pageSetup scale="85" fitToHeight="0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5"/>
  <sheetViews>
    <sheetView showGridLines="0" topLeftCell="A82" workbookViewId="0">
      <selection activeCell="G5" sqref="G5"/>
    </sheetView>
  </sheetViews>
  <sheetFormatPr defaultRowHeight="12.75" x14ac:dyDescent="0.2"/>
  <cols>
    <col min="1" max="1" width="29.85546875" customWidth="1"/>
    <col min="2" max="2" width="11.85546875" hidden="1" customWidth="1"/>
    <col min="3" max="3" width="9.140625" hidden="1" customWidth="1"/>
    <col min="4" max="4" width="11.85546875" hidden="1" customWidth="1"/>
    <col min="5" max="5" width="9.5703125" hidden="1" customWidth="1"/>
    <col min="6" max="6" width="11.140625" customWidth="1"/>
    <col min="7" max="7" width="8.28515625" customWidth="1"/>
    <col min="8" max="8" width="11.42578125" customWidth="1"/>
    <col min="9" max="9" width="9" customWidth="1"/>
    <col min="10" max="10" width="12" customWidth="1"/>
    <col min="11" max="11" width="8.5703125" customWidth="1"/>
    <col min="12" max="12" width="11.28515625" customWidth="1"/>
    <col min="13" max="13" width="10.5703125" customWidth="1"/>
    <col min="14" max="14" width="11.85546875" customWidth="1"/>
  </cols>
  <sheetData>
    <row r="3" spans="1:15" ht="18" x14ac:dyDescent="0.25">
      <c r="A3" s="30" t="s">
        <v>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A4" s="31" t="s">
        <v>153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5.75" x14ac:dyDescent="0.25">
      <c r="A5" s="32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x14ac:dyDescent="0.2">
      <c r="A6" s="17"/>
      <c r="B6" s="9"/>
      <c r="C6" s="9"/>
      <c r="D6" s="9"/>
      <c r="E6" s="9"/>
      <c r="F6" s="9"/>
      <c r="G6" s="9"/>
    </row>
    <row r="7" spans="1:1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x14ac:dyDescent="0.2">
      <c r="A8" s="7"/>
      <c r="B8" s="158">
        <v>2009</v>
      </c>
      <c r="C8" s="158"/>
      <c r="D8" s="157">
        <v>2010</v>
      </c>
      <c r="E8" s="157"/>
      <c r="F8" s="157">
        <v>2011</v>
      </c>
      <c r="G8" s="157"/>
      <c r="H8" s="157">
        <v>2012</v>
      </c>
      <c r="I8" s="157"/>
      <c r="J8" s="157">
        <v>2013</v>
      </c>
      <c r="K8" s="157"/>
      <c r="L8" s="157">
        <v>2014</v>
      </c>
      <c r="M8" s="157"/>
      <c r="N8" s="157">
        <v>2015</v>
      </c>
      <c r="O8" s="157"/>
    </row>
    <row r="9" spans="1:15" x14ac:dyDescent="0.2">
      <c r="A9" s="15" t="s">
        <v>0</v>
      </c>
      <c r="B9" s="135" t="s">
        <v>154</v>
      </c>
      <c r="C9" s="135" t="s">
        <v>155</v>
      </c>
      <c r="D9" s="135" t="s">
        <v>154</v>
      </c>
      <c r="E9" s="135" t="s">
        <v>155</v>
      </c>
      <c r="F9" s="135" t="s">
        <v>154</v>
      </c>
      <c r="G9" s="135" t="s">
        <v>155</v>
      </c>
      <c r="H9" s="135" t="s">
        <v>154</v>
      </c>
      <c r="I9" s="135" t="s">
        <v>155</v>
      </c>
      <c r="J9" s="135" t="s">
        <v>154</v>
      </c>
      <c r="K9" s="135" t="s">
        <v>155</v>
      </c>
      <c r="L9" s="135" t="s">
        <v>154</v>
      </c>
      <c r="M9" s="135" t="s">
        <v>155</v>
      </c>
      <c r="N9" s="135" t="s">
        <v>154</v>
      </c>
      <c r="O9" s="135" t="s">
        <v>155</v>
      </c>
    </row>
    <row r="10" spans="1:1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">
      <c r="A11" s="8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">
      <c r="A12" s="7" t="s">
        <v>4</v>
      </c>
      <c r="B12" s="137">
        <f>'Financial Statements'!C12-'Financial Statements'!B12</f>
        <v>1404846</v>
      </c>
      <c r="C12" s="138">
        <f>B12/'Financial Statements'!B12</f>
        <v>1.5757432322541207</v>
      </c>
      <c r="D12" s="137">
        <f>'Financial Statements'!D12-'Financial Statements'!C12</f>
        <v>-1147488</v>
      </c>
      <c r="E12" s="138">
        <f>D12/'Financial Statements'!C12</f>
        <v>-0.49969190786760614</v>
      </c>
      <c r="F12" s="137">
        <f>'Financial Statements'!E12-'Financial Statements'!D12</f>
        <v>292869</v>
      </c>
      <c r="G12" s="138">
        <f>F12/'Financial Statements'!D12</f>
        <v>0.25491185939979266</v>
      </c>
      <c r="H12" s="137">
        <f>'Financial Statements'!F12-'Financial Statements'!E12</f>
        <v>1271124</v>
      </c>
      <c r="I12" s="138">
        <f>H12/'Financial Statements'!E12</f>
        <v>0.881640092885699</v>
      </c>
      <c r="J12" s="137">
        <f>'Financial Statements'!G12-'Financial Statements'!F12</f>
        <v>1368628</v>
      </c>
      <c r="K12" s="138">
        <f>J12/'Financial Statements'!F12</f>
        <v>0.50448966713062349</v>
      </c>
      <c r="L12" s="137">
        <f>'Financial Statements'!H12-'Financial Statements'!G12</f>
        <v>-799415</v>
      </c>
      <c r="M12" s="138">
        <f>L12/'Financial Statements'!G12</f>
        <v>-0.19586188884348102</v>
      </c>
      <c r="N12" s="137">
        <f>'Financial Statements'!I12-'Financial Statements'!H12</f>
        <v>-2336554</v>
      </c>
      <c r="O12" s="138">
        <f>N12/'Financial Statements'!H12</f>
        <v>-0.71190627733570089</v>
      </c>
    </row>
    <row r="13" spans="1:15" x14ac:dyDescent="0.2">
      <c r="A13" s="21" t="s">
        <v>139</v>
      </c>
      <c r="B13" s="134">
        <f>'Financial Statements'!C13-'Financial Statements'!B13</f>
        <v>-88559</v>
      </c>
      <c r="C13" s="138">
        <f>B13/'Financial Statements'!B13</f>
        <v>-7.7727242407114192E-2</v>
      </c>
      <c r="D13" s="134">
        <f>'Financial Statements'!D13-'Financial Statements'!C13</f>
        <v>110497</v>
      </c>
      <c r="E13" s="138">
        <f>D13/'Financial Statements'!C13</f>
        <v>0.10515542012396305</v>
      </c>
      <c r="F13" s="134">
        <f>'Financial Statements'!E13-'Financial Statements'!D13</f>
        <v>70091</v>
      </c>
      <c r="G13" s="138">
        <f>F13/'Financial Statements'!D13</f>
        <v>6.0355947761720978E-2</v>
      </c>
      <c r="H13" s="134">
        <f>'Financial Statements'!F13-'Financial Statements'!E13</f>
        <v>2065</v>
      </c>
      <c r="I13" s="138">
        <f>H13/'Financial Statements'!E13</f>
        <v>1.6769734892011841E-3</v>
      </c>
      <c r="J13" s="134">
        <f>'Financial Statements'!G13-'Financial Statements'!F13</f>
        <v>161366</v>
      </c>
      <c r="K13" s="138">
        <f>J13/'Financial Statements'!F13</f>
        <v>0.13082492196684098</v>
      </c>
      <c r="L13" s="134">
        <f>'Financial Statements'!H13-'Financial Statements'!G13</f>
        <v>-241035</v>
      </c>
      <c r="M13" s="138">
        <f>L13/'Financial Statements'!G13</f>
        <v>-0.17280773951546297</v>
      </c>
      <c r="N13" s="134">
        <f>'Financial Statements'!I13-'Financial Statements'!H13</f>
        <v>506973</v>
      </c>
      <c r="O13" s="138">
        <f>N13/'Financial Statements'!H13</f>
        <v>0.43940141153303791</v>
      </c>
    </row>
    <row r="14" spans="1:15" x14ac:dyDescent="0.2">
      <c r="A14" s="21" t="s">
        <v>140</v>
      </c>
      <c r="B14" s="134">
        <f>'Financial Statements'!C14-'Financial Statements'!B14</f>
        <v>-2293181</v>
      </c>
      <c r="C14" s="138">
        <f>B14/'Financial Statements'!B14</f>
        <v>-0.65420690591689579</v>
      </c>
      <c r="D14" s="134">
        <f>'Financial Statements'!D14-'Financial Statements'!C14</f>
        <v>-749348</v>
      </c>
      <c r="E14" s="138">
        <f>D14/'Financial Statements'!C14</f>
        <v>-0.61822138877636634</v>
      </c>
      <c r="F14" s="134">
        <f>'Financial Statements'!E14-'Financial Statements'!D14</f>
        <v>-19722</v>
      </c>
      <c r="G14" s="138">
        <f>F14/'Financial Statements'!D14</f>
        <v>-4.2618664304005356E-2</v>
      </c>
      <c r="H14" s="134">
        <f>'Financial Statements'!F14-'Financial Statements'!E14</f>
        <v>744231</v>
      </c>
      <c r="I14" s="138">
        <f>H14/'Financial Statements'!E14</f>
        <v>1.6798545480810685</v>
      </c>
      <c r="J14" s="134">
        <f>'Financial Statements'!G14-'Financial Statements'!F14</f>
        <v>-151309</v>
      </c>
      <c r="K14" s="138">
        <f>J14/'Financial Statements'!F14</f>
        <v>-0.12744343296857313</v>
      </c>
      <c r="L14" s="134">
        <f>'Financial Statements'!H14-'Financial Statements'!G14</f>
        <v>326342</v>
      </c>
      <c r="M14" s="138">
        <f>L14/'Financial Statements'!G14</f>
        <v>0.31501561361256036</v>
      </c>
      <c r="N14" s="134">
        <f>'Financial Statements'!I14-'Financial Statements'!H14</f>
        <v>-135042</v>
      </c>
      <c r="O14" s="138">
        <f>N14/'Financial Statements'!H14</f>
        <v>-9.9128163682368819E-2</v>
      </c>
    </row>
    <row r="15" spans="1:15" x14ac:dyDescent="0.2">
      <c r="A15" s="22" t="s">
        <v>90</v>
      </c>
      <c r="B15" s="134">
        <f>'Financial Statements'!C15-'Financial Statements'!B15</f>
        <v>-389521</v>
      </c>
      <c r="C15" s="138">
        <f>B15/'Financial Statements'!B15</f>
        <v>-7.198806263862037E-2</v>
      </c>
      <c r="D15" s="134">
        <f>'Financial Statements'!D15-'Financial Statements'!C15</f>
        <v>-607264</v>
      </c>
      <c r="E15" s="138">
        <f>D15/'Financial Statements'!C15</f>
        <v>-0.12093543819540008</v>
      </c>
      <c r="F15" s="134">
        <f>'Financial Statements'!E15-'Financial Statements'!D15</f>
        <v>59629</v>
      </c>
      <c r="G15" s="138">
        <f>F15/'Financial Statements'!D15</f>
        <v>1.3508676462792408E-2</v>
      </c>
      <c r="H15" s="134">
        <f>'Financial Statements'!F15-'Financial Statements'!E15</f>
        <v>561179</v>
      </c>
      <c r="I15" s="138">
        <f>H15/'Financial Statements'!E15</f>
        <v>0.125438026892398</v>
      </c>
      <c r="J15" s="134">
        <f>'Financial Statements'!G15-'Financial Statements'!F15</f>
        <v>-1152035</v>
      </c>
      <c r="K15" s="138">
        <f>J15/'Financial Statements'!F15</f>
        <v>-0.22880836173820748</v>
      </c>
      <c r="L15" s="134">
        <f>'Financial Statements'!H15-'Financial Statements'!G15</f>
        <v>-200853</v>
      </c>
      <c r="M15" s="138">
        <f>L15/'Financial Statements'!G15</f>
        <v>-5.1727588072726073E-2</v>
      </c>
      <c r="N15" s="134">
        <f>'Financial Statements'!I15-'Financial Statements'!H15</f>
        <v>149394</v>
      </c>
      <c r="O15" s="138">
        <f>N15/'Financial Statements'!H15</f>
        <v>4.0573637591708525E-2</v>
      </c>
    </row>
    <row r="16" spans="1:15" x14ac:dyDescent="0.2">
      <c r="A16" s="22" t="s">
        <v>150</v>
      </c>
      <c r="B16" s="134">
        <f>'Financial Statements'!C16-'Financial Statements'!B16</f>
        <v>0</v>
      </c>
      <c r="C16" s="138"/>
      <c r="D16" s="134">
        <f>'Financial Statements'!D16-'Financial Statements'!C16</f>
        <v>0</v>
      </c>
      <c r="E16" s="138"/>
      <c r="F16" s="134">
        <f>'Financial Statements'!E16-'Financial Statements'!D16</f>
        <v>0</v>
      </c>
      <c r="G16" s="138"/>
      <c r="H16" s="134">
        <f>'Financial Statements'!F16-'Financial Statements'!E16</f>
        <v>75348</v>
      </c>
      <c r="I16" s="138"/>
      <c r="J16" s="134">
        <f>'Financial Statements'!G16-'Financial Statements'!F16</f>
        <v>-21081</v>
      </c>
      <c r="K16" s="138">
        <f>J16/'Financial Statements'!F16</f>
        <v>-0.27978181239050803</v>
      </c>
      <c r="L16" s="134">
        <f>'Financial Statements'!H16-'Financial Statements'!G16</f>
        <v>74125</v>
      </c>
      <c r="M16" s="138">
        <f>L16/'Financial Statements'!G16</f>
        <v>1.3659314131977076</v>
      </c>
      <c r="N16" s="134">
        <f>'Financial Statements'!I16-'Financial Statements'!H16</f>
        <v>-94487</v>
      </c>
      <c r="O16" s="138">
        <f>N16/'Financial Statements'!H16</f>
        <v>-0.73592591438718924</v>
      </c>
    </row>
    <row r="17" spans="1:15" x14ac:dyDescent="0.2">
      <c r="A17" s="7" t="s">
        <v>19</v>
      </c>
      <c r="B17" s="133">
        <f>'Financial Statements'!C17-'Financial Statements'!B17</f>
        <v>-12055</v>
      </c>
      <c r="C17" s="149">
        <f>B17/'Financial Statements'!B17</f>
        <v>-0.28836953401588367</v>
      </c>
      <c r="D17" s="133">
        <f>'Financial Statements'!D17-'Financial Statements'!C17</f>
        <v>668129</v>
      </c>
      <c r="E17" s="149">
        <f>D17/'Financial Statements'!C17</f>
        <v>22.458872567145114</v>
      </c>
      <c r="F17" s="133">
        <f>'Financial Statements'!E17-'Financial Statements'!D17</f>
        <v>-2826</v>
      </c>
      <c r="G17" s="149">
        <f>F17/'Financial Statements'!D17</f>
        <v>-4.0494183797167987E-3</v>
      </c>
      <c r="H17" s="133">
        <f>'Financial Statements'!F17-'Financial Statements'!E17</f>
        <v>-78415</v>
      </c>
      <c r="I17" s="149">
        <f>H17/'Financial Statements'!E17</f>
        <v>-0.11281889700338968</v>
      </c>
      <c r="J17" s="133">
        <f>'Financial Statements'!G17-'Financial Statements'!F17</f>
        <v>2060233</v>
      </c>
      <c r="K17" s="149">
        <f>J17/'Financial Statements'!F17</f>
        <v>3.3410791113734661</v>
      </c>
      <c r="L17" s="133">
        <f>'Financial Statements'!H17-'Financial Statements'!G17</f>
        <v>-205751</v>
      </c>
      <c r="M17" s="149">
        <f>L17/'Financial Statements'!G17</f>
        <v>-7.6862529745561042E-2</v>
      </c>
      <c r="N17" s="133">
        <f>'Financial Statements'!I17-'Financial Statements'!H17</f>
        <v>-202987</v>
      </c>
      <c r="O17" s="149">
        <f>N17/'Financial Statements'!H17</f>
        <v>-8.2143757544658913E-2</v>
      </c>
    </row>
    <row r="18" spans="1:15" x14ac:dyDescent="0.2">
      <c r="A18" s="7" t="s">
        <v>33</v>
      </c>
      <c r="B18" s="51">
        <f t="shared" ref="B18:N18" si="0">SUM(B11:B17)</f>
        <v>-1378470</v>
      </c>
      <c r="C18" s="138">
        <f>B18/'Financial Statements'!B18</f>
        <v>-0.12544203696457334</v>
      </c>
      <c r="D18" s="51">
        <f t="shared" si="0"/>
        <v>-1725474</v>
      </c>
      <c r="E18" s="138">
        <f>D18/'Financial Statements'!C18</f>
        <v>-0.17954181030401345</v>
      </c>
      <c r="F18" s="51">
        <f t="shared" si="0"/>
        <v>400041</v>
      </c>
      <c r="G18" s="138">
        <f>F18/'Financial Statements'!D18</f>
        <v>5.0734715577360229E-2</v>
      </c>
      <c r="H18" s="51">
        <f t="shared" si="0"/>
        <v>2575532</v>
      </c>
      <c r="I18" s="138">
        <f>H18/'Financial Statements'!E18</f>
        <v>0.31086698039842381</v>
      </c>
      <c r="J18" s="51">
        <f t="shared" ref="J18:L18" si="1">SUM(J11:J17)</f>
        <v>2265802</v>
      </c>
      <c r="K18" s="138">
        <f>J18/'Financial Statements'!F18</f>
        <v>0.20862722248612384</v>
      </c>
      <c r="L18" s="51">
        <f t="shared" si="1"/>
        <v>-1046587</v>
      </c>
      <c r="M18" s="138">
        <f>L18/'Financial Statements'!G18</f>
        <v>-7.9731876333150514E-2</v>
      </c>
      <c r="N18" s="51">
        <f t="shared" si="0"/>
        <v>-2112703</v>
      </c>
      <c r="O18" s="138">
        <f>N18/'Financial Statements'!H18</f>
        <v>-0.17489633886281034</v>
      </c>
    </row>
    <row r="19" spans="1:15" x14ac:dyDescent="0.2">
      <c r="A19" s="7"/>
      <c r="B19" s="47"/>
      <c r="C19" s="139"/>
      <c r="D19" s="47"/>
      <c r="E19" s="139"/>
      <c r="F19" s="47"/>
      <c r="G19" s="139"/>
      <c r="H19" s="47"/>
      <c r="I19" s="139"/>
      <c r="J19" s="47"/>
      <c r="K19" s="139"/>
      <c r="L19" s="47"/>
      <c r="M19" s="139"/>
      <c r="N19" s="47"/>
      <c r="O19" s="139"/>
    </row>
    <row r="20" spans="1:15" x14ac:dyDescent="0.2">
      <c r="A20" s="8" t="s">
        <v>21</v>
      </c>
      <c r="B20" s="7"/>
      <c r="C20" s="19"/>
      <c r="D20" s="7"/>
      <c r="E20" s="19"/>
      <c r="F20" s="7"/>
      <c r="G20" s="19"/>
      <c r="H20" s="7"/>
      <c r="I20" s="19"/>
      <c r="J20" s="7"/>
      <c r="K20" s="19"/>
      <c r="L20" s="7"/>
      <c r="M20" s="19"/>
      <c r="N20" s="7"/>
      <c r="O20" s="19"/>
    </row>
    <row r="21" spans="1:15" x14ac:dyDescent="0.2">
      <c r="A21" s="7" t="s">
        <v>65</v>
      </c>
      <c r="B21" s="64">
        <f>'Financial Statements'!C21-'Financial Statements'!B21</f>
        <v>2672051</v>
      </c>
      <c r="C21" s="138">
        <f>B21/'Financial Statements'!B21</f>
        <v>5.47632737688208E-2</v>
      </c>
      <c r="D21" s="64">
        <f>'Financial Statements'!D21-'Financial Statements'!C21</f>
        <v>2377749</v>
      </c>
      <c r="E21" s="138">
        <f>D21/'Financial Statements'!C21</f>
        <v>4.620145658374774E-2</v>
      </c>
      <c r="F21" s="64">
        <f>'Financial Statements'!E21-'Financial Statements'!D21</f>
        <v>3531992</v>
      </c>
      <c r="G21" s="138">
        <f>F21/'Financial Statements'!D21</f>
        <v>6.5598521466895474E-2</v>
      </c>
      <c r="H21" s="64">
        <f>'Financial Statements'!F21-'Financial Statements'!E21</f>
        <v>3782882</v>
      </c>
      <c r="I21" s="138">
        <f>H21/'Financial Statements'!E21</f>
        <v>6.5933104447866056E-2</v>
      </c>
      <c r="J21" s="64">
        <f>'Financial Statements'!G21-'Financial Statements'!F21</f>
        <v>4389725</v>
      </c>
      <c r="K21" s="138">
        <f>J21/'Financial Statements'!F21</f>
        <v>7.1777461410289178E-2</v>
      </c>
      <c r="L21" s="64">
        <f>'Financial Statements'!H21-'Financial Statements'!G21</f>
        <v>3444462</v>
      </c>
      <c r="M21" s="138">
        <f>L21/'Financial Statements'!G21</f>
        <v>5.2549375370286859E-2</v>
      </c>
      <c r="N21" s="64">
        <f>'Financial Statements'!I21-'Financial Statements'!H21</f>
        <v>6960872</v>
      </c>
      <c r="O21" s="138">
        <f>N21/'Financial Statements'!H21</f>
        <v>0.10089446230684029</v>
      </c>
    </row>
    <row r="22" spans="1:15" x14ac:dyDescent="0.2">
      <c r="A22" s="7" t="s">
        <v>99</v>
      </c>
      <c r="B22" s="64">
        <f>'Financial Statements'!C22-'Financial Statements'!B22</f>
        <v>2573898</v>
      </c>
      <c r="C22" s="138">
        <f>B22/'Financial Statements'!B22</f>
        <v>0.36183738012607453</v>
      </c>
      <c r="D22" s="64">
        <f>'Financial Statements'!D22-'Financial Statements'!C22</f>
        <v>3442280</v>
      </c>
      <c r="E22" s="138">
        <f>D22/'Financial Statements'!C22</f>
        <v>0.35533913494449282</v>
      </c>
      <c r="F22" s="64">
        <f>'Financial Statements'!E22-'Financial Statements'!D22</f>
        <v>-9320917</v>
      </c>
      <c r="G22" s="138">
        <f>F22/'Financial Statements'!D22</f>
        <v>-0.70991689077243769</v>
      </c>
      <c r="H22" s="64">
        <f>'Financial Statements'!F22-'Financial Statements'!E22</f>
        <v>513613</v>
      </c>
      <c r="I22" s="138">
        <f>H22/'Financial Statements'!E22</f>
        <v>0.13485356575730334</v>
      </c>
      <c r="J22" s="64">
        <f>'Financial Statements'!G22-'Financial Statements'!F22</f>
        <v>-1891302</v>
      </c>
      <c r="K22" s="138">
        <f>J22/'Financial Statements'!F22</f>
        <v>-0.43756994275018884</v>
      </c>
      <c r="L22" s="64">
        <f>'Financial Statements'!H22-'Financial Statements'!G22</f>
        <v>3897322</v>
      </c>
      <c r="M22" s="138">
        <f>L22/'Financial Statements'!G22</f>
        <v>1.6031876816909045</v>
      </c>
      <c r="N22" s="64">
        <f>'Financial Statements'!I22-'Financial Statements'!H22</f>
        <v>-746169</v>
      </c>
      <c r="O22" s="138">
        <f>N22/'Financial Statements'!H22</f>
        <v>-0.11790977204796545</v>
      </c>
    </row>
    <row r="23" spans="1:15" x14ac:dyDescent="0.2">
      <c r="A23" s="7" t="s">
        <v>47</v>
      </c>
      <c r="B23" s="133">
        <f>'Financial Statements'!C23-'Financial Statements'!B23</f>
        <v>0</v>
      </c>
      <c r="C23" s="149"/>
      <c r="D23" s="133">
        <f>'Financial Statements'!D23-'Financial Statements'!C23</f>
        <v>0</v>
      </c>
      <c r="E23" s="149"/>
      <c r="F23" s="133">
        <f>'Financial Statements'!E23-'Financial Statements'!D23</f>
        <v>0</v>
      </c>
      <c r="G23" s="149"/>
      <c r="H23" s="133">
        <f>'Financial Statements'!F23-'Financial Statements'!E23</f>
        <v>0</v>
      </c>
      <c r="I23" s="149"/>
      <c r="J23" s="133">
        <f>'Financial Statements'!G23-'Financial Statements'!F23</f>
        <v>0</v>
      </c>
      <c r="K23" s="149"/>
      <c r="L23" s="133">
        <f>'Financial Statements'!H23-'Financial Statements'!G23</f>
        <v>0</v>
      </c>
      <c r="M23" s="149"/>
      <c r="N23" s="133">
        <f>'Financial Statements'!I23-'Financial Statements'!H23</f>
        <v>0</v>
      </c>
      <c r="O23" s="149"/>
    </row>
    <row r="24" spans="1:15" x14ac:dyDescent="0.2">
      <c r="A24" s="7" t="s">
        <v>54</v>
      </c>
      <c r="B24" s="51">
        <f t="shared" ref="B24:N24" si="2">SUM(B21:B23)</f>
        <v>5245949</v>
      </c>
      <c r="C24" s="138">
        <f>B24/'Financial Statements'!B24</f>
        <v>9.3834891128109194E-2</v>
      </c>
      <c r="D24" s="51">
        <f t="shared" si="2"/>
        <v>5820029</v>
      </c>
      <c r="E24" s="138">
        <f>D24/'Financial Statements'!C24</f>
        <v>9.5172979708060795E-2</v>
      </c>
      <c r="F24" s="51">
        <f t="shared" si="2"/>
        <v>-5788925</v>
      </c>
      <c r="G24" s="138">
        <f>F24/'Financial Statements'!D24</f>
        <v>-8.6437803155891196E-2</v>
      </c>
      <c r="H24" s="51">
        <f t="shared" si="2"/>
        <v>4296495</v>
      </c>
      <c r="I24" s="138">
        <f>H24/'Financial Statements'!E24</f>
        <v>7.0223421883049336E-2</v>
      </c>
      <c r="J24" s="51">
        <f t="shared" ref="J24:L24" si="3">SUM(J21:J23)</f>
        <v>2498423</v>
      </c>
      <c r="K24" s="138">
        <f>J24/'Financial Statements'!F24</f>
        <v>3.8155679788094372E-2</v>
      </c>
      <c r="L24" s="51">
        <f t="shared" si="3"/>
        <v>7341784</v>
      </c>
      <c r="M24" s="138">
        <f>L24/'Financial Statements'!G24</f>
        <v>0.10800213603970936</v>
      </c>
      <c r="N24" s="51">
        <f t="shared" si="2"/>
        <v>6214703</v>
      </c>
      <c r="O24" s="138">
        <f>N24/'Financial Statements'!H24</f>
        <v>8.251074772104447E-2</v>
      </c>
    </row>
    <row r="25" spans="1:15" x14ac:dyDescent="0.2">
      <c r="A25" s="7"/>
      <c r="B25" s="47"/>
      <c r="C25" s="139"/>
      <c r="D25" s="47"/>
      <c r="E25" s="139"/>
      <c r="F25" s="47"/>
      <c r="G25" s="139"/>
      <c r="H25" s="47"/>
      <c r="I25" s="139"/>
      <c r="J25" s="47"/>
      <c r="K25" s="139"/>
      <c r="L25" s="47"/>
      <c r="M25" s="139"/>
      <c r="N25" s="47"/>
      <c r="O25" s="139"/>
    </row>
    <row r="26" spans="1:15" x14ac:dyDescent="0.2">
      <c r="A26" s="7" t="s">
        <v>48</v>
      </c>
      <c r="B26" s="64">
        <f>'Financial Statements'!C26-'Financial Statements'!B26</f>
        <v>1415946</v>
      </c>
      <c r="C26" s="138">
        <f>B26/'Financial Statements'!B26</f>
        <v>8.9749221224674824E-2</v>
      </c>
      <c r="D26" s="64">
        <f>'Financial Statements'!D26-'Financial Statements'!C26</f>
        <v>1500871</v>
      </c>
      <c r="E26" s="138">
        <f>D26/'Financial Statements'!C26</f>
        <v>8.7297296982895012E-2</v>
      </c>
      <c r="F26" s="64">
        <f>'Financial Statements'!E26-'Financial Statements'!D26</f>
        <v>1501046</v>
      </c>
      <c r="G26" s="138">
        <f>F26/'Financial Statements'!D26</f>
        <v>8.0297703304638701E-2</v>
      </c>
      <c r="H26" s="64">
        <f>'Financial Statements'!F26-'Financial Statements'!E26</f>
        <v>1400926</v>
      </c>
      <c r="I26" s="138">
        <f>H26/'Financial Statements'!E26</f>
        <v>6.9371464796182461E-2</v>
      </c>
      <c r="J26" s="64">
        <f>'Financial Statements'!G26-'Financial Statements'!F26</f>
        <v>1809904</v>
      </c>
      <c r="K26" s="138">
        <f>J26/'Financial Statements'!F26</f>
        <v>8.3809378100040646E-2</v>
      </c>
      <c r="L26" s="64">
        <f>'Financial Statements'!H26-'Financial Statements'!G26</f>
        <v>1612817</v>
      </c>
      <c r="M26" s="138">
        <f>L26/'Financial Statements'!G26</f>
        <v>6.8907939868714838E-2</v>
      </c>
      <c r="N26" s="64">
        <f>'Financial Statements'!I26-'Financial Statements'!H26</f>
        <v>1377871</v>
      </c>
      <c r="O26" s="138">
        <f>N26/'Financial Statements'!H26</f>
        <v>5.5074736779666518E-2</v>
      </c>
    </row>
    <row r="27" spans="1:15" x14ac:dyDescent="0.2">
      <c r="A27" s="7"/>
      <c r="B27" s="47"/>
      <c r="C27" s="139"/>
      <c r="D27" s="47"/>
      <c r="E27" s="139"/>
      <c r="F27" s="47"/>
      <c r="G27" s="139"/>
      <c r="H27" s="47"/>
      <c r="I27" s="139"/>
      <c r="J27" s="47"/>
      <c r="K27" s="139"/>
      <c r="L27" s="47"/>
      <c r="M27" s="139"/>
      <c r="N27" s="47"/>
      <c r="O27" s="139"/>
    </row>
    <row r="28" spans="1:15" x14ac:dyDescent="0.2">
      <c r="A28" s="7" t="s">
        <v>49</v>
      </c>
      <c r="B28" s="64">
        <f>'Financial Statements'!C28-'Financial Statements'!B28</f>
        <v>3830003</v>
      </c>
      <c r="C28" s="138">
        <f>B28/'Financial Statements'!B28</f>
        <v>9.5441151082177211E-2</v>
      </c>
      <c r="D28" s="64">
        <f>'Financial Statements'!D28-'Financial Statements'!C28</f>
        <v>4319158</v>
      </c>
      <c r="E28" s="138">
        <f>D28/'Financial Statements'!C28</f>
        <v>9.8253175225591294E-2</v>
      </c>
      <c r="F28" s="64">
        <f>'Financial Statements'!E28-'Financial Statements'!D28</f>
        <v>-7289971</v>
      </c>
      <c r="G28" s="138">
        <f>F28/'Financial Statements'!D28</f>
        <v>-0.1509978751883882</v>
      </c>
      <c r="H28" s="64">
        <f>'Financial Statements'!F28-'Financial Statements'!E28</f>
        <v>2895569</v>
      </c>
      <c r="I28" s="138">
        <f>H28/'Financial Statements'!E28</f>
        <v>7.0643169567233002E-2</v>
      </c>
      <c r="J28" s="64">
        <f>'Financial Statements'!G28-'Financial Statements'!F28</f>
        <v>688519</v>
      </c>
      <c r="K28" s="138">
        <f>J28/'Financial Statements'!F28</f>
        <v>1.5689439789887169E-2</v>
      </c>
      <c r="L28" s="64">
        <f>'Financial Statements'!H28-'Financial Statements'!G28</f>
        <v>5728967</v>
      </c>
      <c r="M28" s="138">
        <f>L28/'Financial Statements'!G28</f>
        <v>0.12853070541979125</v>
      </c>
      <c r="N28" s="64">
        <f>'Financial Statements'!I28-'Financial Statements'!H28</f>
        <v>4836832</v>
      </c>
      <c r="O28" s="138">
        <f>N28/'Financial Statements'!H28</f>
        <v>9.6156399591687897E-2</v>
      </c>
    </row>
    <row r="29" spans="1:15" x14ac:dyDescent="0.2">
      <c r="A29" s="7"/>
      <c r="B29" s="47"/>
      <c r="C29" s="139"/>
      <c r="D29" s="47"/>
      <c r="E29" s="139"/>
      <c r="F29" s="47"/>
      <c r="G29" s="139"/>
      <c r="H29" s="47"/>
      <c r="I29" s="139"/>
      <c r="J29" s="47"/>
      <c r="K29" s="139"/>
      <c r="L29" s="47"/>
      <c r="M29" s="139"/>
      <c r="N29" s="47"/>
      <c r="O29" s="139"/>
    </row>
    <row r="30" spans="1:15" x14ac:dyDescent="0.2">
      <c r="A30" s="8" t="s">
        <v>58</v>
      </c>
      <c r="B30" s="47"/>
      <c r="C30" s="139"/>
      <c r="D30" s="47"/>
      <c r="E30" s="139"/>
      <c r="F30" s="47"/>
      <c r="G30" s="139"/>
      <c r="H30" s="47"/>
      <c r="I30" s="139"/>
      <c r="J30" s="47"/>
      <c r="K30" s="139"/>
      <c r="L30" s="47"/>
      <c r="M30" s="139"/>
      <c r="N30" s="47"/>
      <c r="O30" s="139"/>
    </row>
    <row r="31" spans="1:15" x14ac:dyDescent="0.2">
      <c r="A31" s="7" t="s">
        <v>50</v>
      </c>
      <c r="B31" s="47"/>
      <c r="C31" s="139"/>
      <c r="D31" s="47"/>
      <c r="E31" s="139"/>
      <c r="F31" s="47"/>
      <c r="G31" s="139"/>
      <c r="H31" s="47"/>
      <c r="I31" s="139"/>
      <c r="J31" s="47"/>
      <c r="K31" s="139"/>
      <c r="L31" s="47"/>
      <c r="M31" s="139"/>
      <c r="N31" s="47"/>
      <c r="O31" s="139"/>
    </row>
    <row r="32" spans="1:15" x14ac:dyDescent="0.2">
      <c r="A32" s="7" t="s">
        <v>147</v>
      </c>
      <c r="B32" s="64">
        <f>'Financial Statements'!C32-'Financial Statements'!B32</f>
        <v>0</v>
      </c>
      <c r="C32" s="138">
        <f>B32/'Financial Statements'!B32</f>
        <v>0</v>
      </c>
      <c r="D32" s="64">
        <f>'Financial Statements'!D32-'Financial Statements'!C32</f>
        <v>0</v>
      </c>
      <c r="E32" s="138">
        <f>D32/'Financial Statements'!C32</f>
        <v>0</v>
      </c>
      <c r="F32" s="64">
        <f>'Financial Statements'!E32-'Financial Statements'!D32</f>
        <v>0</v>
      </c>
      <c r="G32" s="138">
        <f>F32/'Financial Statements'!D32</f>
        <v>0</v>
      </c>
      <c r="H32" s="64">
        <f>'Financial Statements'!F32-'Financial Statements'!E32</f>
        <v>-1597873</v>
      </c>
      <c r="I32" s="138">
        <f>H32/'Financial Statements'!E32</f>
        <v>-1</v>
      </c>
      <c r="J32" s="64">
        <f>'Financial Statements'!G32-'Financial Statements'!F32</f>
        <v>0</v>
      </c>
      <c r="K32" s="138"/>
      <c r="L32" s="64">
        <f>'Financial Statements'!H32-'Financial Statements'!G32</f>
        <v>0</v>
      </c>
      <c r="M32" s="138"/>
      <c r="N32" s="64">
        <f>'Financial Statements'!I32-'Financial Statements'!H32</f>
        <v>0</v>
      </c>
      <c r="O32" s="138"/>
    </row>
    <row r="33" spans="1:15" x14ac:dyDescent="0.2">
      <c r="A33" s="7" t="s">
        <v>91</v>
      </c>
      <c r="B33" s="64">
        <f>'Financial Statements'!C33-'Financial Statements'!B33</f>
        <v>32218</v>
      </c>
      <c r="C33" s="138">
        <f>B33/'Financial Statements'!B33</f>
        <v>1.7577014689884461E-2</v>
      </c>
      <c r="D33" s="64">
        <f>'Financial Statements'!D33-'Financial Statements'!C33</f>
        <v>37880</v>
      </c>
      <c r="E33" s="138">
        <f>D33/'Financial Statements'!C33</f>
        <v>2.0309031836069441E-2</v>
      </c>
      <c r="F33" s="64">
        <f>'Financial Statements'!E33-'Financial Statements'!D33</f>
        <v>-111519</v>
      </c>
      <c r="G33" s="138">
        <f>F33/'Financial Statements'!D33</f>
        <v>-5.8599833951635788E-2</v>
      </c>
      <c r="H33" s="64">
        <f>'Financial Statements'!F33-'Financial Statements'!E33</f>
        <v>-84549</v>
      </c>
      <c r="I33" s="138">
        <f>H33/'Financial Statements'!E33</f>
        <v>-4.719344966149254E-2</v>
      </c>
      <c r="J33" s="64">
        <f>'Financial Statements'!G33-'Financial Statements'!F33</f>
        <v>-16593</v>
      </c>
      <c r="K33" s="138">
        <f>J33/'Financial Statements'!F33</f>
        <v>-9.7206079466101783E-3</v>
      </c>
      <c r="L33" s="64">
        <f>'Financial Statements'!H33-'Financial Statements'!G33</f>
        <v>-168142</v>
      </c>
      <c r="M33" s="138">
        <f>L33/'Financial Statements'!G33</f>
        <v>-9.9468823632763631E-2</v>
      </c>
      <c r="N33" s="64">
        <f>'Financial Statements'!I33-'Financial Statements'!H33</f>
        <v>-168522</v>
      </c>
      <c r="O33" s="138">
        <f>N33/'Financial Statements'!H33</f>
        <v>-0.11070535395797161</v>
      </c>
    </row>
    <row r="34" spans="1:15" x14ac:dyDescent="0.2">
      <c r="A34" s="7" t="s">
        <v>98</v>
      </c>
      <c r="B34" s="64">
        <f>'Financial Statements'!C34-'Financial Statements'!B34</f>
        <v>0</v>
      </c>
      <c r="C34" s="138">
        <f>B34/'Financial Statements'!B34</f>
        <v>0</v>
      </c>
      <c r="D34" s="64">
        <f>'Financial Statements'!D34-'Financial Statements'!C34</f>
        <v>17454</v>
      </c>
      <c r="E34" s="138">
        <f>D34/'Financial Statements'!C34</f>
        <v>1.4921864113062145E-2</v>
      </c>
      <c r="F34" s="64">
        <f>'Financial Statements'!E34-'Financial Statements'!D34</f>
        <v>-17454</v>
      </c>
      <c r="G34" s="138">
        <f>F34/'Financial Statements'!D34</f>
        <v>-1.4702475767533422E-2</v>
      </c>
      <c r="H34" s="64">
        <f>'Financial Statements'!F34-'Financial Statements'!E34</f>
        <v>21372</v>
      </c>
      <c r="I34" s="138">
        <f>H34/'Financial Statements'!E34</f>
        <v>1.8271460973092939E-2</v>
      </c>
      <c r="J34" s="64">
        <f>'Financial Statements'!G34-'Financial Statements'!F34</f>
        <v>-145161</v>
      </c>
      <c r="K34" s="138">
        <f>J34/'Financial Statements'!F34</f>
        <v>-0.12187496064446525</v>
      </c>
      <c r="L34" s="64">
        <f>'Financial Statements'!H34-'Financial Statements'!G34</f>
        <v>-312488</v>
      </c>
      <c r="M34" s="138">
        <f>L34/'Financial Statements'!G34</f>
        <v>-0.29877311875659718</v>
      </c>
      <c r="N34" s="64">
        <f>'Financial Statements'!I34-'Financial Statements'!H34</f>
        <v>4792</v>
      </c>
      <c r="O34" s="138">
        <f>N34/'Financial Statements'!H34</f>
        <v>6.533808916085823E-3</v>
      </c>
    </row>
    <row r="35" spans="1:15" x14ac:dyDescent="0.2">
      <c r="A35" s="7" t="s">
        <v>85</v>
      </c>
      <c r="B35" s="133">
        <f>'Financial Statements'!C35-'Financial Statements'!B35</f>
        <v>624576</v>
      </c>
      <c r="C35" s="149">
        <f>B35/'Financial Statements'!B35</f>
        <v>1.0664189756793858</v>
      </c>
      <c r="D35" s="133">
        <f>'Financial Statements'!D35-'Financial Statements'!C35</f>
        <v>39039</v>
      </c>
      <c r="E35" s="149">
        <f>D35/'Financial Statements'!C35</f>
        <v>3.2256918393855166E-2</v>
      </c>
      <c r="F35" s="133">
        <f>'Financial Statements'!E35-'Financial Statements'!D35</f>
        <v>23619</v>
      </c>
      <c r="G35" s="149">
        <f>F35/'Financial Statements'!D35</f>
        <v>1.8905923439775041E-2</v>
      </c>
      <c r="H35" s="133">
        <f>'Financial Statements'!F35-'Financial Statements'!E35</f>
        <v>19632</v>
      </c>
      <c r="I35" s="149">
        <f>H35/'Financial Statements'!E35</f>
        <v>1.5422928565255989E-2</v>
      </c>
      <c r="J35" s="133">
        <f>'Financial Statements'!G35-'Financial Statements'!F35</f>
        <v>89267</v>
      </c>
      <c r="K35" s="149">
        <f>J35/'Financial Statements'!F35</f>
        <v>6.9063132958155318E-2</v>
      </c>
      <c r="L35" s="133">
        <f>'Financial Statements'!H35-'Financial Statements'!G35</f>
        <v>-279097</v>
      </c>
      <c r="M35" s="149">
        <f>L35/'Financial Statements'!G35</f>
        <v>-0.20197943420545098</v>
      </c>
      <c r="N35" s="133">
        <f>'Financial Statements'!I35-'Financial Statements'!H35</f>
        <v>236727</v>
      </c>
      <c r="O35" s="149">
        <f>N35/'Financial Statements'!H35</f>
        <v>0.21467708703632499</v>
      </c>
    </row>
    <row r="36" spans="1:15" x14ac:dyDescent="0.2">
      <c r="A36" s="7" t="s">
        <v>59</v>
      </c>
      <c r="B36" s="62">
        <f t="shared" ref="B36:N36" si="4">SUM(B31:B35)</f>
        <v>656794</v>
      </c>
      <c r="C36" s="152">
        <f>B36/'Financial Statements'!B36</f>
        <v>0.1266425308375837</v>
      </c>
      <c r="D36" s="62">
        <f t="shared" si="4"/>
        <v>94373</v>
      </c>
      <c r="E36" s="152">
        <f>D36/'Financial Statements'!C36</f>
        <v>1.615146881789109E-2</v>
      </c>
      <c r="F36" s="62">
        <f t="shared" si="4"/>
        <v>-105354</v>
      </c>
      <c r="G36" s="152">
        <f>F36/'Financial Statements'!D36</f>
        <v>-1.7744217095411421E-2</v>
      </c>
      <c r="H36" s="62">
        <f t="shared" si="4"/>
        <v>-1641418</v>
      </c>
      <c r="I36" s="152">
        <f>H36/'Financial Statements'!E36</f>
        <v>-0.28144945393677695</v>
      </c>
      <c r="J36" s="62">
        <f t="shared" ref="J36:L36" si="5">SUM(J31:J35)</f>
        <v>-72487</v>
      </c>
      <c r="K36" s="152">
        <f>J36/'Financial Statements'!F36</f>
        <v>-1.7297527155425752E-2</v>
      </c>
      <c r="L36" s="62">
        <f t="shared" si="5"/>
        <v>-759727</v>
      </c>
      <c r="M36" s="152">
        <f>L36/'Financial Statements'!G36</f>
        <v>-0.18448429765873292</v>
      </c>
      <c r="N36" s="62">
        <f t="shared" si="4"/>
        <v>72997</v>
      </c>
      <c r="O36" s="152">
        <f>N36/'Financial Statements'!H36</f>
        <v>2.173574500838945E-2</v>
      </c>
    </row>
    <row r="37" spans="1:15" x14ac:dyDescent="0.2">
      <c r="A37" s="7" t="s">
        <v>37</v>
      </c>
      <c r="B37" s="62">
        <f t="shared" ref="B37:N37" si="6">B28+B36</f>
        <v>4486797</v>
      </c>
      <c r="C37" s="152">
        <f>B37/'Financial Statements'!B37</f>
        <v>9.9012028420363843E-2</v>
      </c>
      <c r="D37" s="62">
        <f t="shared" si="6"/>
        <v>4413531</v>
      </c>
      <c r="E37" s="152">
        <f>D37/'Financial Statements'!C37</f>
        <v>8.8620719697995717E-2</v>
      </c>
      <c r="F37" s="62">
        <f t="shared" si="6"/>
        <v>-7395325</v>
      </c>
      <c r="G37" s="152">
        <f>F37/'Financial Statements'!D37</f>
        <v>-0.13640483352480201</v>
      </c>
      <c r="H37" s="62">
        <f t="shared" si="6"/>
        <v>1254151</v>
      </c>
      <c r="I37" s="152">
        <f>H37/'Financial Statements'!E37</f>
        <v>2.678626254010541E-2</v>
      </c>
      <c r="J37" s="62">
        <f t="shared" si="6"/>
        <v>616032</v>
      </c>
      <c r="K37" s="152">
        <f>J37/'Financial Statements'!F37</f>
        <v>1.2814023471325847E-2</v>
      </c>
      <c r="L37" s="62">
        <f t="shared" si="6"/>
        <v>4969240</v>
      </c>
      <c r="M37" s="152">
        <f>L37/'Financial Statements'!G37</f>
        <v>0.10205693216111064</v>
      </c>
      <c r="N37" s="62">
        <f t="shared" si="6"/>
        <v>4909829</v>
      </c>
      <c r="O37" s="152">
        <f>N37/'Financial Statements'!H37</f>
        <v>9.1498689286874629E-2</v>
      </c>
    </row>
    <row r="38" spans="1:15" ht="13.5" thickBot="1" x14ac:dyDescent="0.25">
      <c r="A38" s="7" t="s">
        <v>32</v>
      </c>
      <c r="B38" s="63">
        <f t="shared" ref="B38:N38" si="7">B18+B28+B36</f>
        <v>3108327</v>
      </c>
      <c r="C38" s="155">
        <f>B38/'Financial Statements'!B38</f>
        <v>5.5205584000845687E-2</v>
      </c>
      <c r="D38" s="63">
        <f t="shared" si="7"/>
        <v>2688057</v>
      </c>
      <c r="E38" s="155">
        <f>D38/'Financial Statements'!C38</f>
        <v>4.5243656920787058E-2</v>
      </c>
      <c r="F38" s="63">
        <f t="shared" si="7"/>
        <v>-6995284</v>
      </c>
      <c r="G38" s="155">
        <f>F38/'Financial Statements'!D38</f>
        <v>-0.11264373368785281</v>
      </c>
      <c r="H38" s="63">
        <f t="shared" si="7"/>
        <v>3829683</v>
      </c>
      <c r="I38" s="155">
        <f>H38/'Financial Statements'!E38</f>
        <v>6.9497069594065042E-2</v>
      </c>
      <c r="J38" s="63">
        <f t="shared" si="7"/>
        <v>2881834</v>
      </c>
      <c r="K38" s="155">
        <f>J38/'Financial Statements'!F38</f>
        <v>4.8898217452107144E-2</v>
      </c>
      <c r="L38" s="63">
        <f t="shared" si="7"/>
        <v>3922653</v>
      </c>
      <c r="M38" s="155">
        <f>L38/'Financial Statements'!G38</f>
        <v>6.3455695893535641E-2</v>
      </c>
      <c r="N38" s="63">
        <f t="shared" si="7"/>
        <v>2797126</v>
      </c>
      <c r="O38" s="155">
        <f>N38/'Financial Statements'!H38</f>
        <v>4.254841120254526E-2</v>
      </c>
    </row>
    <row r="39" spans="1:15" ht="13.5" thickTop="1" x14ac:dyDescent="0.2">
      <c r="A39" s="7"/>
      <c r="B39" s="25"/>
      <c r="C39" s="36"/>
      <c r="D39" s="25"/>
      <c r="E39" s="36"/>
      <c r="F39" s="25"/>
      <c r="G39" s="36"/>
      <c r="H39" s="25"/>
      <c r="I39" s="36"/>
      <c r="J39" s="25"/>
      <c r="K39" s="36"/>
      <c r="L39" s="25"/>
      <c r="M39" s="36"/>
      <c r="N39" s="25"/>
      <c r="O39" s="36"/>
    </row>
    <row r="40" spans="1:15" x14ac:dyDescent="0.2">
      <c r="A40" s="8" t="s">
        <v>7</v>
      </c>
      <c r="B40" s="7"/>
      <c r="C40" s="19"/>
      <c r="D40" s="7"/>
      <c r="E40" s="19"/>
      <c r="F40" s="7"/>
      <c r="G40" s="19"/>
      <c r="H40" s="7"/>
      <c r="I40" s="19"/>
      <c r="J40" s="7"/>
      <c r="K40" s="19"/>
      <c r="L40" s="7"/>
      <c r="M40" s="19"/>
      <c r="N40" s="7"/>
      <c r="O40" s="19"/>
    </row>
    <row r="41" spans="1:15" x14ac:dyDescent="0.2">
      <c r="A41" s="28" t="s">
        <v>73</v>
      </c>
      <c r="B41" s="64">
        <f>'Financial Statements'!C41-'Financial Statements'!B41</f>
        <v>32499</v>
      </c>
      <c r="C41" s="138">
        <f>B41/'Financial Statements'!B41</f>
        <v>6.9784220550689599E-2</v>
      </c>
      <c r="D41" s="64">
        <f>'Financial Statements'!D41-'Financial Statements'!C41</f>
        <v>31144</v>
      </c>
      <c r="E41" s="138">
        <f>D41/'Financial Statements'!C41</f>
        <v>6.2512294111271238E-2</v>
      </c>
      <c r="F41" s="64">
        <f>'Financial Statements'!E41-'Financial Statements'!D41</f>
        <v>89765</v>
      </c>
      <c r="G41" s="138">
        <f>F41/'Financial Statements'!D41</f>
        <v>0.16957589496552375</v>
      </c>
      <c r="H41" s="64">
        <f>'Financial Statements'!F41-'Financial Statements'!E41</f>
        <v>56067</v>
      </c>
      <c r="I41" s="138">
        <f>H41/'Financial Statements'!E41</f>
        <v>9.0559912132640946E-2</v>
      </c>
      <c r="J41" s="64">
        <f>'Financial Statements'!G41-'Financial Statements'!F41</f>
        <v>173982</v>
      </c>
      <c r="K41" s="138">
        <f>J41/'Financial Statements'!F41</f>
        <v>0.2576816325079756</v>
      </c>
      <c r="L41" s="64">
        <f>'Financial Statements'!H41-'Financial Statements'!G41</f>
        <v>-2366</v>
      </c>
      <c r="M41" s="138">
        <f>L41/'Financial Statements'!G41</f>
        <v>-2.786269790052334E-3</v>
      </c>
      <c r="N41" s="64">
        <f>'Financial Statements'!I41-'Financial Statements'!H41</f>
        <v>-5762</v>
      </c>
      <c r="O41" s="138">
        <f>N41/'Financial Statements'!H41</f>
        <v>-6.8044563166186033E-3</v>
      </c>
    </row>
    <row r="42" spans="1:15" x14ac:dyDescent="0.2">
      <c r="A42" s="7" t="s">
        <v>60</v>
      </c>
      <c r="B42" s="64">
        <f>'Financial Statements'!C42-'Financial Statements'!B42</f>
        <v>1245163</v>
      </c>
      <c r="C42" s="138">
        <f>B42/'Financial Statements'!B42</f>
        <v>0.57671639827776588</v>
      </c>
      <c r="D42" s="64">
        <f>'Financial Statements'!D42-'Financial Statements'!C42</f>
        <v>-730756</v>
      </c>
      <c r="E42" s="138">
        <f>D42/'Financial Statements'!C42</f>
        <v>-0.21466186517377409</v>
      </c>
      <c r="F42" s="64">
        <f>'Financial Statements'!E42-'Financial Statements'!D42</f>
        <v>-616983</v>
      </c>
      <c r="G42" s="138">
        <f>F42/'Financial Statements'!D42</f>
        <v>-0.230780452170088</v>
      </c>
      <c r="H42" s="64">
        <f>'Financial Statements'!F42-'Financial Statements'!E42</f>
        <v>664726</v>
      </c>
      <c r="I42" s="138">
        <f>H42/'Financial Statements'!E42</f>
        <v>0.323234847895433</v>
      </c>
      <c r="J42" s="64">
        <f>'Financial Statements'!G42-'Financial Statements'!F42</f>
        <v>-34919</v>
      </c>
      <c r="K42" s="138">
        <f>J42/'Financial Statements'!F42</f>
        <v>-1.2832178085745806E-2</v>
      </c>
      <c r="L42" s="64">
        <f>'Financial Statements'!H42-'Financial Statements'!G42</f>
        <v>-15629</v>
      </c>
      <c r="M42" s="138">
        <f>L42/'Financial Statements'!G42</f>
        <v>-5.8180678386188815E-3</v>
      </c>
      <c r="N42" s="64">
        <f>'Financial Statements'!I42-'Financial Statements'!H42</f>
        <v>657083</v>
      </c>
      <c r="O42" s="138">
        <f>N42/'Financial Statements'!H42</f>
        <v>0.24603786782133841</v>
      </c>
    </row>
    <row r="43" spans="1:15" x14ac:dyDescent="0.2">
      <c r="A43" s="7" t="s">
        <v>87</v>
      </c>
      <c r="B43" s="64">
        <f>'Financial Statements'!C43-'Financial Statements'!B43</f>
        <v>37774</v>
      </c>
      <c r="C43" s="138">
        <f>B43/'Financial Statements'!B43</f>
        <v>9.2602625546988962E-2</v>
      </c>
      <c r="D43" s="64">
        <f>'Financial Statements'!D43-'Financial Statements'!C43</f>
        <v>50156</v>
      </c>
      <c r="E43" s="138">
        <f>D43/'Financial Statements'!C43</f>
        <v>0.11253587142603923</v>
      </c>
      <c r="F43" s="64">
        <f>'Financial Statements'!E43-'Financial Statements'!D43</f>
        <v>1923</v>
      </c>
      <c r="G43" s="138">
        <f>F43/'Financial Statements'!D43</f>
        <v>3.8782280753057912E-3</v>
      </c>
      <c r="H43" s="64">
        <f>'Financial Statements'!F43-'Financial Statements'!E43</f>
        <v>59729</v>
      </c>
      <c r="I43" s="138">
        <f>H43/'Financial Statements'!E43</f>
        <v>0.11999365166101476</v>
      </c>
      <c r="J43" s="64">
        <f>'Financial Statements'!G43-'Financial Statements'!F43</f>
        <v>37987</v>
      </c>
      <c r="K43" s="138">
        <f>J43/'Financial Statements'!F43</f>
        <v>6.8138483256412141E-2</v>
      </c>
      <c r="L43" s="64">
        <f>'Financial Statements'!H43-'Financial Statements'!G43</f>
        <v>25633</v>
      </c>
      <c r="M43" s="138">
        <f>L43/'Financial Statements'!G43</f>
        <v>4.304565697818917E-2</v>
      </c>
      <c r="N43" s="64">
        <f>'Financial Statements'!I43-'Financial Statements'!H43</f>
        <v>26881</v>
      </c>
      <c r="O43" s="138">
        <f>N43/'Financial Statements'!H43</f>
        <v>4.3278480543923289E-2</v>
      </c>
    </row>
    <row r="44" spans="1:15" x14ac:dyDescent="0.2">
      <c r="A44" s="28" t="s">
        <v>74</v>
      </c>
      <c r="B44" s="64">
        <f>'Financial Statements'!C44-'Financial Statements'!B44</f>
        <v>285560</v>
      </c>
      <c r="C44" s="138">
        <f>B44/'Financial Statements'!B44</f>
        <v>1.3128229647474208</v>
      </c>
      <c r="D44" s="64">
        <f>'Financial Statements'!D44-'Financial Statements'!C44</f>
        <v>-133686</v>
      </c>
      <c r="E44" s="138">
        <f>D44/'Financial Statements'!C44</f>
        <v>-0.26573718483887127</v>
      </c>
      <c r="F44" s="64">
        <f>'Financial Statements'!E44-'Financial Statements'!D44</f>
        <v>-7824</v>
      </c>
      <c r="G44" s="138">
        <f>F44/'Financial Statements'!D44</f>
        <v>-2.1180865751644604E-2</v>
      </c>
      <c r="H44" s="64">
        <f>'Financial Statements'!F44-'Financial Statements'!E44</f>
        <v>-27680</v>
      </c>
      <c r="I44" s="138">
        <f>H44/'Financial Statements'!E44</f>
        <v>-7.6555870850688393E-2</v>
      </c>
      <c r="J44" s="64">
        <f>'Financial Statements'!G44-'Financial Statements'!F44</f>
        <v>-6882</v>
      </c>
      <c r="K44" s="138">
        <f>J44/'Financial Statements'!F44</f>
        <v>-2.061182559316653E-2</v>
      </c>
      <c r="L44" s="64">
        <f>'Financial Statements'!H44-'Financial Statements'!G44</f>
        <v>2661</v>
      </c>
      <c r="M44" s="138">
        <f>L44/'Financial Statements'!G44</f>
        <v>8.1375151374295119E-3</v>
      </c>
      <c r="N44" s="64">
        <f>'Financial Statements'!I44-'Financial Statements'!H44</f>
        <v>19205</v>
      </c>
      <c r="O44" s="138">
        <f>N44/'Financial Statements'!H44</f>
        <v>5.8256108473753662E-2</v>
      </c>
    </row>
    <row r="45" spans="1:15" x14ac:dyDescent="0.2">
      <c r="A45" s="7" t="s">
        <v>86</v>
      </c>
      <c r="B45" s="64">
        <f>'Financial Statements'!C45-'Financial Statements'!B45</f>
        <v>-3000000</v>
      </c>
      <c r="C45" s="138">
        <f>B45/'Financial Statements'!B45</f>
        <v>-1</v>
      </c>
      <c r="D45" s="64">
        <f>'Financial Statements'!D45-'Financial Statements'!C45</f>
        <v>0</v>
      </c>
      <c r="E45" s="138"/>
      <c r="F45" s="64">
        <f>'Financial Statements'!E45-'Financial Statements'!D45</f>
        <v>0</v>
      </c>
      <c r="G45" s="138"/>
      <c r="H45" s="64">
        <f>'Financial Statements'!F45-'Financial Statements'!E45</f>
        <v>0</v>
      </c>
      <c r="I45" s="138"/>
      <c r="J45" s="64">
        <f>'Financial Statements'!G45-'Financial Statements'!F45</f>
        <v>0</v>
      </c>
      <c r="K45" s="138"/>
      <c r="L45" s="64">
        <f>'Financial Statements'!H45-'Financial Statements'!G45</f>
        <v>0</v>
      </c>
      <c r="M45" s="138"/>
      <c r="N45" s="64">
        <f>'Financial Statements'!I45-'Financial Statements'!H45</f>
        <v>1500000</v>
      </c>
      <c r="O45" s="138"/>
    </row>
    <row r="46" spans="1:15" x14ac:dyDescent="0.2">
      <c r="A46" s="7" t="s">
        <v>83</v>
      </c>
      <c r="B46" s="133">
        <f>'Financial Statements'!C46-'Financial Statements'!B46</f>
        <v>16052</v>
      </c>
      <c r="C46" s="149">
        <f>B46/'Financial Statements'!B46</f>
        <v>2.5250547027020225E-2</v>
      </c>
      <c r="D46" s="133">
        <f>'Financial Statements'!D46-'Financial Statements'!C46</f>
        <v>-19100</v>
      </c>
      <c r="E46" s="149">
        <f>D46/'Financial Statements'!C46</f>
        <v>-2.9305220778782406E-2</v>
      </c>
      <c r="F46" s="133">
        <f>'Financial Statements'!E46-'Financial Statements'!D46</f>
        <v>29196</v>
      </c>
      <c r="G46" s="149">
        <f>F46/'Financial Statements'!D46</f>
        <v>4.6147937046854479E-2</v>
      </c>
      <c r="H46" s="133">
        <f>'Financial Statements'!F46-'Financial Statements'!E46</f>
        <v>53316</v>
      </c>
      <c r="I46" s="149">
        <f>H46/'Financial Statements'!E46</f>
        <v>8.0555165239621251E-2</v>
      </c>
      <c r="J46" s="133">
        <f>'Financial Statements'!G46-'Financial Statements'!F46</f>
        <v>95188</v>
      </c>
      <c r="K46" s="149">
        <f>J46/'Financial Statements'!F46</f>
        <v>0.13309786583106464</v>
      </c>
      <c r="L46" s="133">
        <f>'Financial Statements'!H46-'Financial Statements'!G46</f>
        <v>100707</v>
      </c>
      <c r="M46" s="149">
        <f>L46/'Financial Statements'!G46</f>
        <v>0.12427424320765683</v>
      </c>
      <c r="N46" s="133">
        <f>'Financial Statements'!I46-'Financial Statements'!H46</f>
        <v>-38576</v>
      </c>
      <c r="O46" s="149">
        <f>N46/'Financial Statements'!H46</f>
        <v>-4.234151567171715E-2</v>
      </c>
    </row>
    <row r="47" spans="1:15" x14ac:dyDescent="0.2">
      <c r="A47" s="7" t="s">
        <v>34</v>
      </c>
      <c r="B47" s="51">
        <f t="shared" ref="B47:N47" si="8">SUM(B40:B46)</f>
        <v>-1382952</v>
      </c>
      <c r="C47" s="138">
        <f>B47/'Financial Statements'!B47</f>
        <v>-0.20083814715368487</v>
      </c>
      <c r="D47" s="51">
        <f t="shared" si="8"/>
        <v>-802242</v>
      </c>
      <c r="E47" s="138">
        <f>D47/'Financial Statements'!C47</f>
        <v>-0.14578396209597361</v>
      </c>
      <c r="F47" s="51">
        <f t="shared" si="8"/>
        <v>-503923</v>
      </c>
      <c r="G47" s="138">
        <f>F47/'Financial Statements'!D47</f>
        <v>-0.10720148811594166</v>
      </c>
      <c r="H47" s="51">
        <f t="shared" si="8"/>
        <v>806158</v>
      </c>
      <c r="I47" s="138">
        <f>H47/'Financial Statements'!E47</f>
        <v>0.19208937505986723</v>
      </c>
      <c r="J47" s="51">
        <f t="shared" ref="J47:L47" si="9">SUM(J40:J46)</f>
        <v>265356</v>
      </c>
      <c r="K47" s="138">
        <f>J47/'Financial Statements'!F47</f>
        <v>5.3039970065625358E-2</v>
      </c>
      <c r="L47" s="51">
        <f t="shared" si="9"/>
        <v>111006</v>
      </c>
      <c r="M47" s="138">
        <f>L47/'Financial Statements'!G47</f>
        <v>2.1070554068674904E-2</v>
      </c>
      <c r="N47" s="51">
        <f t="shared" si="8"/>
        <v>2158831</v>
      </c>
      <c r="O47" s="138">
        <f>N47/'Financial Statements'!H47</f>
        <v>0.40132147158016296</v>
      </c>
    </row>
    <row r="48" spans="1:15" x14ac:dyDescent="0.2">
      <c r="A48" s="7"/>
      <c r="B48" s="47"/>
      <c r="C48" s="139"/>
      <c r="D48" s="47"/>
      <c r="E48" s="139"/>
      <c r="F48" s="47"/>
      <c r="G48" s="139"/>
      <c r="H48" s="47"/>
      <c r="I48" s="139"/>
      <c r="J48" s="47"/>
      <c r="K48" s="139"/>
      <c r="L48" s="47"/>
      <c r="M48" s="139"/>
      <c r="N48" s="47"/>
      <c r="O48" s="139"/>
    </row>
    <row r="49" spans="1:15" x14ac:dyDescent="0.2">
      <c r="A49" s="7" t="s">
        <v>51</v>
      </c>
      <c r="B49" s="64">
        <f>'Financial Statements'!C49-'Financial Statements'!B49</f>
        <v>-6580</v>
      </c>
      <c r="C49" s="138">
        <f>B49/'Financial Statements'!B49</f>
        <v>-7.9267243004575456E-4</v>
      </c>
      <c r="D49" s="64">
        <f>'Financial Statements'!D49-'Financial Statements'!C49</f>
        <v>-529303</v>
      </c>
      <c r="E49" s="138">
        <f>D49/'Financial Statements'!C49</f>
        <v>-6.3814093587606077E-2</v>
      </c>
      <c r="F49" s="64">
        <f>'Financial Statements'!E49-'Financial Statements'!D49</f>
        <v>1380857</v>
      </c>
      <c r="G49" s="138">
        <f>F49/'Financial Statements'!D49</f>
        <v>0.17782747274682395</v>
      </c>
      <c r="H49" s="64">
        <f>'Financial Statements'!F49-'Financial Statements'!E49</f>
        <v>-675810</v>
      </c>
      <c r="I49" s="138">
        <f>H49/'Financial Statements'!E49</f>
        <v>-7.3891262055670856E-2</v>
      </c>
      <c r="J49" s="64">
        <f>'Financial Statements'!G49-'Financial Statements'!F49</f>
        <v>1184763</v>
      </c>
      <c r="K49" s="138">
        <f>J49/'Financial Statements'!F49</f>
        <v>0.13987431461157279</v>
      </c>
      <c r="L49" s="64">
        <f>'Financial Statements'!H49-'Financial Statements'!G49</f>
        <v>-838012</v>
      </c>
      <c r="M49" s="138">
        <f>L49/'Financial Statements'!G49</f>
        <v>-8.6796009512209268E-2</v>
      </c>
      <c r="N49" s="64">
        <f>'Financial Statements'!I49-'Financial Statements'!H49</f>
        <v>-834596</v>
      </c>
      <c r="O49" s="138">
        <f>N49/'Financial Statements'!H49</f>
        <v>-9.4658151550854108E-2</v>
      </c>
    </row>
    <row r="50" spans="1:15" x14ac:dyDescent="0.2">
      <c r="A50" s="7" t="s">
        <v>9</v>
      </c>
      <c r="B50" s="47"/>
      <c r="C50" s="139"/>
      <c r="D50" s="47"/>
      <c r="E50" s="139"/>
      <c r="F50" s="47"/>
      <c r="G50" s="139"/>
      <c r="H50" s="47"/>
      <c r="I50" s="139"/>
      <c r="J50" s="47"/>
      <c r="K50" s="139"/>
      <c r="L50" s="47"/>
      <c r="M50" s="139"/>
      <c r="N50" s="47"/>
      <c r="O50" s="139"/>
    </row>
    <row r="51" spans="1:15" x14ac:dyDescent="0.2">
      <c r="A51" s="7" t="s">
        <v>93</v>
      </c>
      <c r="B51" s="64">
        <f>'Financial Statements'!C51-'Financial Statements'!B51</f>
        <v>3050473</v>
      </c>
      <c r="C51" s="138">
        <f>B51/'Financial Statements'!B51</f>
        <v>0.49722347821863161</v>
      </c>
      <c r="D51" s="64">
        <f>'Financial Statements'!D51-'Financial Statements'!C51</f>
        <v>1532266</v>
      </c>
      <c r="E51" s="138">
        <f>D51/'Financial Statements'!C51</f>
        <v>0.16681380094490364</v>
      </c>
      <c r="F51" s="64">
        <f>'Financial Statements'!E51-'Financial Statements'!D51</f>
        <v>-9445374</v>
      </c>
      <c r="G51" s="138">
        <f>F51/'Financial Statements'!D51</f>
        <v>-0.88128304505617927</v>
      </c>
      <c r="H51" s="64">
        <f>'Financial Statements'!F51-'Financial Statements'!E51</f>
        <v>2041280</v>
      </c>
      <c r="I51" s="138">
        <f>H51/'Financial Statements'!E51</f>
        <v>1.6043018628883374</v>
      </c>
      <c r="J51" s="64">
        <f>'Financial Statements'!G51-'Financial Statements'!F51</f>
        <v>-643826</v>
      </c>
      <c r="K51" s="138">
        <f>J51/'Financial Statements'!F51</f>
        <v>-0.19429458492862423</v>
      </c>
      <c r="L51" s="64">
        <f>'Financial Statements'!H51-'Financial Statements'!G51</f>
        <v>1154030</v>
      </c>
      <c r="M51" s="138">
        <f>L51/'Financial Statements'!G51</f>
        <v>0.43224800951969655</v>
      </c>
      <c r="N51" s="64">
        <f>'Financial Statements'!I51-'Financial Statements'!H51</f>
        <v>-451189</v>
      </c>
      <c r="O51" s="138">
        <f>N51/'Financial Statements'!H51</f>
        <v>-0.11799298248917391</v>
      </c>
    </row>
    <row r="52" spans="1:15" x14ac:dyDescent="0.2">
      <c r="A52" s="7" t="s">
        <v>94</v>
      </c>
      <c r="B52" s="64">
        <f>'Financial Statements'!C52-'Financial Statements'!B52</f>
        <v>94239</v>
      </c>
      <c r="C52" s="138">
        <f>B52/'Financial Statements'!B52</f>
        <v>5.2446919053075964E-3</v>
      </c>
      <c r="D52" s="64">
        <f>'Financial Statements'!D52-'Financial Statements'!C52</f>
        <v>605516</v>
      </c>
      <c r="E52" s="138">
        <f>D52/'Financial Statements'!C52</f>
        <v>3.3523020821038196E-2</v>
      </c>
      <c r="F52" s="64">
        <f>'Financial Statements'!E52-'Financial Statements'!D52</f>
        <v>558585</v>
      </c>
      <c r="G52" s="138">
        <f>F52/'Financial Statements'!D52</f>
        <v>2.9921725748931018E-2</v>
      </c>
      <c r="H52" s="64">
        <f>'Financial Statements'!F52-'Financial Statements'!E52</f>
        <v>994021</v>
      </c>
      <c r="I52" s="138">
        <f>H52/'Financial Statements'!E52</f>
        <v>5.1699781653653833E-2</v>
      </c>
      <c r="J52" s="64">
        <f>'Financial Statements'!G52-'Financial Statements'!F52</f>
        <v>1303822</v>
      </c>
      <c r="K52" s="138">
        <f>J52/'Financial Statements'!F52</f>
        <v>6.4479204447456959E-2</v>
      </c>
      <c r="L52" s="64">
        <f>'Financial Statements'!H52-'Financial Statements'!G52</f>
        <v>1567073</v>
      </c>
      <c r="M52" s="138">
        <f>L52/'Financial Statements'!G52</f>
        <v>7.2803693405082442E-2</v>
      </c>
      <c r="N52" s="64">
        <f>'Financial Statements'!I52-'Financial Statements'!H52</f>
        <v>2320531</v>
      </c>
      <c r="O52" s="138">
        <f>N52/'Financial Statements'!H52</f>
        <v>0.10049195579244481</v>
      </c>
    </row>
    <row r="53" spans="1:15" x14ac:dyDescent="0.2">
      <c r="A53" s="7" t="s">
        <v>152</v>
      </c>
      <c r="B53" s="64">
        <f>'Financial Statements'!C53-'Financial Statements'!B53</f>
        <v>0</v>
      </c>
      <c r="C53" s="138"/>
      <c r="D53" s="64">
        <f>'Financial Statements'!D53-'Financial Statements'!C53</f>
        <v>0</v>
      </c>
      <c r="E53" s="138"/>
      <c r="F53" s="64">
        <f>'Financial Statements'!E53-'Financial Statements'!D53</f>
        <v>0</v>
      </c>
      <c r="G53" s="138"/>
      <c r="H53" s="64">
        <f>'Financial Statements'!F53-'Financial Statements'!E53</f>
        <v>0</v>
      </c>
      <c r="I53" s="138"/>
      <c r="J53" s="64">
        <f>'Financial Statements'!G53-'Financial Statements'!F53</f>
        <v>0</v>
      </c>
      <c r="K53" s="138"/>
      <c r="L53" s="64">
        <f>'Financial Statements'!H53-'Financial Statements'!G53</f>
        <v>1131551</v>
      </c>
      <c r="M53" s="138"/>
      <c r="N53" s="64">
        <f>'Financial Statements'!I53-'Financial Statements'!H53</f>
        <v>-402382</v>
      </c>
      <c r="O53" s="138">
        <f>N53/'Financial Statements'!H53</f>
        <v>-0.35560217789564941</v>
      </c>
    </row>
    <row r="54" spans="1:15" x14ac:dyDescent="0.2">
      <c r="A54" s="7" t="s">
        <v>52</v>
      </c>
      <c r="B54" s="133">
        <f>'Financial Statements'!C54-'Financial Statements'!B54</f>
        <v>-20031</v>
      </c>
      <c r="C54" s="149">
        <f>B54/'Financial Statements'!B54</f>
        <v>-0.12765998126302505</v>
      </c>
      <c r="D54" s="133">
        <f>'Financial Statements'!D54-'Financial Statements'!C54</f>
        <v>-20031</v>
      </c>
      <c r="E54" s="149">
        <f>D54/'Financial Statements'!C54</f>
        <v>-0.14634199798360584</v>
      </c>
      <c r="F54" s="133">
        <f>'Financial Statements'!E54-'Financial Statements'!D54</f>
        <v>-20031</v>
      </c>
      <c r="G54" s="149">
        <f>F54/'Financial Statements'!D54</f>
        <v>-0.17142930498857481</v>
      </c>
      <c r="H54" s="133">
        <f>'Financial Statements'!F54-'Financial Statements'!E54</f>
        <v>-20031</v>
      </c>
      <c r="I54" s="149">
        <f>H54/'Financial Statements'!E54</f>
        <v>-0.20689762022806149</v>
      </c>
      <c r="J54" s="133">
        <f>'Financial Statements'!G54-'Financial Statements'!F54</f>
        <v>-20031</v>
      </c>
      <c r="K54" s="149">
        <f>J54/'Financial Statements'!F54</f>
        <v>-0.26087126391873411</v>
      </c>
      <c r="L54" s="133">
        <f>'Financial Statements'!H54-'Financial Statements'!G54</f>
        <v>-20031</v>
      </c>
      <c r="M54" s="149">
        <f>L54/'Financial Statements'!G54</f>
        <v>-0.35294428586531346</v>
      </c>
      <c r="N54" s="133">
        <f>'Financial Statements'!I54-'Financial Statements'!H54</f>
        <v>-20031</v>
      </c>
      <c r="O54" s="149">
        <f>N54/'Financial Statements'!H54</f>
        <v>-0.54546197206110614</v>
      </c>
    </row>
    <row r="55" spans="1:15" x14ac:dyDescent="0.2">
      <c r="A55" s="25" t="s">
        <v>53</v>
      </c>
      <c r="B55" s="51">
        <f t="shared" ref="B55:N55" si="10">SUM(B49:B54)</f>
        <v>3118101</v>
      </c>
      <c r="C55" s="138">
        <f>B55/'Financial Statements'!B55</f>
        <v>9.5760628786057747E-2</v>
      </c>
      <c r="D55" s="51">
        <f t="shared" si="10"/>
        <v>1588448</v>
      </c>
      <c r="E55" s="138">
        <f>D55/'Financial Statements'!C55</f>
        <v>4.4519893911099118E-2</v>
      </c>
      <c r="F55" s="51">
        <f t="shared" si="10"/>
        <v>-7525963</v>
      </c>
      <c r="G55" s="138">
        <f>F55/'Financial Statements'!D55</f>
        <v>-0.2019419201878461</v>
      </c>
      <c r="H55" s="51">
        <f t="shared" si="10"/>
        <v>2339460</v>
      </c>
      <c r="I55" s="138">
        <f>H55/'Financial Statements'!E55</f>
        <v>7.8658476003375027E-2</v>
      </c>
      <c r="J55" s="51">
        <f t="shared" ref="J55:L55" si="11">SUM(J49:J54)</f>
        <v>1824728</v>
      </c>
      <c r="K55" s="138">
        <f>J55/'Financial Statements'!F55</f>
        <v>5.6877968907582281E-2</v>
      </c>
      <c r="L55" s="51">
        <f t="shared" si="11"/>
        <v>2994611</v>
      </c>
      <c r="M55" s="138">
        <f>L55/'Financial Statements'!G55</f>
        <v>8.8320498948525117E-2</v>
      </c>
      <c r="N55" s="51">
        <f t="shared" si="10"/>
        <v>612333</v>
      </c>
      <c r="O55" s="138">
        <f>N55/'Financial Statements'!H55</f>
        <v>1.6594033179882253E-2</v>
      </c>
    </row>
    <row r="56" spans="1:15" x14ac:dyDescent="0.2">
      <c r="A56" s="25"/>
      <c r="B56" s="51"/>
      <c r="C56" s="140"/>
      <c r="D56" s="51"/>
      <c r="E56" s="140"/>
      <c r="F56" s="51"/>
      <c r="G56" s="140"/>
      <c r="H56" s="51"/>
      <c r="I56" s="140"/>
      <c r="J56" s="51"/>
      <c r="K56" s="140"/>
      <c r="L56" s="51"/>
      <c r="M56" s="140"/>
      <c r="N56" s="51"/>
      <c r="O56" s="140"/>
    </row>
    <row r="57" spans="1:15" x14ac:dyDescent="0.2">
      <c r="A57" s="7" t="s">
        <v>35</v>
      </c>
      <c r="B57" s="47">
        <f t="shared" ref="B57:N57" si="12">B55+B47</f>
        <v>1735149</v>
      </c>
      <c r="C57" s="138">
        <f>B57/'Financial Statements'!B57</f>
        <v>4.3986495201498138E-2</v>
      </c>
      <c r="D57" s="47">
        <f t="shared" si="12"/>
        <v>786206</v>
      </c>
      <c r="E57" s="138">
        <f>D57/'Financial Statements'!C57</f>
        <v>1.9090796929304443E-2</v>
      </c>
      <c r="F57" s="47">
        <f t="shared" si="12"/>
        <v>-8029886</v>
      </c>
      <c r="G57" s="138">
        <f>F57/'Financial Statements'!D57</f>
        <v>-0.19133049901251331</v>
      </c>
      <c r="H57" s="47">
        <f t="shared" si="12"/>
        <v>3145618</v>
      </c>
      <c r="I57" s="138">
        <f>H57/'Financial Statements'!E57</f>
        <v>9.2685061375657546E-2</v>
      </c>
      <c r="J57" s="47">
        <f t="shared" si="12"/>
        <v>2090084</v>
      </c>
      <c r="K57" s="138">
        <f>J57/'Financial Statements'!F57</f>
        <v>5.6360196102948845E-2</v>
      </c>
      <c r="L57" s="47">
        <f t="shared" si="12"/>
        <v>3105617</v>
      </c>
      <c r="M57" s="138">
        <f>L57/'Financial Statements'!G57</f>
        <v>7.9276528039948863E-2</v>
      </c>
      <c r="N57" s="47">
        <f t="shared" si="12"/>
        <v>2771164</v>
      </c>
      <c r="O57" s="138">
        <f>N57/'Financial Statements'!H57</f>
        <v>6.554298594374186E-2</v>
      </c>
    </row>
    <row r="58" spans="1:15" x14ac:dyDescent="0.2">
      <c r="A58" s="7"/>
      <c r="B58" s="47"/>
      <c r="C58" s="139"/>
      <c r="D58" s="47"/>
      <c r="E58" s="139"/>
      <c r="F58" s="47"/>
      <c r="G58" s="139"/>
      <c r="H58" s="47"/>
      <c r="I58" s="139"/>
      <c r="J58" s="47"/>
      <c r="K58" s="139"/>
      <c r="L58" s="47"/>
      <c r="M58" s="139"/>
      <c r="N58" s="47"/>
      <c r="O58" s="139"/>
    </row>
    <row r="59" spans="1:15" x14ac:dyDescent="0.2">
      <c r="A59" s="7" t="s">
        <v>84</v>
      </c>
      <c r="B59" s="47"/>
      <c r="C59" s="139"/>
      <c r="D59" s="47"/>
      <c r="E59" s="139"/>
      <c r="F59" s="47"/>
      <c r="G59" s="139"/>
      <c r="H59" s="47"/>
      <c r="I59" s="139"/>
      <c r="J59" s="47"/>
      <c r="K59" s="139"/>
      <c r="L59" s="47"/>
      <c r="M59" s="139"/>
      <c r="N59" s="47"/>
      <c r="O59" s="139"/>
    </row>
    <row r="60" spans="1:15" x14ac:dyDescent="0.2">
      <c r="A60" s="7"/>
      <c r="B60" s="47"/>
      <c r="C60" s="139"/>
      <c r="D60" s="47"/>
      <c r="E60" s="139"/>
      <c r="F60" s="47"/>
      <c r="G60" s="139"/>
      <c r="H60" s="47"/>
      <c r="I60" s="139"/>
      <c r="J60" s="47"/>
      <c r="K60" s="139"/>
      <c r="L60" s="47"/>
      <c r="M60" s="139"/>
      <c r="N60" s="47"/>
      <c r="O60" s="139"/>
    </row>
    <row r="61" spans="1:15" x14ac:dyDescent="0.2">
      <c r="A61" s="8" t="s">
        <v>55</v>
      </c>
      <c r="B61" s="47"/>
      <c r="C61" s="139"/>
      <c r="D61" s="47"/>
      <c r="E61" s="139"/>
      <c r="F61" s="47"/>
      <c r="G61" s="139"/>
      <c r="H61" s="47"/>
      <c r="I61" s="139"/>
      <c r="J61" s="47"/>
      <c r="K61" s="139"/>
      <c r="L61" s="47"/>
      <c r="M61" s="139"/>
      <c r="N61" s="47"/>
      <c r="O61" s="139"/>
    </row>
    <row r="62" spans="1:15" x14ac:dyDescent="0.2">
      <c r="A62" s="7" t="s">
        <v>92</v>
      </c>
      <c r="B62" s="64">
        <f>'Financial Statements'!C62-'Financial Statements'!B62</f>
        <v>0</v>
      </c>
      <c r="C62" s="138">
        <f>B62/'Financial Statements'!B62</f>
        <v>0</v>
      </c>
      <c r="D62" s="64">
        <f>'Financial Statements'!D62-'Financial Statements'!C62</f>
        <v>0</v>
      </c>
      <c r="E62" s="138">
        <f>D62/'Financial Statements'!C62</f>
        <v>0</v>
      </c>
      <c r="F62" s="64">
        <f>'Financial Statements'!E62-'Financial Statements'!D62</f>
        <v>0</v>
      </c>
      <c r="G62" s="138">
        <f>F62/'Financial Statements'!D62</f>
        <v>0</v>
      </c>
      <c r="H62" s="64">
        <f>'Financial Statements'!F62-'Financial Statements'!E62</f>
        <v>0</v>
      </c>
      <c r="I62" s="138">
        <f>H62/'Financial Statements'!E62</f>
        <v>0</v>
      </c>
      <c r="J62" s="64">
        <f>'Financial Statements'!G62-'Financial Statements'!F62</f>
        <v>0</v>
      </c>
      <c r="K62" s="138">
        <f>J62/'Financial Statements'!F62</f>
        <v>0</v>
      </c>
      <c r="L62" s="64">
        <f>'Financial Statements'!H62-'Financial Statements'!G62</f>
        <v>0</v>
      </c>
      <c r="M62" s="138">
        <f>L62/'Financial Statements'!G62</f>
        <v>0</v>
      </c>
      <c r="N62" s="64">
        <f>'Financial Statements'!I62-'Financial Statements'!H62</f>
        <v>0</v>
      </c>
      <c r="O62" s="138">
        <f>N62/'Financial Statements'!H62</f>
        <v>0</v>
      </c>
    </row>
    <row r="63" spans="1:15" x14ac:dyDescent="0.2">
      <c r="A63" s="22" t="s">
        <v>70</v>
      </c>
      <c r="B63" s="64">
        <f>'Financial Statements'!C63-'Financial Statements'!B63</f>
        <v>296809</v>
      </c>
      <c r="C63" s="138">
        <f>B63/'Financial Statements'!B63</f>
        <v>3.681204918079551E-2</v>
      </c>
      <c r="D63" s="64">
        <f>'Financial Statements'!D63-'Financial Statements'!C63</f>
        <v>748305</v>
      </c>
      <c r="E63" s="138">
        <f>D63/'Financial Statements'!C63</f>
        <v>8.9514118505948412E-2</v>
      </c>
      <c r="F63" s="64">
        <f>'Financial Statements'!E63-'Financial Statements'!D63</f>
        <v>1153546</v>
      </c>
      <c r="G63" s="138">
        <f>F63/'Financial Statements'!D63</f>
        <v>0.12665284428876092</v>
      </c>
      <c r="H63" s="64">
        <f>'Financial Statements'!F63-'Financial Statements'!E63</f>
        <v>693478</v>
      </c>
      <c r="I63" s="138">
        <f>H63/'Financial Statements'!E63</f>
        <v>6.7580686688336056E-2</v>
      </c>
      <c r="J63" s="64">
        <f>'Financial Statements'!G63-'Financial Statements'!F63</f>
        <v>448023</v>
      </c>
      <c r="K63" s="138">
        <f>J63/'Financial Statements'!F63</f>
        <v>4.0896817514623512E-2</v>
      </c>
      <c r="L63" s="64">
        <f>'Financial Statements'!H63-'Financial Statements'!G63</f>
        <v>749520</v>
      </c>
      <c r="M63" s="138">
        <f>L63/'Financial Statements'!G63</f>
        <v>6.5730169026823951E-2</v>
      </c>
      <c r="N63" s="64">
        <f>'Financial Statements'!I63-'Financial Statements'!H63</f>
        <v>1436428</v>
      </c>
      <c r="O63" s="138">
        <f>N63/'Financial Statements'!H63</f>
        <v>0.11820017653976304</v>
      </c>
    </row>
    <row r="64" spans="1:15" x14ac:dyDescent="0.2">
      <c r="A64" s="22" t="s">
        <v>151</v>
      </c>
      <c r="B64" s="133">
        <f>'Financial Statements'!C64-'Financial Statements'!B64</f>
        <v>1076369</v>
      </c>
      <c r="C64" s="149">
        <f>B64/'Financial Statements'!B64</f>
        <v>0.12251169409164535</v>
      </c>
      <c r="D64" s="133">
        <f>'Financial Statements'!D64-'Financial Statements'!C64</f>
        <v>1153546</v>
      </c>
      <c r="E64" s="149">
        <f>D64/'Financial Statements'!C64</f>
        <v>0.11696620718913478</v>
      </c>
      <c r="F64" s="133">
        <f>'Financial Statements'!E64-'Financial Statements'!D64</f>
        <v>-118944</v>
      </c>
      <c r="G64" s="149">
        <f>F64/'Financial Statements'!D64</f>
        <v>-1.0797618902804907E-2</v>
      </c>
      <c r="H64" s="133">
        <f>'Financial Statements'!F64-'Financial Statements'!E64</f>
        <v>-9413</v>
      </c>
      <c r="I64" s="149">
        <f>H64/'Financial Statements'!E64</f>
        <v>-8.638301566567414E-4</v>
      </c>
      <c r="J64" s="133">
        <f>'Financial Statements'!G64-'Financial Statements'!F64</f>
        <v>343727</v>
      </c>
      <c r="K64" s="149">
        <f>J64/'Financial Statements'!F64</f>
        <v>3.1571067669476795E-2</v>
      </c>
      <c r="L64" s="133">
        <f>'Financial Statements'!H64-'Financial Statements'!G64</f>
        <v>67516</v>
      </c>
      <c r="M64" s="149">
        <f>L64/'Financial Statements'!G64</f>
        <v>6.0115044503083036E-3</v>
      </c>
      <c r="N64" s="133">
        <f>'Financial Statements'!I64-'Financial Statements'!H64</f>
        <v>-1410466</v>
      </c>
      <c r="O64" s="149">
        <f>N64/'Financial Statements'!H64</f>
        <v>-0.12483493600296248</v>
      </c>
    </row>
    <row r="65" spans="1:15" x14ac:dyDescent="0.2">
      <c r="A65" s="7" t="s">
        <v>77</v>
      </c>
      <c r="B65" s="62">
        <f t="shared" ref="B65:N65" si="13">SUM(B61:B64)</f>
        <v>1373178</v>
      </c>
      <c r="C65" s="152">
        <f>B65/'Financial Statements'!B65</f>
        <v>8.1459126463226769E-2</v>
      </c>
      <c r="D65" s="62">
        <f t="shared" si="13"/>
        <v>1901851</v>
      </c>
      <c r="E65" s="152">
        <f>D65/'Financial Statements'!C65</f>
        <v>0.10432281345674449</v>
      </c>
      <c r="F65" s="62">
        <f t="shared" si="13"/>
        <v>1034602</v>
      </c>
      <c r="G65" s="152">
        <f>F65/'Financial Statements'!D65</f>
        <v>5.1390171998788217E-2</v>
      </c>
      <c r="H65" s="62">
        <f t="shared" si="13"/>
        <v>684065</v>
      </c>
      <c r="I65" s="152">
        <f>H65/'Financial Statements'!E65</f>
        <v>3.2317682872239885E-2</v>
      </c>
      <c r="J65" s="62">
        <f t="shared" ref="J65:L65" si="14">SUM(J61:J64)</f>
        <v>791750</v>
      </c>
      <c r="K65" s="152">
        <f>J65/'Financial Statements'!F65</f>
        <v>3.6234105961477206E-2</v>
      </c>
      <c r="L65" s="62">
        <f t="shared" si="14"/>
        <v>817036</v>
      </c>
      <c r="M65" s="152">
        <f>L65/'Financial Statements'!G65</f>
        <v>3.6083843320874574E-2</v>
      </c>
      <c r="N65" s="62">
        <f t="shared" si="13"/>
        <v>25962</v>
      </c>
      <c r="O65" s="152">
        <f>N65/'Financial Statements'!H65</f>
        <v>1.1066615981264248E-3</v>
      </c>
    </row>
    <row r="66" spans="1:15" ht="13.5" thickBot="1" x14ac:dyDescent="0.25">
      <c r="A66" s="7" t="s">
        <v>36</v>
      </c>
      <c r="B66" s="63">
        <f t="shared" ref="B66:N66" si="15">B65+B57+B59</f>
        <v>3108327</v>
      </c>
      <c r="C66" s="155">
        <f>B66/'Financial Statements'!B66</f>
        <v>5.5205584000845687E-2</v>
      </c>
      <c r="D66" s="63">
        <f t="shared" si="15"/>
        <v>2688057</v>
      </c>
      <c r="E66" s="155">
        <f>D66/'Financial Statements'!C66</f>
        <v>4.5243656920787058E-2</v>
      </c>
      <c r="F66" s="63">
        <f t="shared" si="15"/>
        <v>-6995284</v>
      </c>
      <c r="G66" s="155">
        <f>F66/'Financial Statements'!D66</f>
        <v>-0.11264373368785281</v>
      </c>
      <c r="H66" s="63">
        <f t="shared" si="15"/>
        <v>3829683</v>
      </c>
      <c r="I66" s="155">
        <f>H66/'Financial Statements'!E66</f>
        <v>6.9497069594065042E-2</v>
      </c>
      <c r="J66" s="63">
        <f t="shared" si="15"/>
        <v>2881834</v>
      </c>
      <c r="K66" s="155">
        <f>J66/'Financial Statements'!F66</f>
        <v>4.8898217452107144E-2</v>
      </c>
      <c r="L66" s="63">
        <f t="shared" si="15"/>
        <v>3922653</v>
      </c>
      <c r="M66" s="155">
        <f>L66/'Financial Statements'!G66</f>
        <v>6.3455695893535641E-2</v>
      </c>
      <c r="N66" s="63">
        <f t="shared" si="15"/>
        <v>2797126</v>
      </c>
      <c r="O66" s="155">
        <f>N66/'Financial Statements'!H66</f>
        <v>4.254841120254526E-2</v>
      </c>
    </row>
    <row r="67" spans="1:15" ht="13.5" thickTop="1" x14ac:dyDescent="0.2">
      <c r="A67" s="2"/>
      <c r="B67" s="65">
        <f t="shared" ref="B67" si="16">+B66-B38</f>
        <v>0</v>
      </c>
      <c r="C67" s="141"/>
      <c r="D67" s="65">
        <f>+D66-D38</f>
        <v>0</v>
      </c>
      <c r="E67" s="141"/>
      <c r="F67" s="65">
        <f>+F66-F38</f>
        <v>0</v>
      </c>
      <c r="G67" s="141"/>
      <c r="H67" s="65">
        <f>+H66-H38</f>
        <v>0</v>
      </c>
      <c r="I67" s="141"/>
      <c r="J67" s="65">
        <f t="shared" ref="J67:L67" si="17">+J66-J38</f>
        <v>0</v>
      </c>
      <c r="K67" s="141"/>
      <c r="L67" s="65">
        <f t="shared" si="17"/>
        <v>0</v>
      </c>
      <c r="M67" s="65"/>
      <c r="N67" s="65">
        <f>+N66-N38</f>
        <v>0</v>
      </c>
      <c r="O67" s="141"/>
    </row>
    <row r="68" spans="1:15" x14ac:dyDescent="0.2">
      <c r="A68" s="7"/>
      <c r="B68" s="7"/>
      <c r="C68" s="19"/>
      <c r="D68" s="7"/>
      <c r="E68" s="19"/>
      <c r="F68" s="7"/>
      <c r="G68" s="19"/>
      <c r="H68" s="7"/>
      <c r="I68" s="19"/>
      <c r="J68" s="7"/>
      <c r="K68" s="19"/>
      <c r="L68" s="7"/>
      <c r="M68" s="7"/>
      <c r="N68" s="7"/>
      <c r="O68" s="19"/>
    </row>
    <row r="69" spans="1:15" x14ac:dyDescent="0.2">
      <c r="A69" s="7"/>
      <c r="B69" s="7"/>
      <c r="C69" s="19"/>
      <c r="D69" s="7"/>
      <c r="E69" s="19"/>
      <c r="F69" s="7"/>
      <c r="G69" s="19"/>
      <c r="H69" s="7"/>
      <c r="I69" s="19"/>
      <c r="J69" s="7"/>
      <c r="K69" s="19"/>
      <c r="L69" s="7"/>
      <c r="M69" s="7"/>
      <c r="N69" s="7"/>
      <c r="O69" s="19"/>
    </row>
    <row r="70" spans="1:15" ht="18" x14ac:dyDescent="0.25">
      <c r="A70" s="30" t="str">
        <f>A3</f>
        <v>Dixie Escalante Rural Electric Association, Inc</v>
      </c>
      <c r="B70" s="9"/>
      <c r="C70" s="10"/>
      <c r="D70" s="9"/>
      <c r="E70" s="10"/>
      <c r="F70" s="9"/>
      <c r="G70" s="10"/>
      <c r="H70" s="9"/>
      <c r="I70" s="10"/>
      <c r="J70" s="9"/>
      <c r="K70" s="10"/>
      <c r="L70" s="9"/>
      <c r="M70" s="9"/>
      <c r="N70" s="9"/>
      <c r="O70" s="10"/>
    </row>
    <row r="71" spans="1:15" ht="15.75" x14ac:dyDescent="0.25">
      <c r="A71" s="31" t="s">
        <v>156</v>
      </c>
      <c r="B71" s="9"/>
      <c r="C71" s="10"/>
      <c r="D71" s="9"/>
      <c r="E71" s="10"/>
      <c r="F71" s="9"/>
      <c r="G71" s="10"/>
      <c r="H71" s="9"/>
      <c r="I71" s="10"/>
      <c r="J71" s="9"/>
      <c r="K71" s="10"/>
      <c r="L71" s="9"/>
      <c r="M71" s="9"/>
      <c r="N71" s="9"/>
      <c r="O71" s="10"/>
    </row>
    <row r="72" spans="1:15" ht="15.75" x14ac:dyDescent="0.25">
      <c r="A72" s="32" t="str">
        <f>A5</f>
        <v>Years Ended December 31</v>
      </c>
      <c r="B72" s="9"/>
      <c r="C72" s="10"/>
      <c r="D72" s="9"/>
      <c r="E72" s="10"/>
      <c r="F72" s="9"/>
      <c r="G72" s="10"/>
      <c r="H72" s="9"/>
      <c r="I72" s="10"/>
      <c r="J72" s="9"/>
      <c r="K72" s="10"/>
      <c r="L72" s="9"/>
      <c r="M72" s="9"/>
      <c r="N72" s="9"/>
      <c r="O72" s="10"/>
    </row>
    <row r="73" spans="1:15" ht="15.75" x14ac:dyDescent="0.25">
      <c r="A73" s="31"/>
      <c r="B73" s="9"/>
      <c r="C73" s="10"/>
      <c r="D73" s="9"/>
      <c r="E73" s="10"/>
      <c r="F73" s="9"/>
      <c r="G73" s="10"/>
      <c r="H73" s="9"/>
      <c r="I73" s="10"/>
      <c r="J73" s="9"/>
      <c r="K73" s="10"/>
      <c r="L73" s="9"/>
      <c r="M73" s="9"/>
      <c r="N73" s="9"/>
      <c r="O73" s="10"/>
    </row>
    <row r="74" spans="1:15" x14ac:dyDescent="0.2">
      <c r="A74" s="52"/>
      <c r="B74" s="52"/>
      <c r="C74" s="142"/>
      <c r="D74" s="54"/>
      <c r="E74" s="142"/>
      <c r="F74" s="54"/>
      <c r="G74" s="142"/>
      <c r="H74" s="54"/>
      <c r="I74" s="142"/>
      <c r="J74" s="54"/>
      <c r="K74" s="142"/>
      <c r="L74" s="54"/>
      <c r="M74" s="52"/>
      <c r="N74" s="54"/>
      <c r="O74" s="142"/>
    </row>
    <row r="75" spans="1:15" x14ac:dyDescent="0.2">
      <c r="A75" s="52"/>
      <c r="B75" s="54"/>
      <c r="C75" s="55"/>
      <c r="D75" s="54"/>
      <c r="E75" s="55"/>
      <c r="F75" s="54"/>
      <c r="G75" s="55"/>
      <c r="H75" s="54"/>
      <c r="I75" s="55"/>
      <c r="J75" s="54"/>
      <c r="K75" s="55"/>
      <c r="L75" s="54"/>
      <c r="M75" s="54"/>
      <c r="N75" s="54"/>
      <c r="O75" s="55"/>
    </row>
    <row r="76" spans="1:15" x14ac:dyDescent="0.2">
      <c r="A76" s="56" t="s">
        <v>0</v>
      </c>
      <c r="B76" s="53" t="str">
        <f t="shared" ref="B76:N76" si="18">+B9</f>
        <v>$ Amt Chg</v>
      </c>
      <c r="C76" s="143"/>
      <c r="D76" s="53" t="str">
        <f t="shared" si="18"/>
        <v>$ Amt Chg</v>
      </c>
      <c r="E76" s="143"/>
      <c r="F76" s="53" t="str">
        <f t="shared" si="18"/>
        <v>$ Amt Chg</v>
      </c>
      <c r="G76" s="143"/>
      <c r="H76" s="53" t="str">
        <f t="shared" si="18"/>
        <v>$ Amt Chg</v>
      </c>
      <c r="I76" s="143"/>
      <c r="J76" s="53" t="str">
        <f t="shared" si="18"/>
        <v>$ Amt Chg</v>
      </c>
      <c r="K76" s="143"/>
      <c r="L76" s="53" t="str">
        <f t="shared" si="18"/>
        <v>$ Amt Chg</v>
      </c>
      <c r="M76" s="53"/>
      <c r="N76" s="53" t="str">
        <f t="shared" si="18"/>
        <v>$ Amt Chg</v>
      </c>
      <c r="O76" s="143"/>
    </row>
    <row r="77" spans="1:15" x14ac:dyDescent="0.2">
      <c r="A77" s="7"/>
      <c r="B77" s="24"/>
      <c r="C77" s="144"/>
      <c r="D77" s="24"/>
      <c r="E77" s="144"/>
      <c r="F77" s="25"/>
      <c r="G77" s="144"/>
      <c r="H77" s="25"/>
      <c r="I77" s="144"/>
      <c r="J77" s="25"/>
      <c r="K77" s="144"/>
      <c r="L77" s="25"/>
      <c r="M77" s="24"/>
      <c r="N77" s="25"/>
      <c r="O77" s="144"/>
    </row>
    <row r="78" spans="1:15" x14ac:dyDescent="0.2">
      <c r="A78" s="7" t="s">
        <v>71</v>
      </c>
      <c r="B78" s="64">
        <f>'Financial Statements'!C78-'Financial Statements'!B78</f>
        <v>196144</v>
      </c>
      <c r="C78" s="138">
        <f>B78/'Financial Statements'!B78</f>
        <v>9.659930019878445E-3</v>
      </c>
      <c r="D78" s="64">
        <f>'Financial Statements'!D78-'Financial Statements'!C78</f>
        <v>240251</v>
      </c>
      <c r="E78" s="138">
        <f>D78/'Financial Statements'!C78</f>
        <v>1.1718959021275639E-2</v>
      </c>
      <c r="F78" s="64">
        <f>'Financial Statements'!E78-'Financial Statements'!D78</f>
        <v>72985</v>
      </c>
      <c r="G78" s="138">
        <f>F78/'Financial Statements'!D78</f>
        <v>3.5188240816488685E-3</v>
      </c>
      <c r="H78" s="64">
        <f>'Financial Statements'!F78-'Financial Statements'!E78</f>
        <v>1932565</v>
      </c>
      <c r="I78" s="138">
        <f>H78/'Financial Statements'!E78</f>
        <v>9.2847994951929413E-2</v>
      </c>
      <c r="J78" s="64">
        <f>'Financial Statements'!G78-'Financial Statements'!F78</f>
        <v>1633781</v>
      </c>
      <c r="K78" s="138">
        <f>J78/'Financial Statements'!F78</f>
        <v>7.1824481750311489E-2</v>
      </c>
      <c r="L78" s="64">
        <f>'Financial Statements'!H78-'Financial Statements'!G78</f>
        <v>360392</v>
      </c>
      <c r="M78" s="136">
        <f>L78/'Financial Statements'!G78</f>
        <v>1.478189554948015E-2</v>
      </c>
      <c r="N78" s="64">
        <f>'Financial Statements'!I78-'Financial Statements'!H78</f>
        <v>1307421</v>
      </c>
      <c r="O78" s="138">
        <f>N78/'Financial Statements'!H78</f>
        <v>5.2844249351492158E-2</v>
      </c>
    </row>
    <row r="79" spans="1:15" x14ac:dyDescent="0.2">
      <c r="A79" s="7"/>
      <c r="B79" s="67"/>
      <c r="C79" s="147"/>
      <c r="D79" s="72"/>
      <c r="E79" s="147"/>
      <c r="F79" s="72"/>
      <c r="G79" s="147"/>
      <c r="H79" s="72"/>
      <c r="I79" s="147"/>
      <c r="J79" s="72"/>
      <c r="K79" s="147"/>
      <c r="L79" s="72"/>
      <c r="M79" s="148"/>
      <c r="N79" s="72"/>
      <c r="O79" s="147"/>
    </row>
    <row r="80" spans="1:15" x14ac:dyDescent="0.2">
      <c r="A80" s="7" t="s">
        <v>45</v>
      </c>
      <c r="B80" s="68">
        <f t="shared" ref="B80:N80" si="19">SUM(B77:B79)</f>
        <v>196144</v>
      </c>
      <c r="C80" s="138">
        <f>B80/'Financial Statements'!B80</f>
        <v>9.659930019878445E-3</v>
      </c>
      <c r="D80" s="66">
        <f t="shared" si="19"/>
        <v>240251</v>
      </c>
      <c r="E80" s="138">
        <f>D80/'Financial Statements'!C80</f>
        <v>1.1718959021275639E-2</v>
      </c>
      <c r="F80" s="66">
        <f t="shared" si="19"/>
        <v>72985</v>
      </c>
      <c r="G80" s="138">
        <f>F80/'Financial Statements'!D80</f>
        <v>3.5188240816488685E-3</v>
      </c>
      <c r="H80" s="66">
        <f t="shared" si="19"/>
        <v>1932565</v>
      </c>
      <c r="I80" s="138">
        <f>H80/'Financial Statements'!E80</f>
        <v>9.2847994951929413E-2</v>
      </c>
      <c r="J80" s="66">
        <f t="shared" ref="J80:L80" si="20">SUM(J77:J79)</f>
        <v>1633781</v>
      </c>
      <c r="K80" s="138">
        <f>J80/'Financial Statements'!F80</f>
        <v>7.1824481750311489E-2</v>
      </c>
      <c r="L80" s="66">
        <f t="shared" si="20"/>
        <v>360392</v>
      </c>
      <c r="M80" s="136">
        <f>L80/'Financial Statements'!G80</f>
        <v>1.478189554948015E-2</v>
      </c>
      <c r="N80" s="66">
        <f t="shared" si="19"/>
        <v>1307421</v>
      </c>
      <c r="O80" s="138">
        <f>N80/'Financial Statements'!H80</f>
        <v>5.2844249351492158E-2</v>
      </c>
    </row>
    <row r="81" spans="1:15" x14ac:dyDescent="0.2">
      <c r="A81" s="7"/>
      <c r="B81" s="67"/>
      <c r="C81" s="145"/>
      <c r="D81" s="66"/>
      <c r="E81" s="145"/>
      <c r="F81" s="66"/>
      <c r="G81" s="145"/>
      <c r="H81" s="66"/>
      <c r="I81" s="145"/>
      <c r="J81" s="66"/>
      <c r="K81" s="145"/>
      <c r="L81" s="66"/>
      <c r="M81" s="67"/>
      <c r="N81" s="66"/>
      <c r="O81" s="145"/>
    </row>
    <row r="82" spans="1:15" x14ac:dyDescent="0.2">
      <c r="A82" s="7" t="s">
        <v>18</v>
      </c>
      <c r="B82" s="67"/>
      <c r="C82" s="145"/>
      <c r="D82" s="66"/>
      <c r="E82" s="145"/>
      <c r="F82" s="66"/>
      <c r="G82" s="145"/>
      <c r="H82" s="66"/>
      <c r="I82" s="145"/>
      <c r="J82" s="66"/>
      <c r="K82" s="145"/>
      <c r="L82" s="66"/>
      <c r="M82" s="67"/>
      <c r="N82" s="66"/>
      <c r="O82" s="145"/>
    </row>
    <row r="83" spans="1:15" x14ac:dyDescent="0.2">
      <c r="A83" s="37" t="s">
        <v>75</v>
      </c>
      <c r="B83" s="64">
        <f>'Financial Statements'!C83-'Financial Statements'!B83</f>
        <v>205868</v>
      </c>
      <c r="C83" s="138">
        <f>B83/'Financial Statements'!B83</f>
        <v>1.657806612044762E-2</v>
      </c>
      <c r="D83" s="64">
        <f>'Financial Statements'!D83-'Financial Statements'!C83</f>
        <v>-500178</v>
      </c>
      <c r="E83" s="138">
        <f>D83/'Financial Statements'!C83</f>
        <v>-3.9621313845739248E-2</v>
      </c>
      <c r="F83" s="64">
        <f>'Financial Statements'!E83-'Financial Statements'!D83</f>
        <v>824143</v>
      </c>
      <c r="G83" s="138">
        <f>F83/'Financial Statements'!D83</f>
        <v>6.7977368453828568E-2</v>
      </c>
      <c r="H83" s="64">
        <f>'Financial Statements'!F83-'Financial Statements'!E83</f>
        <v>1214604</v>
      </c>
      <c r="I83" s="138">
        <f>H83/'Financial Statements'!E83</f>
        <v>9.3806823763616848E-2</v>
      </c>
      <c r="J83" s="64">
        <f>'Financial Statements'!G83-'Financial Statements'!F83</f>
        <v>310706</v>
      </c>
      <c r="K83" s="138">
        <f>J83/'Financial Statements'!F83</f>
        <v>2.1938591206713601E-2</v>
      </c>
      <c r="L83" s="64">
        <f>'Financial Statements'!H83-'Financial Statements'!G83</f>
        <v>-238982</v>
      </c>
      <c r="M83" s="136">
        <f>L83/'Financial Statements'!G83</f>
        <v>-1.6511992686087246E-2</v>
      </c>
      <c r="N83" s="64">
        <f>'Financial Statements'!I83-'Financial Statements'!H83</f>
        <v>2852512</v>
      </c>
      <c r="O83" s="138">
        <f>N83/'Financial Statements'!H83</f>
        <v>0.20039768850581302</v>
      </c>
    </row>
    <row r="84" spans="1:15" x14ac:dyDescent="0.2">
      <c r="A84" s="37" t="s">
        <v>78</v>
      </c>
      <c r="B84" s="64">
        <f>'Financial Statements'!C84-'Financial Statements'!B84</f>
        <v>-5033</v>
      </c>
      <c r="C84" s="138">
        <f>B84/'Financial Statements'!B84</f>
        <v>-2.8880191103891222E-3</v>
      </c>
      <c r="D84" s="64">
        <f>'Financial Statements'!D84-'Financial Statements'!C84</f>
        <v>94987</v>
      </c>
      <c r="E84" s="138">
        <f>D84/'Financial Statements'!C84</f>
        <v>5.4662988207292006E-2</v>
      </c>
      <c r="F84" s="64">
        <f>'Financial Statements'!E84-'Financial Statements'!D84</f>
        <v>-17153</v>
      </c>
      <c r="G84" s="138">
        <f>F84/'Financial Statements'!D84</f>
        <v>-9.3595631730954438E-3</v>
      </c>
      <c r="H84" s="64">
        <f>'Financial Statements'!F84-'Financial Statements'!E84</f>
        <v>124053</v>
      </c>
      <c r="I84" s="138">
        <f>H84/'Financial Statements'!E84</f>
        <v>6.8329259197650483E-2</v>
      </c>
      <c r="J84" s="64">
        <f>'Financial Statements'!G84-'Financial Statements'!F84</f>
        <v>188253</v>
      </c>
      <c r="K84" s="138">
        <f>J84/'Financial Statements'!F84</f>
        <v>9.7059091933216157E-2</v>
      </c>
      <c r="L84" s="64">
        <f>'Financial Statements'!H84-'Financial Statements'!G84</f>
        <v>107607</v>
      </c>
      <c r="M84" s="136">
        <f>L84/'Financial Statements'!G84</f>
        <v>5.0571381843611124E-2</v>
      </c>
      <c r="N84" s="64">
        <f>'Financial Statements'!I84-'Financial Statements'!H84</f>
        <v>-29771</v>
      </c>
      <c r="O84" s="138">
        <f>N84/'Financial Statements'!H84</f>
        <v>-1.3317789723771388E-2</v>
      </c>
    </row>
    <row r="85" spans="1:15" x14ac:dyDescent="0.2">
      <c r="A85" s="38" t="s">
        <v>61</v>
      </c>
      <c r="B85" s="64">
        <f>'Financial Statements'!C85-'Financial Statements'!B85</f>
        <v>-44483</v>
      </c>
      <c r="C85" s="138">
        <f>B85/'Financial Statements'!B85</f>
        <v>-2.1614590419473587E-2</v>
      </c>
      <c r="D85" s="64">
        <f>'Financial Statements'!D85-'Financial Statements'!C85</f>
        <v>-180</v>
      </c>
      <c r="E85" s="138">
        <f>D85/'Financial Statements'!C85</f>
        <v>-8.9395463180243597E-5</v>
      </c>
      <c r="F85" s="64">
        <f>'Financial Statements'!E85-'Financial Statements'!D85</f>
        <v>76882</v>
      </c>
      <c r="G85" s="138">
        <f>F85/'Financial Statements'!D85</f>
        <v>3.8186202563395742E-2</v>
      </c>
      <c r="H85" s="64">
        <f>'Financial Statements'!F85-'Financial Statements'!E85</f>
        <v>356544</v>
      </c>
      <c r="I85" s="138">
        <f>H85/'Financial Statements'!E85</f>
        <v>0.17057668856062044</v>
      </c>
      <c r="J85" s="64">
        <f>'Financial Statements'!G85-'Financial Statements'!F85</f>
        <v>175994</v>
      </c>
      <c r="K85" s="138">
        <f>J85/'Financial Statements'!F85</f>
        <v>7.1929085312847016E-2</v>
      </c>
      <c r="L85" s="64">
        <f>'Financial Statements'!H85-'Financial Statements'!G85</f>
        <v>326327</v>
      </c>
      <c r="M85" s="136">
        <f>L85/'Financial Statements'!G85</f>
        <v>0.1244209831990285</v>
      </c>
      <c r="N85" s="64">
        <f>'Financial Statements'!I85-'Financial Statements'!H85</f>
        <v>-11146</v>
      </c>
      <c r="O85" s="138">
        <f>N85/'Financial Statements'!H85</f>
        <v>-3.7794683923051569E-3</v>
      </c>
    </row>
    <row r="86" spans="1:15" x14ac:dyDescent="0.2">
      <c r="A86" s="39" t="s">
        <v>41</v>
      </c>
      <c r="B86" s="64">
        <f>'Financial Statements'!C86-'Financial Statements'!B86</f>
        <v>28915</v>
      </c>
      <c r="C86" s="138">
        <f>B86/'Financial Statements'!B86</f>
        <v>2.0649589007834205E-2</v>
      </c>
      <c r="D86" s="64">
        <f>'Financial Statements'!D86-'Financial Statements'!C86</f>
        <v>58274</v>
      </c>
      <c r="E86" s="138">
        <f>D86/'Financial Statements'!C86</f>
        <v>4.0774287443543E-2</v>
      </c>
      <c r="F86" s="64">
        <f>'Financial Statements'!E86-'Financial Statements'!D86</f>
        <v>144009</v>
      </c>
      <c r="G86" s="138">
        <f>F86/'Financial Statements'!D86</f>
        <v>9.6815441635702229E-2</v>
      </c>
      <c r="H86" s="64">
        <f>'Financial Statements'!F86-'Financial Statements'!E86</f>
        <v>92111</v>
      </c>
      <c r="I86" s="138">
        <f>H86/'Financial Statements'!E86</f>
        <v>5.6458968242098527E-2</v>
      </c>
      <c r="J86" s="64">
        <f>'Financial Statements'!G86-'Financial Statements'!F86</f>
        <v>100330</v>
      </c>
      <c r="K86" s="138">
        <f>J86/'Financial Statements'!F86</f>
        <v>5.8210270605524903E-2</v>
      </c>
      <c r="L86" s="64">
        <f>'Financial Statements'!H86-'Financial Statements'!G86</f>
        <v>145703</v>
      </c>
      <c r="M86" s="136">
        <f>L86/'Financial Statements'!G86</f>
        <v>7.9885016193242092E-2</v>
      </c>
      <c r="N86" s="64">
        <f>'Financial Statements'!I86-'Financial Statements'!H86</f>
        <v>179137</v>
      </c>
      <c r="O86" s="138">
        <f>N86/'Financial Statements'!H86</f>
        <v>9.0950400383425778E-2</v>
      </c>
    </row>
    <row r="87" spans="1:15" x14ac:dyDescent="0.2">
      <c r="A87" s="39" t="s">
        <v>96</v>
      </c>
      <c r="B87" s="64">
        <f>'Financial Statements'!C87-'Financial Statements'!B87</f>
        <v>77223</v>
      </c>
      <c r="C87" s="138">
        <f>B87/'Financial Statements'!B87</f>
        <v>0.13980632091201886</v>
      </c>
      <c r="D87" s="64">
        <f>'Financial Statements'!D87-'Financial Statements'!C87</f>
        <v>7556</v>
      </c>
      <c r="E87" s="138">
        <f>D87/'Financial Statements'!C87</f>
        <v>1.200165189491407E-2</v>
      </c>
      <c r="F87" s="64">
        <f>'Financial Statements'!E87-'Financial Statements'!D87</f>
        <v>59179</v>
      </c>
      <c r="G87" s="138">
        <f>F87/'Financial Statements'!D87</f>
        <v>9.2882838200949253E-2</v>
      </c>
      <c r="H87" s="64">
        <f>'Financial Statements'!F87-'Financial Statements'!E87</f>
        <v>95834</v>
      </c>
      <c r="I87" s="138">
        <f>H87/'Financial Statements'!E87</f>
        <v>0.13763023918772394</v>
      </c>
      <c r="J87" s="64">
        <f>'Financial Statements'!G87-'Financial Statements'!F87</f>
        <v>28672</v>
      </c>
      <c r="K87" s="138">
        <f>J87/'Financial Statements'!F87</f>
        <v>3.6195210749492834E-2</v>
      </c>
      <c r="L87" s="64">
        <f>'Financial Statements'!H87-'Financial Statements'!G87</f>
        <v>-7875</v>
      </c>
      <c r="M87" s="136">
        <f>L87/'Financial Statements'!G87</f>
        <v>-9.5940527837372579E-3</v>
      </c>
      <c r="N87" s="64">
        <f>'Financial Statements'!I87-'Financial Statements'!H87</f>
        <v>137206</v>
      </c>
      <c r="O87" s="138">
        <f>N87/'Financial Statements'!H87</f>
        <v>0.16877627788315583</v>
      </c>
    </row>
    <row r="88" spans="1:15" x14ac:dyDescent="0.2">
      <c r="A88" s="39" t="s">
        <v>95</v>
      </c>
      <c r="B88" s="64">
        <f>'Financial Statements'!C88-'Financial Statements'!B88</f>
        <v>-115090</v>
      </c>
      <c r="C88" s="138">
        <f>B88/'Financial Statements'!B88</f>
        <v>-0.25331082464129523</v>
      </c>
      <c r="D88" s="64">
        <f>'Financial Statements'!D88-'Financial Statements'!C88</f>
        <v>266010</v>
      </c>
      <c r="E88" s="138">
        <f>D88/'Financial Statements'!C88</f>
        <v>0.78410507792119744</v>
      </c>
      <c r="F88" s="64">
        <f>'Financial Statements'!E88-'Financial Statements'!D88</f>
        <v>51766</v>
      </c>
      <c r="G88" s="138">
        <f>F88/'Financial Statements'!D88</f>
        <v>8.5526457093858366E-2</v>
      </c>
      <c r="H88" s="64">
        <f>'Financial Statements'!F88-'Financial Statements'!E88</f>
        <v>158117</v>
      </c>
      <c r="I88" s="138">
        <f>H88/'Financial Statements'!E88</f>
        <v>0.24065452209872015</v>
      </c>
      <c r="J88" s="64">
        <f>'Financial Statements'!G88-'Financial Statements'!F88</f>
        <v>409199</v>
      </c>
      <c r="K88" s="138">
        <f>J88/'Financial Statements'!F88</f>
        <v>0.50199473468556555</v>
      </c>
      <c r="L88" s="64">
        <f>'Financial Statements'!H88-'Financial Statements'!G88</f>
        <v>282207</v>
      </c>
      <c r="M88" s="136">
        <f>L88/'Financial Statements'!G88</f>
        <v>0.23049630618820677</v>
      </c>
      <c r="N88" s="64">
        <f>'Financial Statements'!I88-'Financial Statements'!H88</f>
        <v>-209608</v>
      </c>
      <c r="O88" s="138">
        <f>N88/'Financial Statements'!H88</f>
        <v>-0.13913094270891413</v>
      </c>
    </row>
    <row r="89" spans="1:15" x14ac:dyDescent="0.2">
      <c r="A89" s="38" t="s">
        <v>72</v>
      </c>
      <c r="B89" s="64">
        <f>'Financial Statements'!C89-'Financial Statements'!B89</f>
        <v>-54504</v>
      </c>
      <c r="C89" s="138">
        <f>B89/'Financial Statements'!B89</f>
        <v>-0.26724066074694414</v>
      </c>
      <c r="D89" s="64">
        <f>'Financial Statements'!D89-'Financial Statements'!C89</f>
        <v>-24511</v>
      </c>
      <c r="E89" s="138">
        <f>D89/'Financial Statements'!C89</f>
        <v>-0.16401132173947955</v>
      </c>
      <c r="F89" s="64">
        <f>'Financial Statements'!E89-'Financial Statements'!D89</f>
        <v>95529</v>
      </c>
      <c r="G89" s="138">
        <f>F89/'Financial Statements'!D89</f>
        <v>0.76462348722545947</v>
      </c>
      <c r="H89" s="64">
        <f>'Financial Statements'!F89-'Financial Statements'!E89</f>
        <v>-72090</v>
      </c>
      <c r="I89" s="138">
        <f>H89/'Financial Statements'!E89</f>
        <v>-0.32699067879255211</v>
      </c>
      <c r="J89" s="64">
        <f>'Financial Statements'!G89-'Financial Statements'!F89</f>
        <v>127693</v>
      </c>
      <c r="K89" s="138">
        <f>J89/'Financial Statements'!F89</f>
        <v>0.8606099410278012</v>
      </c>
      <c r="L89" s="64">
        <f>'Financial Statements'!H89-'Financial Statements'!G89</f>
        <v>-141179</v>
      </c>
      <c r="M89" s="136">
        <f>L89/'Financial Statements'!G89</f>
        <v>-0.51139212078183638</v>
      </c>
      <c r="N89" s="64">
        <f>'Financial Statements'!I89-'Financial Statements'!H89</f>
        <v>76042</v>
      </c>
      <c r="O89" s="138">
        <f>N89/'Financial Statements'!H89</f>
        <v>0.56373759164943027</v>
      </c>
    </row>
    <row r="90" spans="1:15" x14ac:dyDescent="0.2">
      <c r="A90" s="39" t="s">
        <v>42</v>
      </c>
      <c r="B90" s="133">
        <f>'Financial Statements'!C90-'Financial Statements'!B90</f>
        <v>72870</v>
      </c>
      <c r="C90" s="149">
        <f>B90/'Financial Statements'!B90</f>
        <v>0.31278302635927768</v>
      </c>
      <c r="D90" s="133">
        <f>'Financial Statements'!D90-'Financial Statements'!C90</f>
        <v>42855</v>
      </c>
      <c r="E90" s="149">
        <f>D90/'Financial Statements'!C90</f>
        <v>0.14012091170960264</v>
      </c>
      <c r="F90" s="133">
        <f>'Financial Statements'!E90-'Financial Statements'!D90</f>
        <v>57466</v>
      </c>
      <c r="G90" s="149">
        <f>F90/'Financial Statements'!D90</f>
        <v>0.16480163350521082</v>
      </c>
      <c r="H90" s="133">
        <f>'Financial Statements'!F90-'Financial Statements'!E90</f>
        <v>59585</v>
      </c>
      <c r="I90" s="149">
        <f>H90/'Financial Statements'!E90</f>
        <v>0.14670182487862046</v>
      </c>
      <c r="J90" s="133">
        <f>'Financial Statements'!G90-'Financial Statements'!F90</f>
        <v>-839</v>
      </c>
      <c r="K90" s="149">
        <f>J90/'Financial Statements'!F90</f>
        <v>-1.8013994662361057E-3</v>
      </c>
      <c r="L90" s="133">
        <f>'Financial Statements'!H90-'Financial Statements'!G90</f>
        <v>-2480</v>
      </c>
      <c r="M90" s="150">
        <f>L90/'Financial Statements'!G90</f>
        <v>-5.3343657912284098E-3</v>
      </c>
      <c r="N90" s="133">
        <f>'Financial Statements'!I90-'Financial Statements'!H90</f>
        <v>72713</v>
      </c>
      <c r="O90" s="149">
        <f>N90/'Financial Statements'!H90</f>
        <v>0.15724109594965724</v>
      </c>
    </row>
    <row r="91" spans="1:15" x14ac:dyDescent="0.2">
      <c r="A91" s="7" t="s">
        <v>38</v>
      </c>
      <c r="B91" s="151">
        <f t="shared" ref="B91:N91" si="21">SUM(B82:B90)</f>
        <v>165766</v>
      </c>
      <c r="C91" s="152">
        <f>B91/'Financial Statements'!B91</f>
        <v>8.6958236901629009E-3</v>
      </c>
      <c r="D91" s="153">
        <f t="shared" si="21"/>
        <v>-55187</v>
      </c>
      <c r="E91" s="152">
        <f>D91/'Financial Statements'!C91</f>
        <v>-2.8700656526152875E-3</v>
      </c>
      <c r="F91" s="153">
        <f t="shared" si="21"/>
        <v>1291821</v>
      </c>
      <c r="G91" s="152">
        <f>F91/'Financial Statements'!D91</f>
        <v>6.737606315201046E-2</v>
      </c>
      <c r="H91" s="153">
        <f t="shared" si="21"/>
        <v>2028758</v>
      </c>
      <c r="I91" s="152">
        <f>H91/'Financial Statements'!E91</f>
        <v>9.9132504221574338E-2</v>
      </c>
      <c r="J91" s="153">
        <f t="shared" ref="J91:L91" si="22">SUM(J82:J90)</f>
        <v>1340008</v>
      </c>
      <c r="K91" s="152">
        <f>J91/'Financial Statements'!F91</f>
        <v>5.9572135913283406E-2</v>
      </c>
      <c r="L91" s="153">
        <f t="shared" si="22"/>
        <v>471328</v>
      </c>
      <c r="M91" s="154">
        <f>L91/'Financial Statements'!G91</f>
        <v>1.9775546407047446E-2</v>
      </c>
      <c r="N91" s="153">
        <f t="shared" si="21"/>
        <v>3067085</v>
      </c>
      <c r="O91" s="152">
        <f>N91/'Financial Statements'!H91</f>
        <v>0.12619044445124683</v>
      </c>
    </row>
    <row r="92" spans="1:15" x14ac:dyDescent="0.2">
      <c r="A92" s="7" t="s">
        <v>11</v>
      </c>
      <c r="B92" s="67">
        <f t="shared" ref="B92:N92" si="23">B80-B91</f>
        <v>30378</v>
      </c>
      <c r="C92" s="138">
        <f>B92/'Financial Statements'!B92</f>
        <v>2.4455097629599219E-2</v>
      </c>
      <c r="D92" s="66">
        <f t="shared" si="23"/>
        <v>295438</v>
      </c>
      <c r="E92" s="138">
        <f>D92/'Financial Statements'!C92</f>
        <v>0.23215799800875864</v>
      </c>
      <c r="F92" s="66">
        <f t="shared" si="23"/>
        <v>-1218836</v>
      </c>
      <c r="G92" s="138">
        <f>F92/'Financial Statements'!D92</f>
        <v>-0.77731342445939478</v>
      </c>
      <c r="H92" s="66">
        <f t="shared" si="23"/>
        <v>-96193</v>
      </c>
      <c r="I92" s="138">
        <f>H92/'Financial Statements'!E92</f>
        <v>-0.27548650390205487</v>
      </c>
      <c r="J92" s="66">
        <f t="shared" si="23"/>
        <v>293773</v>
      </c>
      <c r="K92" s="138">
        <f>J92/'Financial Statements'!F92</f>
        <v>1.161240720683685</v>
      </c>
      <c r="L92" s="66">
        <f t="shared" si="23"/>
        <v>-110936</v>
      </c>
      <c r="M92" s="136">
        <f>L92/'Financial Statements'!G92</f>
        <v>-0.20289892182055949</v>
      </c>
      <c r="N92" s="66">
        <f t="shared" si="23"/>
        <v>-1759664</v>
      </c>
      <c r="O92" s="138">
        <f>N92/'Financial Statements'!H92</f>
        <v>-4.0376027662860041</v>
      </c>
    </row>
    <row r="93" spans="1:15" x14ac:dyDescent="0.2">
      <c r="A93" s="7"/>
      <c r="B93" s="67"/>
      <c r="C93" s="145"/>
      <c r="D93" s="66"/>
      <c r="E93" s="145"/>
      <c r="F93" s="66"/>
      <c r="G93" s="145"/>
      <c r="H93" s="66"/>
      <c r="I93" s="145"/>
      <c r="J93" s="66"/>
      <c r="K93" s="145"/>
      <c r="L93" s="66"/>
      <c r="M93" s="67"/>
      <c r="N93" s="66"/>
      <c r="O93" s="145"/>
    </row>
    <row r="94" spans="1:15" x14ac:dyDescent="0.2">
      <c r="A94" s="39" t="s">
        <v>43</v>
      </c>
      <c r="B94" s="64">
        <f>'Financial Statements'!C94-'Financial Statements'!B94</f>
        <v>-86491</v>
      </c>
      <c r="C94" s="138">
        <f>B94/'Financial Statements'!B94</f>
        <v>-0.13114572640306413</v>
      </c>
      <c r="D94" s="64">
        <f>'Financial Statements'!D94-'Financial Statements'!C94</f>
        <v>-32454</v>
      </c>
      <c r="E94" s="138">
        <f>D94/'Financial Statements'!C94</f>
        <v>-5.6637557328642334E-2</v>
      </c>
      <c r="F94" s="64">
        <f>'Financial Statements'!E94-'Financial Statements'!D94</f>
        <v>-21467</v>
      </c>
      <c r="G94" s="138">
        <f>F94/'Financial Statements'!D94</f>
        <v>-3.9712667280846832E-2</v>
      </c>
      <c r="H94" s="64">
        <f>'Financial Statements'!F94-'Financial Statements'!E94</f>
        <v>-19257</v>
      </c>
      <c r="I94" s="138">
        <f>H94/'Financial Statements'!E94</f>
        <v>-3.7097541664178342E-2</v>
      </c>
      <c r="J94" s="64">
        <f>'Financial Statements'!G94-'Financial Statements'!F94</f>
        <v>12543</v>
      </c>
      <c r="K94" s="138">
        <f>J94/'Financial Statements'!F94</f>
        <v>2.5094331317997574E-2</v>
      </c>
      <c r="L94" s="64">
        <f>'Financial Statements'!H94-'Financial Statements'!G94</f>
        <v>-5699</v>
      </c>
      <c r="M94" s="136">
        <f>L94/'Financial Statements'!G94</f>
        <v>-1.1122669440665759E-2</v>
      </c>
      <c r="N94" s="64">
        <f>'Financial Statements'!I94-'Financial Statements'!H94</f>
        <v>-41114</v>
      </c>
      <c r="O94" s="138">
        <f>N94/'Financial Statements'!H94</f>
        <v>-8.1144237563107138E-2</v>
      </c>
    </row>
    <row r="95" spans="1:15" x14ac:dyDescent="0.2">
      <c r="A95" s="38" t="s">
        <v>64</v>
      </c>
      <c r="B95" s="64">
        <f>'Financial Statements'!C95-'Financial Statements'!B95</f>
        <v>-13689</v>
      </c>
      <c r="C95" s="138">
        <f>B95/'Financial Statements'!B95</f>
        <v>6.7166815501015678E-2</v>
      </c>
      <c r="D95" s="64">
        <f>'Financial Statements'!D95-'Financial Statements'!C95</f>
        <v>-15940</v>
      </c>
      <c r="E95" s="138">
        <f>D95/'Financial Statements'!C95</f>
        <v>7.3289041127382243E-2</v>
      </c>
      <c r="F95" s="64">
        <f>'Financial Statements'!E95-'Financial Statements'!D95</f>
        <v>7308</v>
      </c>
      <c r="G95" s="138">
        <f>F95/'Financial Statements'!D95</f>
        <v>-3.1306359371987919E-2</v>
      </c>
      <c r="H95" s="64">
        <f>'Financial Statements'!F95-'Financial Statements'!E95</f>
        <v>46127</v>
      </c>
      <c r="I95" s="138">
        <f>H95/'Financial Statements'!E95</f>
        <v>-0.20398713997001686</v>
      </c>
      <c r="J95" s="64">
        <f>'Financial Statements'!G95-'Financial Statements'!F95</f>
        <v>41567</v>
      </c>
      <c r="K95" s="138">
        <f>J95/'Financial Statements'!F95</f>
        <v>-0.23092777777777779</v>
      </c>
      <c r="L95" s="64">
        <f>'Financial Statements'!H95-'Financial Statements'!G95</f>
        <v>30079</v>
      </c>
      <c r="M95" s="136">
        <f>L95/'Financial Statements'!G95</f>
        <v>-0.21728200645799772</v>
      </c>
      <c r="N95" s="64">
        <f>'Financial Statements'!I95-'Financial Statements'!H95</f>
        <v>20107</v>
      </c>
      <c r="O95" s="138">
        <f>N95/'Financial Statements'!H95</f>
        <v>-0.18556767632020968</v>
      </c>
    </row>
    <row r="96" spans="1:15" x14ac:dyDescent="0.2">
      <c r="A96" s="39" t="s">
        <v>46</v>
      </c>
      <c r="B96" s="64">
        <f>'Financial Statements'!C96-'Financial Statements'!B96</f>
        <v>0</v>
      </c>
      <c r="C96" s="138"/>
      <c r="D96" s="64">
        <f>'Financial Statements'!D96-'Financial Statements'!C96</f>
        <v>0</v>
      </c>
      <c r="E96" s="138"/>
      <c r="F96" s="64">
        <f>'Financial Statements'!E96-'Financial Statements'!D96</f>
        <v>0</v>
      </c>
      <c r="G96" s="138"/>
      <c r="H96" s="64">
        <f>'Financial Statements'!F96-'Financial Statements'!E96</f>
        <v>0</v>
      </c>
      <c r="I96" s="138"/>
      <c r="J96" s="64">
        <f>'Financial Statements'!G96-'Financial Statements'!F96</f>
        <v>0</v>
      </c>
      <c r="K96" s="138"/>
      <c r="L96" s="64">
        <f>'Financial Statements'!H96-'Financial Statements'!G96</f>
        <v>0</v>
      </c>
      <c r="M96" s="136"/>
      <c r="N96" s="64">
        <f>'Financial Statements'!I96-'Financial Statements'!H96</f>
        <v>0</v>
      </c>
      <c r="O96" s="138"/>
    </row>
    <row r="97" spans="1:15" x14ac:dyDescent="0.2">
      <c r="A97" s="40" t="s">
        <v>76</v>
      </c>
      <c r="B97" s="133">
        <f>'Financial Statements'!C97-'Financial Statements'!B97</f>
        <v>-55172</v>
      </c>
      <c r="C97" s="149">
        <f>B97/'Financial Statements'!B97</f>
        <v>7.5602937952203464E-2</v>
      </c>
      <c r="D97" s="133">
        <f>'Financial Statements'!D97-'Financial Statements'!C97</f>
        <v>-47433</v>
      </c>
      <c r="E97" s="149">
        <f>D97/'Financial Statements'!C97</f>
        <v>6.0429438473651217E-2</v>
      </c>
      <c r="F97" s="133">
        <f>'Financial Statements'!E97-'Financial Statements'!D97</f>
        <v>-77454</v>
      </c>
      <c r="G97" s="149">
        <f>F97/'Financial Statements'!D97</f>
        <v>9.3052927501757046E-2</v>
      </c>
      <c r="H97" s="133">
        <f>'Financial Statements'!F97-'Financial Statements'!E97</f>
        <v>-101357</v>
      </c>
      <c r="I97" s="149">
        <f>H97/'Financial Statements'!E97</f>
        <v>0.1114034769553065</v>
      </c>
      <c r="J97" s="133">
        <f>'Financial Statements'!G97-'Financial Statements'!F97</f>
        <v>-28084</v>
      </c>
      <c r="K97" s="149">
        <f>J97/'Financial Statements'!F97</f>
        <v>2.7773602221571714E-2</v>
      </c>
      <c r="L97" s="133">
        <f>'Financial Statements'!H97-'Financial Statements'!G97</f>
        <v>-48348</v>
      </c>
      <c r="M97" s="150">
        <f>L97/'Financial Statements'!G97</f>
        <v>4.652156342012586E-2</v>
      </c>
      <c r="N97" s="133">
        <f>'Financial Statements'!I97-'Financial Statements'!H97</f>
        <v>-299381</v>
      </c>
      <c r="O97" s="149">
        <f>N97/'Financial Statements'!H97</f>
        <v>0.27526553684783489</v>
      </c>
    </row>
    <row r="98" spans="1:15" x14ac:dyDescent="0.2">
      <c r="A98" s="7" t="s">
        <v>44</v>
      </c>
      <c r="B98" s="67">
        <f t="shared" ref="B98:N98" si="24">SUM(B94:B97)</f>
        <v>-155352</v>
      </c>
      <c r="C98" s="138">
        <f>B98/'Financial Statements'!B98</f>
        <v>0.5668477685787574</v>
      </c>
      <c r="D98" s="66">
        <f t="shared" si="24"/>
        <v>-95827</v>
      </c>
      <c r="E98" s="138">
        <f>D98/'Financial Statements'!C98</f>
        <v>0.22315708580277821</v>
      </c>
      <c r="F98" s="66">
        <f t="shared" si="24"/>
        <v>-91613</v>
      </c>
      <c r="G98" s="138">
        <f>F98/'Financial Statements'!D98</f>
        <v>0.17442055281184674</v>
      </c>
      <c r="H98" s="66">
        <f t="shared" si="24"/>
        <v>-74487</v>
      </c>
      <c r="I98" s="138">
        <f>H98/'Financial Statements'!E98</f>
        <v>0.12075285115626849</v>
      </c>
      <c r="J98" s="66">
        <f t="shared" ref="J98:L98" si="25">SUM(J94:J97)</f>
        <v>26026</v>
      </c>
      <c r="K98" s="138">
        <f>J98/'Financial Statements'!F98</f>
        <v>-3.7645622571751754E-2</v>
      </c>
      <c r="L98" s="66">
        <f t="shared" si="25"/>
        <v>-23968</v>
      </c>
      <c r="M98" s="136">
        <f>L98/'Financial Statements'!G98</f>
        <v>3.6024986622897992E-2</v>
      </c>
      <c r="N98" s="66">
        <f t="shared" si="24"/>
        <v>-320388</v>
      </c>
      <c r="O98" s="138">
        <f>N98/'Financial Statements'!H98</f>
        <v>0.46481276222863144</v>
      </c>
    </row>
    <row r="99" spans="1:15" x14ac:dyDescent="0.2">
      <c r="A99" s="7"/>
      <c r="B99" s="67"/>
      <c r="C99" s="145"/>
      <c r="D99" s="66"/>
      <c r="E99" s="145"/>
      <c r="F99" s="66"/>
      <c r="G99" s="145"/>
      <c r="H99" s="66"/>
      <c r="I99" s="145"/>
      <c r="J99" s="66"/>
      <c r="K99" s="145"/>
      <c r="L99" s="66"/>
      <c r="M99" s="67"/>
      <c r="N99" s="66"/>
      <c r="O99" s="145"/>
    </row>
    <row r="100" spans="1:15" x14ac:dyDescent="0.2">
      <c r="A100" s="7" t="s">
        <v>10</v>
      </c>
      <c r="B100" s="148">
        <f t="shared" ref="B100:N100" si="26">B92-B98</f>
        <v>185730</v>
      </c>
      <c r="C100" s="149">
        <f>B100/'Financial Statements'!B100</f>
        <v>0.12249234628935181</v>
      </c>
      <c r="D100" s="72">
        <f t="shared" si="26"/>
        <v>391265</v>
      </c>
      <c r="E100" s="149">
        <f>D100/'Financial Statements'!C100</f>
        <v>0.22988704973243054</v>
      </c>
      <c r="F100" s="72">
        <f t="shared" si="26"/>
        <v>-1127223</v>
      </c>
      <c r="G100" s="149">
        <f>F100/'Financial Statements'!D100</f>
        <v>-0.5385029903217623</v>
      </c>
      <c r="H100" s="72">
        <f t="shared" si="26"/>
        <v>-21706</v>
      </c>
      <c r="I100" s="149">
        <f>H100/'Financial Statements'!E100</f>
        <v>-2.24692814922932E-2</v>
      </c>
      <c r="J100" s="72">
        <f t="shared" si="26"/>
        <v>267747</v>
      </c>
      <c r="K100" s="149">
        <f>J100/'Financial Statements'!F100</f>
        <v>0.28353298232386343</v>
      </c>
      <c r="L100" s="72">
        <f t="shared" si="26"/>
        <v>-86968</v>
      </c>
      <c r="M100" s="150">
        <f>L100/'Financial Statements'!G100</f>
        <v>-7.1751572308882891E-2</v>
      </c>
      <c r="N100" s="72">
        <f t="shared" si="26"/>
        <v>-1439276</v>
      </c>
      <c r="O100" s="149">
        <f>N100/'Financial Statements'!H100</f>
        <v>-1.2792393229775407</v>
      </c>
    </row>
    <row r="101" spans="1:15" x14ac:dyDescent="0.2">
      <c r="A101" s="7" t="s">
        <v>97</v>
      </c>
      <c r="B101" s="64">
        <f>'Financial Statements'!C101-'Financial Statements'!B101</f>
        <v>-10253</v>
      </c>
      <c r="C101" s="138">
        <f>B101/'Financial Statements'!B101</f>
        <v>-0.12177682760258923</v>
      </c>
      <c r="D101" s="64">
        <f>'Financial Statements'!D101-'Financial Statements'!C101</f>
        <v>13804</v>
      </c>
      <c r="E101" s="138">
        <f>D101/'Financial Statements'!C101</f>
        <v>0.18668686267615159</v>
      </c>
      <c r="F101" s="64">
        <f>'Financial Statements'!E101-'Financial Statements'!D101</f>
        <v>-19174</v>
      </c>
      <c r="G101" s="138">
        <f>F101/'Financial Statements'!D101</f>
        <v>-0.2185170833998131</v>
      </c>
      <c r="H101" s="64">
        <f>'Financial Statements'!F101-'Financial Statements'!E101</f>
        <v>12293</v>
      </c>
      <c r="I101" s="138">
        <f>H101/'Financial Statements'!E101</f>
        <v>0.17927142273814384</v>
      </c>
      <c r="J101" s="64">
        <f>'Financial Statements'!G101-'Financial Statements'!F101</f>
        <v>75980</v>
      </c>
      <c r="K101" s="138">
        <f>J101/'Financial Statements'!F101</f>
        <v>0.93959067581772093</v>
      </c>
      <c r="L101" s="64">
        <f>'Financial Statements'!H101-'Financial Statements'!G101</f>
        <v>154484</v>
      </c>
      <c r="M101" s="136">
        <f>L101/'Financial Statements'!G101</f>
        <v>0.98494692212056489</v>
      </c>
      <c r="N101" s="64">
        <f>'Financial Statements'!I101-'Financial Statements'!H101</f>
        <v>28806</v>
      </c>
      <c r="O101" s="138">
        <f>N101/'Financial Statements'!H101</f>
        <v>9.2525913101574223E-2</v>
      </c>
    </row>
    <row r="102" spans="1:15" x14ac:dyDescent="0.2">
      <c r="A102" s="7" t="s">
        <v>13</v>
      </c>
      <c r="B102" s="148"/>
      <c r="C102" s="149"/>
      <c r="D102" s="72"/>
      <c r="E102" s="149"/>
      <c r="F102" s="72"/>
      <c r="G102" s="149"/>
      <c r="H102" s="72"/>
      <c r="I102" s="149"/>
      <c r="J102" s="72"/>
      <c r="K102" s="149"/>
      <c r="L102" s="72"/>
      <c r="M102" s="150"/>
      <c r="N102" s="72"/>
      <c r="O102" s="149"/>
    </row>
    <row r="103" spans="1:15" ht="13.5" thickBot="1" x14ac:dyDescent="0.25">
      <c r="A103" s="7" t="s">
        <v>80</v>
      </c>
      <c r="B103" s="73">
        <f t="shared" ref="B103:N103" si="27">B100+B101-B102</f>
        <v>175477</v>
      </c>
      <c r="C103" s="155">
        <f>B103/'Financial Statements'!B103</f>
        <v>0.10964208258536802</v>
      </c>
      <c r="D103" s="73">
        <f t="shared" si="27"/>
        <v>405069</v>
      </c>
      <c r="E103" s="155">
        <f>D103/'Financial Statements'!C103</f>
        <v>0.2280883818618977</v>
      </c>
      <c r="F103" s="73">
        <f t="shared" si="27"/>
        <v>-1146397</v>
      </c>
      <c r="G103" s="155">
        <f>F103/'Financial Statements'!D103</f>
        <v>-0.52562931023810644</v>
      </c>
      <c r="H103" s="73">
        <f t="shared" si="27"/>
        <v>-9413</v>
      </c>
      <c r="I103" s="155">
        <f>H103/'Financial Statements'!E103</f>
        <v>-9.0981846159199388E-3</v>
      </c>
      <c r="J103" s="73">
        <f t="shared" si="27"/>
        <v>343727</v>
      </c>
      <c r="K103" s="155">
        <f>J103/'Financial Statements'!F103</f>
        <v>0.3352815919796252</v>
      </c>
      <c r="L103" s="73">
        <f t="shared" si="27"/>
        <v>67516</v>
      </c>
      <c r="M103" s="156">
        <f>L103/'Financial Statements'!G103</f>
        <v>4.9320776439167928E-2</v>
      </c>
      <c r="N103" s="73">
        <f t="shared" si="27"/>
        <v>-1410470</v>
      </c>
      <c r="O103" s="155">
        <f>N103/'Financial Statements'!H103</f>
        <v>-0.98192605010191925</v>
      </c>
    </row>
    <row r="104" spans="1:15" ht="13.5" thickTop="1" x14ac:dyDescent="0.2">
      <c r="A104" s="7"/>
      <c r="B104" s="67"/>
      <c r="C104" s="67"/>
      <c r="D104" s="66"/>
      <c r="E104" s="66"/>
      <c r="F104" s="66"/>
      <c r="G104" s="66"/>
      <c r="H104" s="66"/>
      <c r="I104" s="146"/>
      <c r="J104" s="66"/>
      <c r="K104" s="66"/>
      <c r="L104" s="66"/>
      <c r="M104" s="66"/>
      <c r="N104" s="66"/>
    </row>
    <row r="105" spans="1:15" x14ac:dyDescent="0.2">
      <c r="A105" s="21" t="s">
        <v>79</v>
      </c>
      <c r="B105" s="20">
        <f>-'Cash Flow'!C48</f>
        <v>402752</v>
      </c>
      <c r="C105" s="20"/>
      <c r="D105" s="20">
        <f>-'Cash Flow'!D48</f>
        <v>279148</v>
      </c>
      <c r="E105" s="20"/>
      <c r="F105" s="20">
        <f>-'Cash Flow'!E48</f>
        <v>0</v>
      </c>
      <c r="G105" s="20"/>
      <c r="H105" s="20">
        <f>-'Cash Flow'!F48</f>
        <v>341124</v>
      </c>
      <c r="I105" s="20"/>
      <c r="J105" s="20">
        <f>-'Cash Flow'!G48</f>
        <v>577166</v>
      </c>
      <c r="K105" s="20"/>
      <c r="L105" s="20">
        <f>-'Cash Flow'!H48</f>
        <v>619396</v>
      </c>
      <c r="M105" s="20"/>
      <c r="N105" s="20">
        <f>-'Cash Flow'!I48</f>
        <v>0</v>
      </c>
    </row>
  </sheetData>
  <mergeCells count="7">
    <mergeCell ref="N8:O8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Statements</vt:lpstr>
      <vt:lpstr>Cash Flow</vt:lpstr>
      <vt:lpstr>FS Act|% Chg</vt:lpstr>
      <vt:lpstr>'Cash Flow'!Print_Area</vt:lpstr>
      <vt:lpstr>'Financial Statements'!Print_Area</vt:lpstr>
      <vt:lpstr>'FS Act|% Chg'!Print_Area</vt:lpstr>
      <vt:lpstr>'FS Act|% Chg'!Print_Titles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Einfeldt</dc:creator>
  <cp:lastModifiedBy>laurieharris</cp:lastModifiedBy>
  <cp:lastPrinted>2016-08-11T16:52:18Z</cp:lastPrinted>
  <dcterms:created xsi:type="dcterms:W3CDTF">2005-09-19T14:11:29Z</dcterms:created>
  <dcterms:modified xsi:type="dcterms:W3CDTF">2016-08-15T18:50:20Z</dcterms:modified>
</cp:coreProperties>
</file>