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50601\"/>
    </mc:Choice>
  </mc:AlternateContent>
  <bookViews>
    <workbookView xWindow="0" yWindow="0" windowWidth="19200" windowHeight="12180" tabRatio="685" activeTab="1"/>
  </bookViews>
  <sheets>
    <sheet name="Exhibit 1" sheetId="5" r:id="rId1"/>
    <sheet name="Exhibit 1 page 3" sheetId="10" r:id="rId2"/>
    <sheet name="Exhibit 2" sheetId="1" r:id="rId3"/>
    <sheet name="Assumptions" sheetId="2" r:id="rId4"/>
  </sheets>
  <definedNames>
    <definedName name="_xlnm.Print_Area" localSheetId="3">Assumptions!$A$1:$R$68</definedName>
    <definedName name="_xlnm.Print_Area" localSheetId="0">'Exhibit 1'!$A$1:$AE$151</definedName>
    <definedName name="_xlnm.Print_Area" localSheetId="1">'Exhibit 1 page 3'!$A$1:$N$54</definedName>
    <definedName name="_xlnm.Print_Area" localSheetId="2">'Exhibit 2'!$A$1:$H$259</definedName>
  </definedNames>
  <calcPr calcId="152511" iterate="1"/>
</workbook>
</file>

<file path=xl/calcChain.xml><?xml version="1.0" encoding="utf-8"?>
<calcChain xmlns="http://schemas.openxmlformats.org/spreadsheetml/2006/main">
  <c r="AE12" i="5" l="1"/>
  <c r="O56" i="5"/>
  <c r="O55" i="5"/>
  <c r="O53" i="5"/>
  <c r="O50" i="5"/>
  <c r="O48" i="5"/>
  <c r="O47" i="5"/>
  <c r="O46" i="5"/>
  <c r="O45" i="5"/>
  <c r="O43" i="5"/>
  <c r="O42" i="5"/>
  <c r="O41" i="5"/>
  <c r="O40" i="5"/>
  <c r="O36" i="5"/>
  <c r="O35" i="5"/>
  <c r="O34" i="5"/>
  <c r="O33" i="5"/>
  <c r="O31" i="5"/>
  <c r="O28" i="5"/>
  <c r="O26" i="5"/>
  <c r="O24" i="5"/>
  <c r="O22" i="5"/>
  <c r="O21" i="5"/>
  <c r="O18" i="5"/>
  <c r="O17" i="5"/>
  <c r="O16" i="5"/>
  <c r="O15" i="5"/>
  <c r="O14" i="5"/>
  <c r="O13" i="5"/>
  <c r="O12" i="5"/>
  <c r="O99" i="5"/>
  <c r="O91" i="5"/>
  <c r="O90" i="5"/>
  <c r="O87" i="5"/>
  <c r="O86" i="5"/>
  <c r="O84" i="5"/>
  <c r="O83" i="5"/>
  <c r="O82" i="5"/>
  <c r="O81" i="5"/>
  <c r="O80" i="5"/>
  <c r="O79" i="5"/>
  <c r="O78" i="5"/>
  <c r="O77" i="5"/>
  <c r="O76" i="5"/>
  <c r="O75" i="5"/>
  <c r="O74" i="5"/>
  <c r="O71" i="5"/>
  <c r="O69" i="5"/>
  <c r="M154" i="5"/>
  <c r="L154" i="5"/>
  <c r="K154" i="5"/>
  <c r="I154" i="5"/>
  <c r="J154" i="5"/>
  <c r="K14" i="10" l="1"/>
  <c r="J15" i="10"/>
  <c r="J14" i="10"/>
  <c r="N81" i="5"/>
  <c r="N79" i="5"/>
  <c r="N78" i="5"/>
  <c r="N75" i="5"/>
  <c r="L81" i="5"/>
  <c r="M81" i="5"/>
  <c r="L80" i="5"/>
  <c r="M88" i="5"/>
  <c r="L88" i="5"/>
  <c r="M79" i="5"/>
  <c r="L79" i="5"/>
  <c r="M78" i="5"/>
  <c r="L78" i="5"/>
  <c r="M75" i="5"/>
  <c r="L75" i="5"/>
  <c r="K88" i="5"/>
  <c r="J88" i="5"/>
  <c r="K79" i="5"/>
  <c r="J79" i="5"/>
  <c r="K78" i="5"/>
  <c r="J78" i="5"/>
  <c r="K75" i="5"/>
  <c r="J75" i="5"/>
  <c r="K81" i="5"/>
  <c r="J81" i="5"/>
  <c r="K80" i="5"/>
  <c r="J80" i="5"/>
  <c r="K32" i="5"/>
  <c r="J32" i="5"/>
  <c r="K17" i="5"/>
  <c r="J17" i="5"/>
  <c r="K33" i="5"/>
  <c r="J33" i="5"/>
  <c r="K16" i="5"/>
  <c r="J16" i="5"/>
  <c r="K14" i="5"/>
  <c r="J14" i="5"/>
  <c r="J13" i="5"/>
  <c r="K13" i="5"/>
  <c r="K42" i="5"/>
  <c r="J42" i="5"/>
  <c r="N40" i="5"/>
  <c r="N42" i="5"/>
  <c r="N45" i="5"/>
  <c r="N32" i="5"/>
  <c r="N17" i="5"/>
  <c r="N16" i="5"/>
  <c r="N14" i="5"/>
  <c r="N13" i="5"/>
  <c r="N154" i="5" l="1"/>
  <c r="O154" i="5" s="1"/>
  <c r="L42" i="5"/>
  <c r="M42" i="5"/>
  <c r="L14" i="5"/>
  <c r="L32" i="5"/>
  <c r="M32" i="5"/>
  <c r="L13" i="5"/>
  <c r="M13" i="5"/>
  <c r="L33" i="5"/>
  <c r="L17" i="5"/>
  <c r="M17" i="5"/>
  <c r="M16" i="5"/>
  <c r="M14" i="5"/>
  <c r="L16" i="5"/>
  <c r="L34" i="5" l="1"/>
  <c r="N49" i="10"/>
  <c r="M49" i="10"/>
  <c r="L49" i="10"/>
  <c r="K49" i="10"/>
  <c r="J49" i="10"/>
  <c r="N45" i="10"/>
  <c r="M45" i="10"/>
  <c r="L45" i="10"/>
  <c r="K45" i="10"/>
  <c r="J45" i="10"/>
  <c r="K38" i="10"/>
  <c r="N38" i="10"/>
  <c r="M38" i="10"/>
  <c r="L38" i="10"/>
  <c r="J38" i="10"/>
  <c r="AA95" i="5"/>
  <c r="AA86" i="5"/>
  <c r="AB76" i="5"/>
  <c r="AA76" i="5"/>
  <c r="AB71" i="5"/>
  <c r="N155" i="5"/>
  <c r="M155" i="5"/>
  <c r="L155" i="5"/>
  <c r="K155" i="5"/>
  <c r="J155" i="5"/>
  <c r="M91" i="5"/>
  <c r="L91" i="5"/>
  <c r="K91" i="5"/>
  <c r="J91" i="5"/>
  <c r="K83" i="5"/>
  <c r="M83" i="5"/>
  <c r="L83" i="5"/>
  <c r="M71" i="5"/>
  <c r="AC94" i="5" s="1"/>
  <c r="L71" i="5"/>
  <c r="L131" i="5" s="1"/>
  <c r="K71" i="5"/>
  <c r="J71" i="5"/>
  <c r="Z80" i="5" s="1"/>
  <c r="M55" i="5"/>
  <c r="M148" i="5" s="1"/>
  <c r="L55" i="5"/>
  <c r="K55" i="5"/>
  <c r="K144" i="5" s="1"/>
  <c r="J55" i="5"/>
  <c r="M48" i="5"/>
  <c r="L48" i="5"/>
  <c r="K48" i="5"/>
  <c r="J48" i="5"/>
  <c r="M43" i="5"/>
  <c r="L43" i="5"/>
  <c r="K43" i="5"/>
  <c r="K50" i="5" s="1"/>
  <c r="J43" i="5"/>
  <c r="M34" i="5"/>
  <c r="K34" i="5"/>
  <c r="J34" i="5"/>
  <c r="K28" i="5"/>
  <c r="M24" i="5"/>
  <c r="M28" i="5" s="1"/>
  <c r="L24" i="5"/>
  <c r="L28" i="5" s="1"/>
  <c r="K24" i="5"/>
  <c r="J24" i="5"/>
  <c r="M18" i="5"/>
  <c r="K18" i="5"/>
  <c r="J18" i="5"/>
  <c r="Y94" i="5"/>
  <c r="Y87" i="5"/>
  <c r="Y81" i="5"/>
  <c r="Y77" i="5"/>
  <c r="Y74" i="5"/>
  <c r="Y71" i="5"/>
  <c r="I155" i="5"/>
  <c r="I131" i="5"/>
  <c r="I148" i="5"/>
  <c r="I147" i="5"/>
  <c r="I144" i="5"/>
  <c r="I88" i="5"/>
  <c r="I91" i="5" s="1"/>
  <c r="I81" i="5"/>
  <c r="I80" i="5"/>
  <c r="I79" i="5"/>
  <c r="I78" i="5"/>
  <c r="I75" i="5"/>
  <c r="I71" i="5"/>
  <c r="I55" i="5"/>
  <c r="I48" i="5"/>
  <c r="I42" i="5"/>
  <c r="I34" i="5"/>
  <c r="I33" i="5"/>
  <c r="I32" i="5"/>
  <c r="I24" i="5"/>
  <c r="I14" i="5"/>
  <c r="I13" i="5"/>
  <c r="Y78" i="5" l="1"/>
  <c r="I83" i="5"/>
  <c r="I28" i="5"/>
  <c r="I43" i="5"/>
  <c r="Y88" i="5"/>
  <c r="J28" i="5"/>
  <c r="I119" i="5"/>
  <c r="Y75" i="5"/>
  <c r="Y79" i="5"/>
  <c r="Y90" i="5"/>
  <c r="Y95" i="5"/>
  <c r="J147" i="5"/>
  <c r="I18" i="5"/>
  <c r="I143" i="5"/>
  <c r="I149" i="5"/>
  <c r="Y69" i="5"/>
  <c r="Y76" i="5"/>
  <c r="Y80" i="5"/>
  <c r="Y86" i="5"/>
  <c r="Y91" i="5"/>
  <c r="O155" i="5"/>
  <c r="AB80" i="5"/>
  <c r="J83" i="5"/>
  <c r="K84" i="5"/>
  <c r="K93" i="5" s="1"/>
  <c r="K96" i="5" s="1"/>
  <c r="K97" i="5" s="1"/>
  <c r="AC78" i="5"/>
  <c r="AC79" i="5"/>
  <c r="AC95" i="5"/>
  <c r="M131" i="5"/>
  <c r="AC88" i="5"/>
  <c r="AC80" i="5"/>
  <c r="AC89" i="5"/>
  <c r="M84" i="5"/>
  <c r="AC83" i="5"/>
  <c r="AC76" i="5"/>
  <c r="AC86" i="5"/>
  <c r="AC71" i="5"/>
  <c r="AC87" i="5"/>
  <c r="AC74" i="5"/>
  <c r="AC75" i="5"/>
  <c r="AC81" i="5"/>
  <c r="AC90" i="5"/>
  <c r="AC91" i="5"/>
  <c r="AC69" i="5"/>
  <c r="AC77" i="5"/>
  <c r="L84" i="5"/>
  <c r="AB79" i="5"/>
  <c r="AB69" i="5"/>
  <c r="AB89" i="5"/>
  <c r="AB94" i="5"/>
  <c r="AB86" i="5"/>
  <c r="AB90" i="5"/>
  <c r="AB77" i="5"/>
  <c r="AB81" i="5"/>
  <c r="AB95" i="5"/>
  <c r="AB74" i="5"/>
  <c r="AB87" i="5"/>
  <c r="AB91" i="5"/>
  <c r="AB78" i="5"/>
  <c r="AB83" i="5"/>
  <c r="AB75" i="5"/>
  <c r="AB88" i="5"/>
  <c r="AA74" i="5"/>
  <c r="AA83" i="5"/>
  <c r="AA77" i="5"/>
  <c r="AA87" i="5"/>
  <c r="K131" i="5"/>
  <c r="AA69" i="5"/>
  <c r="AA80" i="5"/>
  <c r="AA90" i="5"/>
  <c r="AA89" i="5"/>
  <c r="AA75" i="5"/>
  <c r="AA94" i="5"/>
  <c r="AA78" i="5"/>
  <c r="AA88" i="5"/>
  <c r="AA79" i="5"/>
  <c r="AA71" i="5"/>
  <c r="AA81" i="5"/>
  <c r="AA91" i="5"/>
  <c r="Z69" i="5"/>
  <c r="Z76" i="5"/>
  <c r="Z78" i="5"/>
  <c r="Z88" i="5"/>
  <c r="Z90" i="5"/>
  <c r="Z95" i="5"/>
  <c r="AE99" i="5"/>
  <c r="AE94" i="5"/>
  <c r="Z74" i="5"/>
  <c r="Z86" i="5"/>
  <c r="Z71" i="5"/>
  <c r="Z75" i="5"/>
  <c r="Z77" i="5"/>
  <c r="Z79" i="5"/>
  <c r="Z81" i="5"/>
  <c r="Z87" i="5"/>
  <c r="Z89" i="5"/>
  <c r="Z91" i="5"/>
  <c r="Z94" i="5"/>
  <c r="K114" i="5"/>
  <c r="J113" i="5"/>
  <c r="J114" i="5"/>
  <c r="J50" i="5"/>
  <c r="K56" i="5"/>
  <c r="K148" i="5"/>
  <c r="K149" i="5"/>
  <c r="K147" i="5"/>
  <c r="K143" i="5"/>
  <c r="K119" i="5"/>
  <c r="K120" i="5"/>
  <c r="J119" i="5"/>
  <c r="J143" i="5"/>
  <c r="J149" i="5"/>
  <c r="J120" i="5"/>
  <c r="J144" i="5"/>
  <c r="J148" i="5"/>
  <c r="K118" i="5"/>
  <c r="L144" i="5"/>
  <c r="L149" i="5"/>
  <c r="L147" i="5"/>
  <c r="L119" i="5"/>
  <c r="L143" i="5"/>
  <c r="L148" i="5"/>
  <c r="M143" i="5"/>
  <c r="M149" i="5"/>
  <c r="M119" i="5"/>
  <c r="M147" i="5"/>
  <c r="M144" i="5"/>
  <c r="M50" i="5"/>
  <c r="M56" i="5" s="1"/>
  <c r="L50" i="5"/>
  <c r="L56" i="5" s="1"/>
  <c r="M113" i="5"/>
  <c r="M114" i="5"/>
  <c r="K35" i="5"/>
  <c r="K36" i="5"/>
  <c r="AA21" i="5" s="1"/>
  <c r="K113" i="5"/>
  <c r="L18" i="5"/>
  <c r="L36" i="5" s="1"/>
  <c r="L114" i="5"/>
  <c r="M35" i="5"/>
  <c r="M120" i="5"/>
  <c r="M36" i="5"/>
  <c r="L35" i="5"/>
  <c r="L120" i="5"/>
  <c r="D36" i="2"/>
  <c r="C48" i="1"/>
  <c r="D48" i="1" s="1"/>
  <c r="E48" i="1" s="1"/>
  <c r="C23" i="1"/>
  <c r="D87" i="1"/>
  <c r="G87" i="1" s="1"/>
  <c r="C87" i="1"/>
  <c r="F87" i="1" s="1"/>
  <c r="B105" i="1"/>
  <c r="B101" i="1"/>
  <c r="B100" i="1"/>
  <c r="B96" i="1"/>
  <c r="B95" i="1"/>
  <c r="B93" i="1"/>
  <c r="B91" i="1"/>
  <c r="B87" i="1"/>
  <c r="E87" i="1" s="1"/>
  <c r="B84" i="1"/>
  <c r="B82" i="1"/>
  <c r="B81" i="1"/>
  <c r="B79" i="1"/>
  <c r="A87" i="1"/>
  <c r="A130" i="1" s="1"/>
  <c r="B74" i="1"/>
  <c r="B57" i="1"/>
  <c r="B50" i="1"/>
  <c r="B49" i="1"/>
  <c r="C49" i="1" s="1"/>
  <c r="D49" i="1" s="1"/>
  <c r="E49" i="1" s="1"/>
  <c r="F49" i="1" s="1"/>
  <c r="G49" i="1" s="1"/>
  <c r="B48" i="1"/>
  <c r="B44" i="1"/>
  <c r="B43" i="1"/>
  <c r="B33" i="1"/>
  <c r="B28" i="1"/>
  <c r="B24" i="1"/>
  <c r="B23" i="1"/>
  <c r="B19" i="1"/>
  <c r="B18" i="1"/>
  <c r="B17" i="1"/>
  <c r="B13" i="1"/>
  <c r="D90" i="5"/>
  <c r="E90" i="5"/>
  <c r="D81" i="5"/>
  <c r="E81" i="5"/>
  <c r="B94" i="1"/>
  <c r="F81" i="5"/>
  <c r="F80" i="5"/>
  <c r="G81" i="5"/>
  <c r="B86" i="1"/>
  <c r="H81" i="5"/>
  <c r="Q82" i="5"/>
  <c r="G87" i="5"/>
  <c r="I14" i="10"/>
  <c r="H88" i="5"/>
  <c r="H79" i="5"/>
  <c r="H78" i="5"/>
  <c r="N71" i="5"/>
  <c r="AE69" i="5" s="1"/>
  <c r="B85" i="1"/>
  <c r="B83" i="1"/>
  <c r="B80" i="1"/>
  <c r="B45" i="1"/>
  <c r="B35" i="1"/>
  <c r="C35" i="1" s="1"/>
  <c r="B16" i="1"/>
  <c r="B14" i="1"/>
  <c r="C14" i="1" s="1"/>
  <c r="D14" i="1" s="1"/>
  <c r="E14" i="1" s="1"/>
  <c r="F14" i="1" s="1"/>
  <c r="G14" i="1" s="1"/>
  <c r="D154" i="5"/>
  <c r="I35" i="5" l="1"/>
  <c r="I36" i="5"/>
  <c r="I113" i="5"/>
  <c r="Y18" i="5"/>
  <c r="J36" i="5"/>
  <c r="I120" i="5"/>
  <c r="I50" i="5"/>
  <c r="I84" i="5"/>
  <c r="Y83" i="5"/>
  <c r="J35" i="5"/>
  <c r="J118" i="5"/>
  <c r="I134" i="5"/>
  <c r="I114" i="5"/>
  <c r="Z83" i="5"/>
  <c r="AA99" i="5"/>
  <c r="AA96" i="5"/>
  <c r="AA84" i="5"/>
  <c r="K124" i="5"/>
  <c r="AA93" i="5"/>
  <c r="K121" i="5"/>
  <c r="J84" i="5"/>
  <c r="Z84" i="5" s="1"/>
  <c r="K11" i="10"/>
  <c r="K26" i="10" s="1"/>
  <c r="K47" i="10" s="1"/>
  <c r="K51" i="10" s="1"/>
  <c r="K125" i="5"/>
  <c r="AE77" i="5"/>
  <c r="AE80" i="5"/>
  <c r="AE74" i="5"/>
  <c r="AE87" i="5"/>
  <c r="AE90" i="5"/>
  <c r="AE75" i="5"/>
  <c r="AE78" i="5"/>
  <c r="AE88" i="5"/>
  <c r="AE81" i="5"/>
  <c r="AE79" i="5"/>
  <c r="AE86" i="5"/>
  <c r="AE89" i="5"/>
  <c r="AE76" i="5"/>
  <c r="AE71" i="5"/>
  <c r="AE95" i="5"/>
  <c r="M93" i="5"/>
  <c r="AC84" i="5"/>
  <c r="M124" i="5"/>
  <c r="L93" i="5"/>
  <c r="L124" i="5"/>
  <c r="AB84" i="5"/>
  <c r="AA22" i="5"/>
  <c r="AA23" i="5"/>
  <c r="AA13" i="5"/>
  <c r="Z55" i="5"/>
  <c r="Z43" i="5"/>
  <c r="Z48" i="5"/>
  <c r="Z32" i="5"/>
  <c r="Z18" i="5"/>
  <c r="Z41" i="5"/>
  <c r="Z22" i="5"/>
  <c r="Z33" i="5"/>
  <c r="Z21" i="5"/>
  <c r="Z31" i="5"/>
  <c r="Z17" i="5"/>
  <c r="Z46" i="5"/>
  <c r="Z40" i="5"/>
  <c r="Z26" i="5"/>
  <c r="Z36" i="5"/>
  <c r="Z14" i="5"/>
  <c r="Z54" i="5"/>
  <c r="Z13" i="5"/>
  <c r="Z47" i="5"/>
  <c r="Z34" i="5"/>
  <c r="Z50" i="5"/>
  <c r="Z28" i="5"/>
  <c r="J56" i="5"/>
  <c r="L118" i="5"/>
  <c r="M118" i="5"/>
  <c r="L58" i="5"/>
  <c r="AA14" i="5"/>
  <c r="AA48" i="5"/>
  <c r="AA15" i="5"/>
  <c r="AA18" i="5"/>
  <c r="AA45" i="5"/>
  <c r="AA31" i="5"/>
  <c r="AA54" i="5"/>
  <c r="AA17" i="5"/>
  <c r="AA12" i="5"/>
  <c r="AA35" i="5"/>
  <c r="K58" i="5"/>
  <c r="AA36" i="5"/>
  <c r="AA47" i="5"/>
  <c r="AA41" i="5"/>
  <c r="AA40" i="5"/>
  <c r="AA42" i="5"/>
  <c r="AA50" i="5"/>
  <c r="AA34" i="5"/>
  <c r="AA33" i="5"/>
  <c r="AA43" i="5"/>
  <c r="AA46" i="5"/>
  <c r="AA26" i="5"/>
  <c r="AA28" i="5"/>
  <c r="AA55" i="5"/>
  <c r="AA24" i="5"/>
  <c r="AA56" i="5"/>
  <c r="AA16" i="5"/>
  <c r="AA32" i="5"/>
  <c r="L113" i="5"/>
  <c r="AC45" i="5"/>
  <c r="AC33" i="5"/>
  <c r="AC21" i="5"/>
  <c r="AC56" i="5"/>
  <c r="AC40" i="5"/>
  <c r="AC34" i="5"/>
  <c r="AC12" i="5"/>
  <c r="AC42" i="5"/>
  <c r="AC17" i="5"/>
  <c r="AC54" i="5"/>
  <c r="AC41" i="5"/>
  <c r="AC16" i="5"/>
  <c r="AC47" i="5"/>
  <c r="AC32" i="5"/>
  <c r="AC18" i="5"/>
  <c r="AC50" i="5"/>
  <c r="AC15" i="5"/>
  <c r="AC46" i="5"/>
  <c r="AC31" i="5"/>
  <c r="AC48" i="5"/>
  <c r="AC36" i="5"/>
  <c r="AC14" i="5"/>
  <c r="AC23" i="5"/>
  <c r="AC13" i="5"/>
  <c r="AC43" i="5"/>
  <c r="AC26" i="5"/>
  <c r="AC22" i="5"/>
  <c r="AC55" i="5"/>
  <c r="AC28" i="5"/>
  <c r="AC35" i="5"/>
  <c r="AC24" i="5"/>
  <c r="M58" i="5"/>
  <c r="AB55" i="5"/>
  <c r="AB50" i="5"/>
  <c r="AB47" i="5"/>
  <c r="AB45" i="5"/>
  <c r="AB42" i="5"/>
  <c r="AB40" i="5"/>
  <c r="AB33" i="5"/>
  <c r="AB31" i="5"/>
  <c r="AB26" i="5"/>
  <c r="AB23" i="5"/>
  <c r="AB21" i="5"/>
  <c r="AB17" i="5"/>
  <c r="AB15" i="5"/>
  <c r="AB13" i="5"/>
  <c r="AB56" i="5"/>
  <c r="AB48" i="5"/>
  <c r="AB43" i="5"/>
  <c r="AB41" i="5"/>
  <c r="AB34" i="5"/>
  <c r="AB32" i="5"/>
  <c r="AB22" i="5"/>
  <c r="AB18" i="5"/>
  <c r="AB14" i="5"/>
  <c r="AB12" i="5"/>
  <c r="AB54" i="5"/>
  <c r="AB46" i="5"/>
  <c r="AB36" i="5"/>
  <c r="AB24" i="5"/>
  <c r="AB16" i="5"/>
  <c r="AB28" i="5"/>
  <c r="AB35" i="5"/>
  <c r="N83" i="5"/>
  <c r="B34" i="1"/>
  <c r="C34" i="1" s="1"/>
  <c r="D34" i="1" s="1"/>
  <c r="E34" i="1" s="1"/>
  <c r="F34" i="1" s="1"/>
  <c r="G34" i="1" s="1"/>
  <c r="B88" i="1"/>
  <c r="F48" i="1"/>
  <c r="G48" i="1" s="1"/>
  <c r="AI69" i="5"/>
  <c r="A234" i="1"/>
  <c r="A233" i="1"/>
  <c r="Z56" i="5" l="1"/>
  <c r="I56" i="5"/>
  <c r="Y50" i="5"/>
  <c r="I118" i="5"/>
  <c r="Y35" i="5"/>
  <c r="I93" i="5"/>
  <c r="Y84" i="5"/>
  <c r="I124" i="5"/>
  <c r="Y45" i="5"/>
  <c r="Y40" i="5"/>
  <c r="Y26" i="5"/>
  <c r="Y21" i="5"/>
  <c r="Y15" i="5"/>
  <c r="Y36" i="5"/>
  <c r="Y55" i="5"/>
  <c r="Y47" i="5"/>
  <c r="Y31" i="5"/>
  <c r="Y23" i="5"/>
  <c r="Y17" i="5"/>
  <c r="Y13" i="5"/>
  <c r="Y54" i="5"/>
  <c r="Y46" i="5"/>
  <c r="Y41" i="5"/>
  <c r="Y22" i="5"/>
  <c r="Y16" i="5"/>
  <c r="Y12" i="5"/>
  <c r="Y42" i="5"/>
  <c r="Y33" i="5"/>
  <c r="Y24" i="5"/>
  <c r="Y32" i="5"/>
  <c r="Y34" i="5"/>
  <c r="Y48" i="5"/>
  <c r="Y14" i="5"/>
  <c r="Y43" i="5"/>
  <c r="Z24" i="5"/>
  <c r="Y28" i="5"/>
  <c r="J58" i="5"/>
  <c r="Z35" i="5"/>
  <c r="Z23" i="5"/>
  <c r="Z15" i="5"/>
  <c r="Z12" i="5"/>
  <c r="Z42" i="5"/>
  <c r="Z16" i="5"/>
  <c r="Z45" i="5"/>
  <c r="AE83" i="5"/>
  <c r="J124" i="5"/>
  <c r="J93" i="5"/>
  <c r="J121" i="5" s="1"/>
  <c r="M96" i="5"/>
  <c r="M97" i="5" s="1"/>
  <c r="M121" i="5"/>
  <c r="AC93" i="5"/>
  <c r="L96" i="5"/>
  <c r="L97" i="5" s="1"/>
  <c r="AB93" i="5"/>
  <c r="L121" i="5"/>
  <c r="G157" i="1"/>
  <c r="F157" i="1"/>
  <c r="E157" i="1"/>
  <c r="D157" i="1"/>
  <c r="C157" i="1"/>
  <c r="A208" i="1"/>
  <c r="A207" i="1"/>
  <c r="A206" i="1"/>
  <c r="A205" i="1"/>
  <c r="A204" i="1"/>
  <c r="A202" i="1"/>
  <c r="A200" i="1"/>
  <c r="A199" i="1"/>
  <c r="A198" i="1"/>
  <c r="A197" i="1"/>
  <c r="A196" i="1"/>
  <c r="A194" i="1"/>
  <c r="A193" i="1"/>
  <c r="A192" i="1"/>
  <c r="A191" i="1"/>
  <c r="A190" i="1"/>
  <c r="A189" i="1"/>
  <c r="A186" i="1"/>
  <c r="A185" i="1"/>
  <c r="A184" i="1"/>
  <c r="A183" i="1"/>
  <c r="A182" i="1"/>
  <c r="A181" i="1"/>
  <c r="A180" i="1"/>
  <c r="A178" i="1"/>
  <c r="A176" i="1"/>
  <c r="A174" i="1"/>
  <c r="A173" i="1"/>
  <c r="A172" i="1"/>
  <c r="A171" i="1"/>
  <c r="A170" i="1"/>
  <c r="A168" i="1"/>
  <c r="A167" i="1"/>
  <c r="A166" i="1"/>
  <c r="A165" i="1"/>
  <c r="A164" i="1"/>
  <c r="A163" i="1"/>
  <c r="A162" i="1"/>
  <c r="A161" i="1"/>
  <c r="A160" i="1"/>
  <c r="A158" i="1"/>
  <c r="Y56" i="5" l="1"/>
  <c r="I58" i="5"/>
  <c r="I96" i="5"/>
  <c r="Y93" i="5"/>
  <c r="I121" i="5"/>
  <c r="J96" i="5"/>
  <c r="Z93" i="5"/>
  <c r="AC99" i="5"/>
  <c r="AC96" i="5"/>
  <c r="M125" i="5"/>
  <c r="M11" i="10"/>
  <c r="M26" i="10" s="1"/>
  <c r="M47" i="10" s="1"/>
  <c r="M51" i="10" s="1"/>
  <c r="AB96" i="5"/>
  <c r="L11" i="10"/>
  <c r="L26" i="10" s="1"/>
  <c r="L47" i="10" s="1"/>
  <c r="L51" i="10" s="1"/>
  <c r="AB99" i="5"/>
  <c r="L125" i="5"/>
  <c r="A154" i="1"/>
  <c r="A148" i="1"/>
  <c r="A147" i="1"/>
  <c r="A145" i="1"/>
  <c r="A144" i="1"/>
  <c r="A143" i="1"/>
  <c r="A142" i="1"/>
  <c r="A140" i="1"/>
  <c r="A139" i="1"/>
  <c r="A138" i="1"/>
  <c r="A137" i="1"/>
  <c r="A136" i="1"/>
  <c r="A135" i="1"/>
  <c r="A134" i="1"/>
  <c r="A132" i="1"/>
  <c r="A131" i="1"/>
  <c r="A129" i="1"/>
  <c r="A128" i="1"/>
  <c r="A127" i="1"/>
  <c r="A126" i="1"/>
  <c r="A125" i="1"/>
  <c r="A124" i="1"/>
  <c r="A123" i="1"/>
  <c r="A122" i="1"/>
  <c r="A121" i="1"/>
  <c r="A119" i="1"/>
  <c r="A117" i="1"/>
  <c r="A116" i="1"/>
  <c r="A115" i="1"/>
  <c r="B114" i="1"/>
  <c r="B157" i="1" s="1"/>
  <c r="A6" i="1"/>
  <c r="J64" i="2"/>
  <c r="I64" i="2"/>
  <c r="H64" i="2"/>
  <c r="G64" i="2"/>
  <c r="E64" i="2"/>
  <c r="F64" i="2"/>
  <c r="B74" i="2"/>
  <c r="B72" i="2"/>
  <c r="B71" i="2"/>
  <c r="B70" i="2"/>
  <c r="B69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2" i="2"/>
  <c r="B50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27" i="2"/>
  <c r="H155" i="5"/>
  <c r="G155" i="5"/>
  <c r="F155" i="5"/>
  <c r="D155" i="5"/>
  <c r="E155" i="5"/>
  <c r="H154" i="5"/>
  <c r="G154" i="5"/>
  <c r="F154" i="5"/>
  <c r="E154" i="5"/>
  <c r="I97" i="5" l="1"/>
  <c r="Y96" i="5"/>
  <c r="I125" i="5"/>
  <c r="Y99" i="5"/>
  <c r="J11" i="10"/>
  <c r="J26" i="10" s="1"/>
  <c r="J47" i="10" s="1"/>
  <c r="J51" i="10" s="1"/>
  <c r="J97" i="5"/>
  <c r="Z99" i="5"/>
  <c r="J125" i="5"/>
  <c r="Z96" i="5"/>
  <c r="K64" i="2"/>
  <c r="B23" i="2"/>
  <c r="B22" i="2"/>
  <c r="B21" i="2"/>
  <c r="B20" i="2"/>
  <c r="B19" i="2"/>
  <c r="B18" i="2"/>
  <c r="B17" i="2"/>
  <c r="H48" i="1" l="1"/>
  <c r="Q89" i="5"/>
  <c r="B30" i="10"/>
  <c r="B38" i="10" s="1"/>
  <c r="C30" i="10"/>
  <c r="B14" i="10"/>
  <c r="C14" i="10"/>
  <c r="D13" i="5"/>
  <c r="D21" i="10"/>
  <c r="D14" i="10"/>
  <c r="E13" i="5"/>
  <c r="F13" i="5"/>
  <c r="E21" i="10"/>
  <c r="E14" i="10"/>
  <c r="F14" i="10"/>
  <c r="I49" i="10"/>
  <c r="G49" i="10"/>
  <c r="F49" i="10"/>
  <c r="E49" i="10"/>
  <c r="H49" i="10"/>
  <c r="Q13" i="5"/>
  <c r="G13" i="5"/>
  <c r="H13" i="5"/>
  <c r="I45" i="10"/>
  <c r="F45" i="10"/>
  <c r="E45" i="10"/>
  <c r="D45" i="10"/>
  <c r="C45" i="10"/>
  <c r="B45" i="10"/>
  <c r="G45" i="10"/>
  <c r="H45" i="10"/>
  <c r="I38" i="10"/>
  <c r="F38" i="10"/>
  <c r="E38" i="10"/>
  <c r="D38" i="10"/>
  <c r="C38" i="10"/>
  <c r="H33" i="10"/>
  <c r="G38" i="10"/>
  <c r="H38" i="10"/>
  <c r="H75" i="5"/>
  <c r="H14" i="10"/>
  <c r="G15" i="10"/>
  <c r="H15" i="10"/>
  <c r="G14" i="10"/>
  <c r="E9" i="10"/>
  <c r="F9" i="10" s="1"/>
  <c r="G9" i="10" s="1"/>
  <c r="H9" i="10" s="1"/>
  <c r="I9" i="10" s="1"/>
  <c r="A3" i="10"/>
  <c r="AL74" i="5" l="1"/>
  <c r="C105" i="1"/>
  <c r="B97" i="1"/>
  <c r="H49" i="1"/>
  <c r="C44" i="1"/>
  <c r="D44" i="1" s="1"/>
  <c r="E44" i="1" s="1"/>
  <c r="F44" i="1" s="1"/>
  <c r="G44" i="1" s="1"/>
  <c r="H44" i="1" s="1"/>
  <c r="B77" i="5"/>
  <c r="C77" i="5"/>
  <c r="C79" i="5"/>
  <c r="B79" i="5"/>
  <c r="B78" i="5"/>
  <c r="C78" i="5"/>
  <c r="C75" i="5"/>
  <c r="AG74" i="5" s="1"/>
  <c r="B75" i="5"/>
  <c r="C88" i="5"/>
  <c r="C91" i="5" s="1"/>
  <c r="C95" i="5"/>
  <c r="B95" i="5"/>
  <c r="C80" i="5"/>
  <c r="B80" i="5"/>
  <c r="C42" i="5"/>
  <c r="B42" i="5"/>
  <c r="B43" i="5" s="1"/>
  <c r="B91" i="5"/>
  <c r="C71" i="5"/>
  <c r="S86" i="5" s="1"/>
  <c r="B71" i="5"/>
  <c r="R88" i="5" s="1"/>
  <c r="C55" i="5"/>
  <c r="B55" i="5"/>
  <c r="B149" i="5" s="1"/>
  <c r="C48" i="5"/>
  <c r="B48" i="5"/>
  <c r="C43" i="5"/>
  <c r="B33" i="5"/>
  <c r="C33" i="5"/>
  <c r="B17" i="5"/>
  <c r="C17" i="5"/>
  <c r="C16" i="5"/>
  <c r="B16" i="5"/>
  <c r="B14" i="5"/>
  <c r="C14" i="5"/>
  <c r="B12" i="5"/>
  <c r="C49" i="10" s="1"/>
  <c r="C12" i="5"/>
  <c r="B34" i="5"/>
  <c r="C24" i="5"/>
  <c r="B24" i="5"/>
  <c r="B28" i="5" s="1"/>
  <c r="J134" i="5" s="1"/>
  <c r="J115" i="5" l="1"/>
  <c r="J132" i="5"/>
  <c r="C149" i="5"/>
  <c r="J128" i="5"/>
  <c r="D49" i="10"/>
  <c r="J131" i="5"/>
  <c r="R71" i="5"/>
  <c r="F40" i="2"/>
  <c r="G40" i="2"/>
  <c r="R74" i="5"/>
  <c r="R94" i="5"/>
  <c r="R78" i="5"/>
  <c r="R69" i="5"/>
  <c r="R70" i="5"/>
  <c r="R90" i="5"/>
  <c r="S94" i="5"/>
  <c r="S71" i="5"/>
  <c r="S76" i="5"/>
  <c r="S79" i="5"/>
  <c r="S81" i="5"/>
  <c r="S80" i="5"/>
  <c r="S70" i="5"/>
  <c r="S90" i="5"/>
  <c r="R95" i="5"/>
  <c r="S87" i="5"/>
  <c r="S74" i="5"/>
  <c r="C115" i="5"/>
  <c r="S69" i="5"/>
  <c r="B18" i="5"/>
  <c r="B36" i="5" s="1"/>
  <c r="I135" i="5" s="1"/>
  <c r="C18" i="5"/>
  <c r="S75" i="5"/>
  <c r="R80" i="5"/>
  <c r="R77" i="5"/>
  <c r="C83" i="5"/>
  <c r="S83" i="5" s="1"/>
  <c r="C28" i="5"/>
  <c r="C34" i="5"/>
  <c r="R76" i="5"/>
  <c r="S78" i="5"/>
  <c r="R81" i="5"/>
  <c r="R86" i="5"/>
  <c r="R87" i="5"/>
  <c r="S91" i="5"/>
  <c r="S95" i="5"/>
  <c r="S88" i="5"/>
  <c r="R79" i="5"/>
  <c r="S77" i="5"/>
  <c r="C131" i="5"/>
  <c r="C132" i="5"/>
  <c r="B114" i="5"/>
  <c r="C119" i="5"/>
  <c r="C143" i="5"/>
  <c r="C144" i="5"/>
  <c r="C147" i="5"/>
  <c r="C148" i="5"/>
  <c r="C114" i="5"/>
  <c r="B119" i="5"/>
  <c r="B120" i="5"/>
  <c r="B143" i="5"/>
  <c r="B144" i="5"/>
  <c r="B147" i="5"/>
  <c r="B148" i="5"/>
  <c r="B83" i="5"/>
  <c r="R83" i="5" s="1"/>
  <c r="R75" i="5"/>
  <c r="R91" i="5"/>
  <c r="C50" i="5"/>
  <c r="C56" i="5" s="1"/>
  <c r="B50" i="5"/>
  <c r="B118" i="5" s="1"/>
  <c r="B35" i="5"/>
  <c r="E16" i="5"/>
  <c r="F16" i="5"/>
  <c r="D16" i="5"/>
  <c r="D79" i="5"/>
  <c r="D78" i="5"/>
  <c r="D75" i="5"/>
  <c r="E79" i="5"/>
  <c r="F79" i="5"/>
  <c r="F78" i="5"/>
  <c r="E78" i="5"/>
  <c r="E75" i="5"/>
  <c r="F75" i="5"/>
  <c r="Q79" i="5"/>
  <c r="Q78" i="5"/>
  <c r="Q77" i="5"/>
  <c r="Q76" i="5"/>
  <c r="Q75" i="5"/>
  <c r="G79" i="5"/>
  <c r="G78" i="5"/>
  <c r="G75" i="5"/>
  <c r="H16" i="5"/>
  <c r="G16" i="5"/>
  <c r="Q15" i="5"/>
  <c r="H80" i="5"/>
  <c r="H83" i="5" s="1"/>
  <c r="H42" i="5"/>
  <c r="H43" i="5" s="1"/>
  <c r="H114" i="5" s="1"/>
  <c r="H17" i="5"/>
  <c r="H33" i="5"/>
  <c r="H14" i="5"/>
  <c r="H32" i="5"/>
  <c r="H24" i="5"/>
  <c r="H28" i="5" s="1"/>
  <c r="D45" i="2"/>
  <c r="O65" i="5"/>
  <c r="H71" i="5"/>
  <c r="H131" i="5" s="1"/>
  <c r="H55" i="5"/>
  <c r="I127" i="5" s="1"/>
  <c r="H48" i="5"/>
  <c r="A214" i="1"/>
  <c r="A68" i="1"/>
  <c r="H64" i="1"/>
  <c r="H108" i="1" s="1"/>
  <c r="H151" i="1" s="1"/>
  <c r="H212" i="1" s="1"/>
  <c r="A4" i="1"/>
  <c r="B52" i="1"/>
  <c r="B26" i="1"/>
  <c r="J18" i="2"/>
  <c r="K18" i="2" s="1"/>
  <c r="L18" i="2" s="1"/>
  <c r="AI90" i="5"/>
  <c r="D42" i="5"/>
  <c r="D80" i="5"/>
  <c r="D33" i="5"/>
  <c r="D34" i="5" s="1"/>
  <c r="D17" i="5"/>
  <c r="D14" i="5"/>
  <c r="E80" i="5"/>
  <c r="J19" i="2" s="1"/>
  <c r="E42" i="5"/>
  <c r="E43" i="5" s="1"/>
  <c r="E114" i="5" s="1"/>
  <c r="F42" i="5"/>
  <c r="E33" i="5"/>
  <c r="F33" i="5"/>
  <c r="F34" i="5" s="1"/>
  <c r="F35" i="5" s="1"/>
  <c r="E32" i="5"/>
  <c r="E34" i="5" s="1"/>
  <c r="F17" i="5"/>
  <c r="E17" i="5"/>
  <c r="E14" i="5"/>
  <c r="F14" i="5"/>
  <c r="Q83" i="5"/>
  <c r="G80" i="5"/>
  <c r="G42" i="5"/>
  <c r="G43" i="5" s="1"/>
  <c r="G33" i="5"/>
  <c r="G32" i="5"/>
  <c r="G17" i="5"/>
  <c r="G14" i="5"/>
  <c r="I132" i="5" s="1"/>
  <c r="AE8" i="5"/>
  <c r="E9" i="5"/>
  <c r="F9" i="5" s="1"/>
  <c r="G9" i="5" s="1"/>
  <c r="H9" i="5" s="1"/>
  <c r="I9" i="5" s="1"/>
  <c r="I67" i="5" s="1"/>
  <c r="I110" i="5" s="1"/>
  <c r="Q30" i="5"/>
  <c r="Q14" i="5"/>
  <c r="Q16" i="5"/>
  <c r="Q17" i="5"/>
  <c r="Q18" i="5"/>
  <c r="Q12" i="5"/>
  <c r="Q11" i="5"/>
  <c r="AE1" i="5"/>
  <c r="O59" i="5" s="1"/>
  <c r="AE59" i="5" s="1"/>
  <c r="O102" i="5" s="1"/>
  <c r="F71" i="5"/>
  <c r="V86" i="5" s="1"/>
  <c r="F91" i="5"/>
  <c r="V91" i="5" s="1"/>
  <c r="G71" i="5"/>
  <c r="AN56" i="5"/>
  <c r="AO56" i="5"/>
  <c r="AN53" i="5"/>
  <c r="AO53" i="5"/>
  <c r="AM53" i="5"/>
  <c r="E71" i="5"/>
  <c r="U86" i="5" s="1"/>
  <c r="E91" i="5"/>
  <c r="U91" i="5" s="1"/>
  <c r="AM56" i="5"/>
  <c r="F24" i="5"/>
  <c r="AD79" i="5"/>
  <c r="D21" i="2" s="1"/>
  <c r="N91" i="5"/>
  <c r="AJ46" i="5"/>
  <c r="AK46" i="5"/>
  <c r="AL46" i="5"/>
  <c r="D71" i="5"/>
  <c r="AI41" i="5" s="1"/>
  <c r="D1" i="2"/>
  <c r="A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D8" i="2"/>
  <c r="B24" i="2"/>
  <c r="B25" i="2"/>
  <c r="B26" i="2"/>
  <c r="B28" i="2"/>
  <c r="B29" i="2"/>
  <c r="B32" i="2"/>
  <c r="B33" i="2"/>
  <c r="A3" i="5"/>
  <c r="Q3" i="5" s="1"/>
  <c r="E24" i="5"/>
  <c r="E28" i="5" s="1"/>
  <c r="M134" i="5" s="1"/>
  <c r="G24" i="5"/>
  <c r="N24" i="5"/>
  <c r="AJ26" i="5"/>
  <c r="N34" i="5"/>
  <c r="Q41" i="5"/>
  <c r="N43" i="5"/>
  <c r="F48" i="5"/>
  <c r="N48" i="5"/>
  <c r="G48" i="5"/>
  <c r="G55" i="5"/>
  <c r="M127" i="5" s="1"/>
  <c r="E55" i="5"/>
  <c r="N55" i="5"/>
  <c r="T9" i="5"/>
  <c r="Q21" i="5"/>
  <c r="Q22" i="5"/>
  <c r="Q23" i="5"/>
  <c r="Q24" i="5"/>
  <c r="Q26" i="5"/>
  <c r="Q28" i="5"/>
  <c r="Q31" i="5"/>
  <c r="Q32" i="5"/>
  <c r="Q33" i="5"/>
  <c r="Q39" i="5"/>
  <c r="Q40" i="5"/>
  <c r="Q42" i="5"/>
  <c r="Q45" i="5"/>
  <c r="Q46" i="5"/>
  <c r="Q47" i="5"/>
  <c r="Q48" i="5"/>
  <c r="Q50" i="5"/>
  <c r="Q52" i="5"/>
  <c r="Q53" i="5"/>
  <c r="Q54" i="5"/>
  <c r="Q55" i="5"/>
  <c r="Q56" i="5"/>
  <c r="A63" i="5"/>
  <c r="D67" i="5"/>
  <c r="B16" i="2"/>
  <c r="AK75" i="5"/>
  <c r="AI86" i="5"/>
  <c r="AK86" i="5"/>
  <c r="AI88" i="5"/>
  <c r="D91" i="5"/>
  <c r="AE66" i="5"/>
  <c r="Q69" i="5"/>
  <c r="Q71" i="5"/>
  <c r="AD74" i="5"/>
  <c r="Q80" i="5"/>
  <c r="Q81" i="5"/>
  <c r="Q86" i="5"/>
  <c r="AD86" i="5"/>
  <c r="Q87" i="5"/>
  <c r="AD87" i="5"/>
  <c r="Q88" i="5"/>
  <c r="Q90" i="5"/>
  <c r="Q91" i="5"/>
  <c r="Q93" i="5"/>
  <c r="Q94" i="5"/>
  <c r="AD94" i="5"/>
  <c r="Q95" i="5"/>
  <c r="AD95" i="5"/>
  <c r="Q96" i="5"/>
  <c r="Q98" i="5"/>
  <c r="Q99" i="5"/>
  <c r="A106" i="5"/>
  <c r="O109" i="5"/>
  <c r="AD80" i="5"/>
  <c r="Q74" i="5"/>
  <c r="AD71" i="5"/>
  <c r="AJ86" i="5"/>
  <c r="F55" i="5"/>
  <c r="D55" i="5"/>
  <c r="AI26" i="5"/>
  <c r="D24" i="5"/>
  <c r="D48" i="5"/>
  <c r="AI46" i="5"/>
  <c r="E48" i="5"/>
  <c r="AM14" i="5"/>
  <c r="D43" i="5"/>
  <c r="AD90" i="5"/>
  <c r="D28" i="2" s="1"/>
  <c r="F43" i="5"/>
  <c r="AD83" i="5"/>
  <c r="E67" i="5"/>
  <c r="F67" i="5" s="1"/>
  <c r="V67" i="5" s="1"/>
  <c r="N18" i="5"/>
  <c r="B46" i="1"/>
  <c r="C50" i="1"/>
  <c r="D50" i="1" s="1"/>
  <c r="E50" i="1" s="1"/>
  <c r="F50" i="1" s="1"/>
  <c r="B76" i="1"/>
  <c r="F147" i="5" l="1"/>
  <c r="M128" i="5"/>
  <c r="L127" i="5"/>
  <c r="E143" i="5"/>
  <c r="K127" i="5"/>
  <c r="L128" i="5"/>
  <c r="M115" i="5"/>
  <c r="M132" i="5"/>
  <c r="AE43" i="5"/>
  <c r="G114" i="5"/>
  <c r="L132" i="5"/>
  <c r="L115" i="5"/>
  <c r="O115" i="5"/>
  <c r="N28" i="5"/>
  <c r="AE24" i="5"/>
  <c r="K132" i="5"/>
  <c r="O132" i="5" s="1"/>
  <c r="K115" i="5"/>
  <c r="C120" i="5"/>
  <c r="K134" i="5"/>
  <c r="AE18" i="5"/>
  <c r="AO46" i="5"/>
  <c r="K128" i="5"/>
  <c r="J127" i="5"/>
  <c r="N149" i="5"/>
  <c r="O149" i="5" s="1"/>
  <c r="AE55" i="5"/>
  <c r="AE48" i="5"/>
  <c r="C113" i="5"/>
  <c r="J133" i="5"/>
  <c r="AD91" i="5"/>
  <c r="AE91" i="5"/>
  <c r="N115" i="5"/>
  <c r="I115" i="5"/>
  <c r="AL99" i="5"/>
  <c r="I128" i="5"/>
  <c r="N147" i="5"/>
  <c r="O147" i="5" s="1"/>
  <c r="AG72" i="5"/>
  <c r="V94" i="5"/>
  <c r="AK40" i="5"/>
  <c r="T90" i="5"/>
  <c r="V81" i="5"/>
  <c r="U88" i="5"/>
  <c r="T95" i="5"/>
  <c r="F115" i="5"/>
  <c r="W80" i="5"/>
  <c r="T71" i="5"/>
  <c r="G147" i="5"/>
  <c r="V88" i="5"/>
  <c r="AI97" i="5"/>
  <c r="E131" i="5"/>
  <c r="U94" i="5"/>
  <c r="V71" i="5"/>
  <c r="B84" i="5"/>
  <c r="R84" i="5" s="1"/>
  <c r="AI14" i="5"/>
  <c r="AK26" i="5"/>
  <c r="T87" i="5"/>
  <c r="B113" i="5"/>
  <c r="U90" i="5"/>
  <c r="V69" i="5"/>
  <c r="G18" i="5"/>
  <c r="H34" i="5"/>
  <c r="H35" i="5" s="1"/>
  <c r="AJ40" i="5"/>
  <c r="G144" i="5"/>
  <c r="G50" i="5"/>
  <c r="G56" i="5" s="1"/>
  <c r="G119" i="5"/>
  <c r="AL14" i="5"/>
  <c r="T86" i="5"/>
  <c r="W95" i="5"/>
  <c r="F132" i="5"/>
  <c r="T94" i="5"/>
  <c r="T88" i="5"/>
  <c r="T69" i="5"/>
  <c r="AJ14" i="5"/>
  <c r="W94" i="5"/>
  <c r="W86" i="5"/>
  <c r="W71" i="5"/>
  <c r="AJ41" i="5"/>
  <c r="G149" i="5"/>
  <c r="G131" i="5"/>
  <c r="W87" i="5"/>
  <c r="T81" i="5"/>
  <c r="W90" i="5"/>
  <c r="G143" i="5"/>
  <c r="W88" i="5"/>
  <c r="G132" i="5"/>
  <c r="V95" i="5"/>
  <c r="U74" i="5"/>
  <c r="W74" i="5"/>
  <c r="V90" i="5"/>
  <c r="G148" i="5"/>
  <c r="U95" i="5"/>
  <c r="V80" i="5"/>
  <c r="N119" i="5"/>
  <c r="O119" i="5" s="1"/>
  <c r="AK74" i="5"/>
  <c r="G83" i="5"/>
  <c r="AK14" i="5"/>
  <c r="A104" i="5"/>
  <c r="T91" i="5"/>
  <c r="E148" i="5"/>
  <c r="AI74" i="5"/>
  <c r="E83" i="5"/>
  <c r="E84" i="5" s="1"/>
  <c r="E115" i="5"/>
  <c r="F50" i="5"/>
  <c r="F118" i="5" s="1"/>
  <c r="U80" i="5"/>
  <c r="AK41" i="5"/>
  <c r="E147" i="5"/>
  <c r="F131" i="5"/>
  <c r="C133" i="5"/>
  <c r="AJ74" i="5"/>
  <c r="F83" i="5"/>
  <c r="V83" i="5" s="1"/>
  <c r="D143" i="5"/>
  <c r="E132" i="5"/>
  <c r="N120" i="5"/>
  <c r="O120" i="5" s="1"/>
  <c r="E144" i="5"/>
  <c r="G115" i="5"/>
  <c r="D19" i="2"/>
  <c r="T89" i="5"/>
  <c r="D16" i="2"/>
  <c r="D27" i="2"/>
  <c r="D24" i="2"/>
  <c r="D18" i="2"/>
  <c r="D12" i="2"/>
  <c r="C74" i="1" s="1"/>
  <c r="C96" i="1" s="1"/>
  <c r="D26" i="2"/>
  <c r="D25" i="2"/>
  <c r="D23" i="2"/>
  <c r="C35" i="5"/>
  <c r="C84" i="5"/>
  <c r="C124" i="5" s="1"/>
  <c r="I19" i="2"/>
  <c r="D22" i="2"/>
  <c r="R35" i="5"/>
  <c r="A61" i="5"/>
  <c r="U81" i="5"/>
  <c r="U89" i="5"/>
  <c r="V77" i="5"/>
  <c r="V89" i="5"/>
  <c r="AH74" i="5"/>
  <c r="D17" i="2"/>
  <c r="D83" i="5"/>
  <c r="T83" i="5" s="1"/>
  <c r="C36" i="5"/>
  <c r="U71" i="5"/>
  <c r="V87" i="5"/>
  <c r="D20" i="2"/>
  <c r="N114" i="5"/>
  <c r="O114" i="5" s="1"/>
  <c r="N132" i="5"/>
  <c r="AD88" i="5"/>
  <c r="AD69" i="5"/>
  <c r="N113" i="5"/>
  <c r="O113" i="5" s="1"/>
  <c r="F110" i="5"/>
  <c r="AJ70" i="5"/>
  <c r="G28" i="5"/>
  <c r="G120" i="5" s="1"/>
  <c r="D35" i="1"/>
  <c r="E35" i="1" s="1"/>
  <c r="F35" i="1" s="1"/>
  <c r="G35" i="1" s="1"/>
  <c r="H35" i="1" s="1"/>
  <c r="B36" i="1"/>
  <c r="AM74" i="5"/>
  <c r="D115" i="5"/>
  <c r="K40" i="2"/>
  <c r="J40" i="2"/>
  <c r="D131" i="5"/>
  <c r="H67" i="5"/>
  <c r="H110" i="5" s="1"/>
  <c r="L40" i="2"/>
  <c r="B20" i="1"/>
  <c r="B131" i="1"/>
  <c r="H40" i="2"/>
  <c r="I40" i="2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B30" i="1"/>
  <c r="B135" i="1"/>
  <c r="B119" i="1"/>
  <c r="B123" i="1"/>
  <c r="B127" i="1"/>
  <c r="B136" i="1"/>
  <c r="B143" i="1"/>
  <c r="B124" i="1"/>
  <c r="B128" i="1"/>
  <c r="B137" i="1"/>
  <c r="B144" i="1"/>
  <c r="B117" i="1"/>
  <c r="B125" i="1"/>
  <c r="B129" i="1"/>
  <c r="B138" i="1"/>
  <c r="B122" i="1"/>
  <c r="B126" i="1"/>
  <c r="B134" i="1"/>
  <c r="B139" i="1"/>
  <c r="B140" i="1"/>
  <c r="A110" i="1"/>
  <c r="A153" i="1" s="1"/>
  <c r="F144" i="5"/>
  <c r="F149" i="5"/>
  <c r="F119" i="5"/>
  <c r="F148" i="5"/>
  <c r="F120" i="5"/>
  <c r="E119" i="5"/>
  <c r="E149" i="5"/>
  <c r="G50" i="1"/>
  <c r="H50" i="1" s="1"/>
  <c r="A66" i="1"/>
  <c r="T67" i="5"/>
  <c r="C67" i="5"/>
  <c r="B67" i="5" s="1"/>
  <c r="W81" i="5"/>
  <c r="W89" i="5"/>
  <c r="X95" i="5"/>
  <c r="X89" i="5"/>
  <c r="R13" i="5"/>
  <c r="R55" i="5"/>
  <c r="R54" i="5"/>
  <c r="R40" i="5"/>
  <c r="R39" i="5"/>
  <c r="R33" i="5"/>
  <c r="R22" i="5"/>
  <c r="R15" i="5"/>
  <c r="R12" i="5"/>
  <c r="R47" i="5"/>
  <c r="R46" i="5"/>
  <c r="R45" i="5"/>
  <c r="R41" i="5"/>
  <c r="R36" i="5"/>
  <c r="R32" i="5"/>
  <c r="R31" i="5"/>
  <c r="R26" i="5"/>
  <c r="R23" i="5"/>
  <c r="R21" i="5"/>
  <c r="R17" i="5"/>
  <c r="R14" i="5"/>
  <c r="R28" i="5"/>
  <c r="C118" i="5"/>
  <c r="C134" i="5"/>
  <c r="U9" i="5"/>
  <c r="V9" i="5" s="1"/>
  <c r="W9" i="5" s="1"/>
  <c r="X9" i="5" s="1"/>
  <c r="S9" i="5"/>
  <c r="D132" i="5"/>
  <c r="R48" i="5"/>
  <c r="R50" i="5"/>
  <c r="R42" i="5"/>
  <c r="R43" i="5"/>
  <c r="R24" i="5"/>
  <c r="R34" i="5"/>
  <c r="R16" i="5"/>
  <c r="R18" i="5"/>
  <c r="B56" i="5"/>
  <c r="AK99" i="5"/>
  <c r="N144" i="5"/>
  <c r="O144" i="5" s="1"/>
  <c r="AJ99" i="5"/>
  <c r="D149" i="5"/>
  <c r="AD67" i="5"/>
  <c r="AM70" i="5" s="1"/>
  <c r="N50" i="5"/>
  <c r="N148" i="5"/>
  <c r="O148" i="5" s="1"/>
  <c r="N143" i="5"/>
  <c r="O143" i="5" s="1"/>
  <c r="N134" i="5"/>
  <c r="N36" i="5"/>
  <c r="N35" i="5"/>
  <c r="E35" i="5"/>
  <c r="E120" i="5"/>
  <c r="X79" i="5"/>
  <c r="W78" i="5"/>
  <c r="X78" i="5"/>
  <c r="V75" i="5"/>
  <c r="U78" i="5"/>
  <c r="V79" i="5"/>
  <c r="G67" i="5"/>
  <c r="W67" i="5" s="1"/>
  <c r="U67" i="5"/>
  <c r="AI99" i="5"/>
  <c r="D28" i="5"/>
  <c r="L134" i="5" s="1"/>
  <c r="D18" i="5"/>
  <c r="K133" i="5" s="1"/>
  <c r="X75" i="5"/>
  <c r="W75" i="5"/>
  <c r="W79" i="5"/>
  <c r="U75" i="5"/>
  <c r="V78" i="5"/>
  <c r="U79" i="5"/>
  <c r="T75" i="5"/>
  <c r="T76" i="5"/>
  <c r="V76" i="5"/>
  <c r="X76" i="5"/>
  <c r="T77" i="5"/>
  <c r="X77" i="5"/>
  <c r="T78" i="5"/>
  <c r="T79" i="5"/>
  <c r="E50" i="5"/>
  <c r="E56" i="5" s="1"/>
  <c r="T74" i="5"/>
  <c r="AD75" i="5"/>
  <c r="AM72" i="5" s="1"/>
  <c r="U76" i="5"/>
  <c r="W76" i="5"/>
  <c r="AD76" i="5"/>
  <c r="U77" i="5"/>
  <c r="W77" i="5"/>
  <c r="AD77" i="5"/>
  <c r="AD78" i="5"/>
  <c r="T80" i="5"/>
  <c r="W69" i="5"/>
  <c r="U69" i="5"/>
  <c r="Q61" i="5"/>
  <c r="U87" i="5"/>
  <c r="V74" i="5"/>
  <c r="AL41" i="5"/>
  <c r="G34" i="5"/>
  <c r="G91" i="5"/>
  <c r="F18" i="5"/>
  <c r="F114" i="5"/>
  <c r="D119" i="5"/>
  <c r="D144" i="5"/>
  <c r="N131" i="5"/>
  <c r="O131" i="5" s="1"/>
  <c r="H18" i="5"/>
  <c r="H91" i="5"/>
  <c r="H132" i="5"/>
  <c r="X80" i="5"/>
  <c r="X86" i="5"/>
  <c r="X88" i="5"/>
  <c r="X94" i="5"/>
  <c r="H115" i="5"/>
  <c r="X69" i="5"/>
  <c r="X71" i="5"/>
  <c r="X74" i="5"/>
  <c r="X81" i="5"/>
  <c r="X87" i="5"/>
  <c r="X90" i="5"/>
  <c r="H50" i="5"/>
  <c r="H118" i="5" s="1"/>
  <c r="H119" i="5"/>
  <c r="H144" i="5"/>
  <c r="H148" i="5"/>
  <c r="H143" i="5"/>
  <c r="H147" i="5"/>
  <c r="H149" i="5"/>
  <c r="H120" i="5"/>
  <c r="H134" i="5"/>
  <c r="AD81" i="5"/>
  <c r="D114" i="5"/>
  <c r="D50" i="5"/>
  <c r="D56" i="5" s="1"/>
  <c r="N84" i="5"/>
  <c r="AJ97" i="5"/>
  <c r="F143" i="5"/>
  <c r="E18" i="5"/>
  <c r="L133" i="5" s="1"/>
  <c r="K19" i="2"/>
  <c r="D148" i="5"/>
  <c r="L19" i="2"/>
  <c r="D147" i="5"/>
  <c r="X67" i="5" l="1"/>
  <c r="AL70" i="5" s="1"/>
  <c r="Y9" i="5"/>
  <c r="Y67" i="5" s="1"/>
  <c r="O134" i="5"/>
  <c r="AE35" i="5"/>
  <c r="S17" i="5"/>
  <c r="J135" i="5"/>
  <c r="J126" i="5"/>
  <c r="G133" i="5"/>
  <c r="M133" i="5"/>
  <c r="O133" i="5" s="1"/>
  <c r="AD36" i="5"/>
  <c r="AE31" i="5"/>
  <c r="AE22" i="5"/>
  <c r="AE21" i="5"/>
  <c r="AE40" i="5"/>
  <c r="AE42" i="5"/>
  <c r="AE23" i="5"/>
  <c r="AE54" i="5"/>
  <c r="AE15" i="5"/>
  <c r="AE16" i="5"/>
  <c r="AE14" i="5"/>
  <c r="AE46" i="5"/>
  <c r="AE45" i="5"/>
  <c r="AE47" i="5"/>
  <c r="AE17" i="5"/>
  <c r="AE33" i="5"/>
  <c r="AE41" i="5"/>
  <c r="AE26" i="5"/>
  <c r="AE36" i="5"/>
  <c r="AE32" i="5"/>
  <c r="AE13" i="5"/>
  <c r="AE50" i="5"/>
  <c r="AE28" i="5"/>
  <c r="AE34" i="5"/>
  <c r="N124" i="5"/>
  <c r="O124" i="5" s="1"/>
  <c r="AE84" i="5"/>
  <c r="G113" i="5"/>
  <c r="I133" i="5"/>
  <c r="AK72" i="5"/>
  <c r="S55" i="5"/>
  <c r="AK97" i="5"/>
  <c r="S32" i="5"/>
  <c r="S14" i="5"/>
  <c r="C93" i="5"/>
  <c r="C121" i="5" s="1"/>
  <c r="S84" i="5"/>
  <c r="S45" i="5"/>
  <c r="S28" i="5"/>
  <c r="S43" i="5"/>
  <c r="C58" i="5"/>
  <c r="S56" i="5"/>
  <c r="N133" i="5"/>
  <c r="AH72" i="5"/>
  <c r="AH71" i="5" s="1"/>
  <c r="S42" i="5"/>
  <c r="S31" i="5"/>
  <c r="S24" i="5"/>
  <c r="B93" i="5"/>
  <c r="B121" i="5" s="1"/>
  <c r="G118" i="5"/>
  <c r="S46" i="5"/>
  <c r="S15" i="5"/>
  <c r="S39" i="5"/>
  <c r="S13" i="5"/>
  <c r="S18" i="5"/>
  <c r="S33" i="5"/>
  <c r="S21" i="5"/>
  <c r="S40" i="5"/>
  <c r="S47" i="5"/>
  <c r="S36" i="5"/>
  <c r="S12" i="5"/>
  <c r="S35" i="5"/>
  <c r="S22" i="5"/>
  <c r="S50" i="5"/>
  <c r="AL72" i="5"/>
  <c r="AM71" i="5" s="1"/>
  <c r="AI72" i="5"/>
  <c r="S16" i="5"/>
  <c r="S23" i="5"/>
  <c r="S48" i="5"/>
  <c r="B124" i="5"/>
  <c r="C135" i="5"/>
  <c r="S41" i="5"/>
  <c r="AD45" i="5"/>
  <c r="S34" i="5"/>
  <c r="S26" i="5"/>
  <c r="S54" i="5"/>
  <c r="AM41" i="5"/>
  <c r="F56" i="5"/>
  <c r="AH86" i="5"/>
  <c r="AJ72" i="5"/>
  <c r="AH80" i="5"/>
  <c r="B241" i="1"/>
  <c r="D134" i="5"/>
  <c r="B240" i="1"/>
  <c r="B253" i="1"/>
  <c r="D91" i="1"/>
  <c r="C91" i="1"/>
  <c r="B252" i="1"/>
  <c r="B228" i="1"/>
  <c r="G134" i="5"/>
  <c r="D84" i="5"/>
  <c r="N110" i="5"/>
  <c r="B10" i="1"/>
  <c r="B72" i="1" s="1"/>
  <c r="B115" i="1" s="1"/>
  <c r="B158" i="1" s="1"/>
  <c r="B258" i="1"/>
  <c r="B224" i="1"/>
  <c r="D133" i="5"/>
  <c r="D113" i="5"/>
  <c r="AN74" i="5"/>
  <c r="C76" i="1"/>
  <c r="C13" i="1" s="1"/>
  <c r="B257" i="1"/>
  <c r="N118" i="5"/>
  <c r="O118" i="5" s="1"/>
  <c r="B54" i="1"/>
  <c r="AD41" i="5"/>
  <c r="AD24" i="5"/>
  <c r="AD26" i="5"/>
  <c r="AD21" i="5"/>
  <c r="AD23" i="5"/>
  <c r="AD18" i="5"/>
  <c r="AD14" i="5"/>
  <c r="AD40" i="5"/>
  <c r="AD32" i="5"/>
  <c r="AD22" i="5"/>
  <c r="AD31" i="5"/>
  <c r="AH31" i="5" s="1"/>
  <c r="AD47" i="5"/>
  <c r="AD55" i="5"/>
  <c r="AD46" i="5"/>
  <c r="AH46" i="5" s="1"/>
  <c r="D70" i="2" s="1"/>
  <c r="M40" i="2"/>
  <c r="E110" i="5"/>
  <c r="AI70" i="5"/>
  <c r="D110" i="5"/>
  <c r="C110" i="5" s="1"/>
  <c r="B110" i="5" s="1"/>
  <c r="AH70" i="5"/>
  <c r="G110" i="5"/>
  <c r="AK70" i="5"/>
  <c r="H133" i="5"/>
  <c r="B37" i="1"/>
  <c r="C95" i="1"/>
  <c r="H56" i="5"/>
  <c r="AD15" i="5"/>
  <c r="AD13" i="5"/>
  <c r="R56" i="5"/>
  <c r="B58" i="5"/>
  <c r="S67" i="5"/>
  <c r="AG70" i="5" s="1"/>
  <c r="R9" i="5"/>
  <c r="R67" i="5" s="1"/>
  <c r="H36" i="5"/>
  <c r="X13" i="5" s="1"/>
  <c r="H113" i="5"/>
  <c r="D36" i="5"/>
  <c r="N56" i="5"/>
  <c r="AD43" i="5"/>
  <c r="AD33" i="5"/>
  <c r="AD42" i="5"/>
  <c r="AD48" i="5"/>
  <c r="AD16" i="5"/>
  <c r="AD12" i="5"/>
  <c r="AD35" i="5"/>
  <c r="AD28" i="5"/>
  <c r="AD34" i="5"/>
  <c r="AD17" i="5"/>
  <c r="AD50" i="5"/>
  <c r="AD54" i="5"/>
  <c r="U83" i="5"/>
  <c r="E134" i="5"/>
  <c r="F134" i="5"/>
  <c r="D35" i="5"/>
  <c r="D120" i="5"/>
  <c r="X91" i="5"/>
  <c r="F36" i="5"/>
  <c r="E118" i="5"/>
  <c r="F84" i="5"/>
  <c r="F124" i="5" s="1"/>
  <c r="G35" i="5"/>
  <c r="G36" i="5"/>
  <c r="I126" i="5" s="1"/>
  <c r="F113" i="5"/>
  <c r="W91" i="5"/>
  <c r="E124" i="5"/>
  <c r="E93" i="5"/>
  <c r="U84" i="5"/>
  <c r="H84" i="5"/>
  <c r="X84" i="5" s="1"/>
  <c r="X83" i="5"/>
  <c r="M19" i="2"/>
  <c r="B59" i="1"/>
  <c r="G84" i="5"/>
  <c r="G124" i="5" s="1"/>
  <c r="W83" i="5"/>
  <c r="D118" i="5"/>
  <c r="E36" i="5"/>
  <c r="E113" i="5"/>
  <c r="F133" i="5"/>
  <c r="AD84" i="5"/>
  <c r="N93" i="5"/>
  <c r="E133" i="5"/>
  <c r="AE93" i="5" l="1"/>
  <c r="L135" i="5"/>
  <c r="L126" i="5"/>
  <c r="AE56" i="5"/>
  <c r="M135" i="5"/>
  <c r="M126" i="5"/>
  <c r="T50" i="5"/>
  <c r="K135" i="5"/>
  <c r="O135" i="5" s="1"/>
  <c r="K126" i="5"/>
  <c r="AJ71" i="5"/>
  <c r="AK71" i="5"/>
  <c r="C96" i="5"/>
  <c r="C126" i="5" s="1"/>
  <c r="C119" i="1"/>
  <c r="C83" i="1"/>
  <c r="C126" i="1" s="1"/>
  <c r="S93" i="5"/>
  <c r="C10" i="1"/>
  <c r="C115" i="1" s="1"/>
  <c r="C158" i="1" s="1"/>
  <c r="AI71" i="5"/>
  <c r="R93" i="5"/>
  <c r="B96" i="5"/>
  <c r="B11" i="10" s="1"/>
  <c r="B26" i="10" s="1"/>
  <c r="B47" i="10" s="1"/>
  <c r="B51" i="10" s="1"/>
  <c r="C139" i="1"/>
  <c r="C80" i="1"/>
  <c r="C123" i="1" s="1"/>
  <c r="C93" i="1"/>
  <c r="C136" i="1" s="1"/>
  <c r="C134" i="1"/>
  <c r="C94" i="1"/>
  <c r="C137" i="1" s="1"/>
  <c r="AL71" i="5"/>
  <c r="G135" i="5"/>
  <c r="AL66" i="5"/>
  <c r="X15" i="5"/>
  <c r="AH15" i="5" s="1"/>
  <c r="D39" i="2" s="1"/>
  <c r="X35" i="5"/>
  <c r="C117" i="1"/>
  <c r="B243" i="1"/>
  <c r="X56" i="5"/>
  <c r="C79" i="1"/>
  <c r="C122" i="1" s="1"/>
  <c r="D74" i="1"/>
  <c r="D96" i="1" s="1"/>
  <c r="E58" i="5"/>
  <c r="U55" i="5"/>
  <c r="C143" i="1"/>
  <c r="C86" i="1"/>
  <c r="C129" i="1" s="1"/>
  <c r="AH14" i="5"/>
  <c r="AH32" i="5"/>
  <c r="F93" i="5"/>
  <c r="AI95" i="5" s="1"/>
  <c r="T36" i="5"/>
  <c r="T40" i="5"/>
  <c r="B229" i="1"/>
  <c r="C81" i="1"/>
  <c r="C124" i="1" s="1"/>
  <c r="C82" i="1"/>
  <c r="C125" i="1" s="1"/>
  <c r="U56" i="5"/>
  <c r="B222" i="1"/>
  <c r="AH13" i="5"/>
  <c r="C85" i="1"/>
  <c r="C28" i="1" s="1"/>
  <c r="C84" i="1"/>
  <c r="C127" i="1" s="1"/>
  <c r="D93" i="5"/>
  <c r="T84" i="5"/>
  <c r="D124" i="5"/>
  <c r="B227" i="1"/>
  <c r="N58" i="5"/>
  <c r="B256" i="1"/>
  <c r="W13" i="5"/>
  <c r="W24" i="5"/>
  <c r="B223" i="1"/>
  <c r="B60" i="1"/>
  <c r="B38" i="1"/>
  <c r="B202" i="1" s="1"/>
  <c r="C138" i="1"/>
  <c r="G91" i="1"/>
  <c r="T18" i="5"/>
  <c r="T13" i="5"/>
  <c r="G58" i="5"/>
  <c r="U15" i="5"/>
  <c r="U13" i="5"/>
  <c r="V48" i="5"/>
  <c r="V12" i="5"/>
  <c r="V13" i="5"/>
  <c r="F58" i="5"/>
  <c r="H58" i="5"/>
  <c r="D58" i="5"/>
  <c r="T23" i="5"/>
  <c r="T32" i="5"/>
  <c r="T42" i="5"/>
  <c r="T26" i="5"/>
  <c r="T24" i="5"/>
  <c r="T46" i="5"/>
  <c r="T28" i="5"/>
  <c r="T33" i="5"/>
  <c r="T34" i="5"/>
  <c r="T15" i="5"/>
  <c r="T43" i="5"/>
  <c r="T21" i="5"/>
  <c r="T48" i="5"/>
  <c r="T45" i="5"/>
  <c r="T47" i="5"/>
  <c r="T22" i="5"/>
  <c r="T14" i="5"/>
  <c r="T31" i="5"/>
  <c r="T54" i="5"/>
  <c r="T41" i="5"/>
  <c r="T16" i="5"/>
  <c r="T17" i="5"/>
  <c r="T55" i="5"/>
  <c r="T12" i="5"/>
  <c r="D135" i="5"/>
  <c r="X21" i="5"/>
  <c r="X33" i="5"/>
  <c r="X45" i="5"/>
  <c r="X18" i="5"/>
  <c r="X32" i="5"/>
  <c r="X41" i="5"/>
  <c r="AH41" i="5" s="1"/>
  <c r="X54" i="5"/>
  <c r="X17" i="5"/>
  <c r="X23" i="5"/>
  <c r="X31" i="5"/>
  <c r="X42" i="5"/>
  <c r="X47" i="5"/>
  <c r="AH47" i="5" s="1"/>
  <c r="D71" i="2" s="1"/>
  <c r="X55" i="5"/>
  <c r="X16" i="5"/>
  <c r="X22" i="5"/>
  <c r="X28" i="5"/>
  <c r="X34" i="5"/>
  <c r="X40" i="5"/>
  <c r="D64" i="2" s="1"/>
  <c r="X43" i="5"/>
  <c r="X48" i="5"/>
  <c r="X14" i="5"/>
  <c r="X26" i="5"/>
  <c r="X50" i="5"/>
  <c r="X12" i="5"/>
  <c r="X24" i="5"/>
  <c r="X36" i="5"/>
  <c r="X46" i="5"/>
  <c r="R99" i="5"/>
  <c r="W34" i="5"/>
  <c r="W15" i="5"/>
  <c r="V56" i="5"/>
  <c r="V15" i="5"/>
  <c r="T35" i="5"/>
  <c r="AD56" i="5"/>
  <c r="V50" i="5"/>
  <c r="V17" i="5"/>
  <c r="V32" i="5"/>
  <c r="V35" i="5"/>
  <c r="V34" i="5"/>
  <c r="V22" i="5"/>
  <c r="V46" i="5"/>
  <c r="V16" i="5"/>
  <c r="V41" i="5"/>
  <c r="V14" i="5"/>
  <c r="V42" i="5"/>
  <c r="U18" i="5"/>
  <c r="V47" i="5"/>
  <c r="V31" i="5"/>
  <c r="V54" i="5"/>
  <c r="V26" i="5"/>
  <c r="V28" i="5"/>
  <c r="V33" i="5"/>
  <c r="V18" i="5"/>
  <c r="V21" i="5"/>
  <c r="V45" i="5"/>
  <c r="V36" i="5"/>
  <c r="V55" i="5"/>
  <c r="V43" i="5"/>
  <c r="V23" i="5"/>
  <c r="V40" i="5"/>
  <c r="V24" i="5"/>
  <c r="V84" i="5"/>
  <c r="W45" i="5"/>
  <c r="W23" i="5"/>
  <c r="W26" i="5"/>
  <c r="W48" i="5"/>
  <c r="W33" i="5"/>
  <c r="W42" i="5"/>
  <c r="N135" i="5"/>
  <c r="W47" i="5"/>
  <c r="H135" i="5"/>
  <c r="W31" i="5"/>
  <c r="W55" i="5"/>
  <c r="W43" i="5"/>
  <c r="W22" i="5"/>
  <c r="W41" i="5"/>
  <c r="W46" i="5"/>
  <c r="W21" i="5"/>
  <c r="W17" i="5"/>
  <c r="W12" i="5"/>
  <c r="W56" i="5"/>
  <c r="W28" i="5"/>
  <c r="W18" i="5"/>
  <c r="W14" i="5"/>
  <c r="W36" i="5"/>
  <c r="W16" i="5"/>
  <c r="W40" i="5"/>
  <c r="W54" i="5"/>
  <c r="W32" i="5"/>
  <c r="W50" i="5"/>
  <c r="W35" i="5"/>
  <c r="F91" i="1"/>
  <c r="U93" i="5"/>
  <c r="E121" i="5"/>
  <c r="E96" i="5"/>
  <c r="E97" i="5" s="1"/>
  <c r="AN96" i="5"/>
  <c r="E91" i="1"/>
  <c r="H93" i="5"/>
  <c r="X93" i="5" s="1"/>
  <c r="H124" i="5"/>
  <c r="AD93" i="5"/>
  <c r="N121" i="5"/>
  <c r="O121" i="5" s="1"/>
  <c r="N96" i="5"/>
  <c r="U42" i="5"/>
  <c r="U36" i="5"/>
  <c r="U22" i="5"/>
  <c r="U34" i="5"/>
  <c r="U26" i="5"/>
  <c r="U47" i="5"/>
  <c r="U41" i="5"/>
  <c r="U31" i="5"/>
  <c r="U43" i="5"/>
  <c r="U21" i="5"/>
  <c r="U23" i="5"/>
  <c r="U46" i="5"/>
  <c r="F135" i="5"/>
  <c r="E135" i="5"/>
  <c r="U28" i="5"/>
  <c r="U17" i="5"/>
  <c r="U14" i="5"/>
  <c r="U16" i="5"/>
  <c r="U40" i="5"/>
  <c r="U33" i="5"/>
  <c r="U54" i="5"/>
  <c r="U45" i="5"/>
  <c r="U48" i="5"/>
  <c r="U32" i="5"/>
  <c r="U24" i="5"/>
  <c r="U35" i="5"/>
  <c r="U50" i="5"/>
  <c r="U12" i="5"/>
  <c r="W84" i="5"/>
  <c r="G93" i="5"/>
  <c r="B89" i="1"/>
  <c r="T56" i="5"/>
  <c r="N97" i="5" l="1"/>
  <c r="N11" i="10"/>
  <c r="N26" i="10" s="1"/>
  <c r="N47" i="10" s="1"/>
  <c r="N51" i="10" s="1"/>
  <c r="AE96" i="5"/>
  <c r="S98" i="5"/>
  <c r="D10" i="1"/>
  <c r="D115" i="1" s="1"/>
  <c r="D158" i="1" s="1"/>
  <c r="C11" i="10"/>
  <c r="C26" i="10" s="1"/>
  <c r="C47" i="10" s="1"/>
  <c r="C51" i="10" s="1"/>
  <c r="C127" i="5"/>
  <c r="S99" i="5"/>
  <c r="C125" i="5"/>
  <c r="S96" i="5"/>
  <c r="C72" i="1"/>
  <c r="R96" i="5"/>
  <c r="C219" i="1"/>
  <c r="R98" i="5"/>
  <c r="B125" i="5"/>
  <c r="AO96" i="5"/>
  <c r="AH12" i="5"/>
  <c r="AH17" i="5"/>
  <c r="D41" i="2" s="1"/>
  <c r="D95" i="1"/>
  <c r="F121" i="5"/>
  <c r="D76" i="1"/>
  <c r="D13" i="1" s="1"/>
  <c r="V93" i="5"/>
  <c r="F96" i="5"/>
  <c r="F97" i="5" s="1"/>
  <c r="D56" i="2"/>
  <c r="AH33" i="5"/>
  <c r="D57" i="2" s="1"/>
  <c r="B244" i="1"/>
  <c r="C88" i="1"/>
  <c r="C89" i="1" s="1"/>
  <c r="C233" i="1" s="1"/>
  <c r="AH16" i="5"/>
  <c r="D40" i="2" s="1"/>
  <c r="B233" i="1"/>
  <c r="AH40" i="5"/>
  <c r="C128" i="1"/>
  <c r="T93" i="5"/>
  <c r="AM96" i="5"/>
  <c r="D96" i="5"/>
  <c r="D121" i="5"/>
  <c r="AH26" i="5"/>
  <c r="D50" i="2" s="1"/>
  <c r="AH21" i="5"/>
  <c r="E126" i="5"/>
  <c r="E127" i="5"/>
  <c r="AH42" i="5"/>
  <c r="AH22" i="5"/>
  <c r="D55" i="2"/>
  <c r="B242" i="1"/>
  <c r="B199" i="1"/>
  <c r="B173" i="1"/>
  <c r="B163" i="1"/>
  <c r="B186" i="1"/>
  <c r="B166" i="1"/>
  <c r="B176" i="1"/>
  <c r="B191" i="1"/>
  <c r="B197" i="1"/>
  <c r="B161" i="1"/>
  <c r="B165" i="1"/>
  <c r="B172" i="1"/>
  <c r="B183" i="1"/>
  <c r="B196" i="1"/>
  <c r="B164" i="1"/>
  <c r="B171" i="1"/>
  <c r="B182" i="1"/>
  <c r="B193" i="1"/>
  <c r="B205" i="1"/>
  <c r="B162" i="1"/>
  <c r="B167" i="1"/>
  <c r="B181" i="1"/>
  <c r="B192" i="1"/>
  <c r="B198" i="1"/>
  <c r="B184" i="1"/>
  <c r="B168" i="1"/>
  <c r="B174" i="1"/>
  <c r="B190" i="1"/>
  <c r="B200" i="1"/>
  <c r="B194" i="1"/>
  <c r="B178" i="1"/>
  <c r="B61" i="1"/>
  <c r="B208" i="1"/>
  <c r="B185" i="1"/>
  <c r="B207" i="1"/>
  <c r="B99" i="1"/>
  <c r="B142" i="1" s="1"/>
  <c r="B132" i="1"/>
  <c r="H91" i="1"/>
  <c r="I11" i="10"/>
  <c r="I26" i="10" s="1"/>
  <c r="N127" i="5"/>
  <c r="O127" i="5" s="1"/>
  <c r="E11" i="10"/>
  <c r="E26" i="10" s="1"/>
  <c r="E47" i="10" s="1"/>
  <c r="E51" i="10" s="1"/>
  <c r="N125" i="5"/>
  <c r="O125" i="5" s="1"/>
  <c r="H96" i="5"/>
  <c r="X99" i="5" s="1"/>
  <c r="E125" i="5"/>
  <c r="U99" i="5"/>
  <c r="U96" i="5"/>
  <c r="AM55" i="5"/>
  <c r="AM57" i="5" s="1"/>
  <c r="AI96" i="5"/>
  <c r="H121" i="5"/>
  <c r="G96" i="5"/>
  <c r="G121" i="5"/>
  <c r="W93" i="5"/>
  <c r="AP96" i="5"/>
  <c r="AD96" i="5"/>
  <c r="N126" i="5"/>
  <c r="O126" i="5" s="1"/>
  <c r="AD99" i="5"/>
  <c r="N128" i="5"/>
  <c r="O128" i="5" s="1"/>
  <c r="E10" i="1" l="1"/>
  <c r="E219" i="1" s="1"/>
  <c r="D72" i="1"/>
  <c r="D219" i="1"/>
  <c r="F126" i="5"/>
  <c r="F127" i="5"/>
  <c r="AQ96" i="5"/>
  <c r="C131" i="1"/>
  <c r="F11" i="10"/>
  <c r="F26" i="10" s="1"/>
  <c r="F47" i="10" s="1"/>
  <c r="F51" i="10" s="1"/>
  <c r="V99" i="5"/>
  <c r="F128" i="5"/>
  <c r="F125" i="5"/>
  <c r="AN55" i="5"/>
  <c r="AN57" i="5" s="1"/>
  <c r="D138" i="1"/>
  <c r="AJ96" i="5"/>
  <c r="AK96" i="5" s="1"/>
  <c r="V96" i="5"/>
  <c r="E74" i="1"/>
  <c r="E96" i="1" s="1"/>
  <c r="D82" i="1"/>
  <c r="D125" i="1" s="1"/>
  <c r="D134" i="1"/>
  <c r="D80" i="1"/>
  <c r="D123" i="1" s="1"/>
  <c r="D83" i="1"/>
  <c r="D126" i="1" s="1"/>
  <c r="D81" i="1"/>
  <c r="D124" i="1" s="1"/>
  <c r="D93" i="1"/>
  <c r="D136" i="1" s="1"/>
  <c r="D85" i="1"/>
  <c r="D119" i="1"/>
  <c r="D139" i="1"/>
  <c r="D94" i="1"/>
  <c r="D137" i="1" s="1"/>
  <c r="D143" i="1"/>
  <c r="D84" i="1"/>
  <c r="D127" i="1" s="1"/>
  <c r="D79" i="1"/>
  <c r="D86" i="1"/>
  <c r="D129" i="1" s="1"/>
  <c r="D117" i="1"/>
  <c r="B230" i="1"/>
  <c r="D97" i="5"/>
  <c r="D11" i="10"/>
  <c r="D26" i="10" s="1"/>
  <c r="D47" i="10" s="1"/>
  <c r="D51" i="10" s="1"/>
  <c r="D127" i="5"/>
  <c r="T96" i="5"/>
  <c r="T99" i="5"/>
  <c r="D125" i="5"/>
  <c r="D126" i="5"/>
  <c r="I47" i="10"/>
  <c r="I51" i="10" s="1"/>
  <c r="X96" i="5"/>
  <c r="D46" i="2"/>
  <c r="AH24" i="5"/>
  <c r="AH34" i="5"/>
  <c r="D66" i="2"/>
  <c r="AH43" i="5"/>
  <c r="D67" i="2" s="1"/>
  <c r="B102" i="1"/>
  <c r="B148" i="1" s="1"/>
  <c r="C132" i="1"/>
  <c r="G125" i="5"/>
  <c r="G97" i="5"/>
  <c r="G11" i="10"/>
  <c r="G26" i="10" s="1"/>
  <c r="G47" i="10" s="1"/>
  <c r="G51" i="10" s="1"/>
  <c r="G127" i="5"/>
  <c r="H125" i="5"/>
  <c r="H97" i="5"/>
  <c r="H11" i="10"/>
  <c r="H26" i="10" s="1"/>
  <c r="H47" i="10" s="1"/>
  <c r="H51" i="10" s="1"/>
  <c r="H127" i="5"/>
  <c r="H126" i="5"/>
  <c r="H128" i="5"/>
  <c r="W96" i="5"/>
  <c r="W99" i="5"/>
  <c r="G126" i="5"/>
  <c r="G128" i="5"/>
  <c r="AO55" i="5"/>
  <c r="AO57" i="5" s="1"/>
  <c r="E72" i="1"/>
  <c r="F10" i="1"/>
  <c r="G10" i="1" s="1"/>
  <c r="E115" i="1" l="1"/>
  <c r="E158" i="1" s="1"/>
  <c r="E76" i="1"/>
  <c r="E13" i="1" s="1"/>
  <c r="E95" i="1"/>
  <c r="D28" i="1"/>
  <c r="D128" i="1"/>
  <c r="E84" i="1"/>
  <c r="E127" i="1" s="1"/>
  <c r="D122" i="1"/>
  <c r="D88" i="1"/>
  <c r="B236" i="1"/>
  <c r="B234" i="1"/>
  <c r="B237" i="1"/>
  <c r="B145" i="1"/>
  <c r="AH35" i="5"/>
  <c r="D58" i="2"/>
  <c r="AH28" i="5"/>
  <c r="D52" i="2" s="1"/>
  <c r="D48" i="2"/>
  <c r="G72" i="1"/>
  <c r="G115" i="1"/>
  <c r="G158" i="1" s="1"/>
  <c r="G219" i="1"/>
  <c r="F115" i="1"/>
  <c r="F158" i="1" s="1"/>
  <c r="F219" i="1"/>
  <c r="F72" i="1"/>
  <c r="E119" i="1" l="1"/>
  <c r="E86" i="1"/>
  <c r="E129" i="1" s="1"/>
  <c r="E93" i="1"/>
  <c r="E136" i="1" s="1"/>
  <c r="E79" i="1"/>
  <c r="E122" i="1" s="1"/>
  <c r="E134" i="1"/>
  <c r="E85" i="1"/>
  <c r="E128" i="1" s="1"/>
  <c r="E138" i="1"/>
  <c r="E81" i="1"/>
  <c r="E124" i="1" s="1"/>
  <c r="E117" i="1"/>
  <c r="F74" i="1"/>
  <c r="F96" i="1" s="1"/>
  <c r="E80" i="1"/>
  <c r="E123" i="1" s="1"/>
  <c r="E83" i="1"/>
  <c r="E126" i="1" s="1"/>
  <c r="E139" i="1"/>
  <c r="E94" i="1"/>
  <c r="E137" i="1" s="1"/>
  <c r="E143" i="1"/>
  <c r="E82" i="1"/>
  <c r="E125" i="1" s="1"/>
  <c r="D131" i="1"/>
  <c r="D89" i="1"/>
  <c r="AH36" i="5"/>
  <c r="D60" i="2" s="1"/>
  <c r="D59" i="2"/>
  <c r="B235" i="1"/>
  <c r="E28" i="1" l="1"/>
  <c r="F76" i="1"/>
  <c r="F13" i="1" s="1"/>
  <c r="F95" i="1"/>
  <c r="E88" i="1"/>
  <c r="E131" i="1" s="1"/>
  <c r="D132" i="1"/>
  <c r="D233" i="1"/>
  <c r="F143" i="1" l="1"/>
  <c r="F79" i="1"/>
  <c r="F122" i="1" s="1"/>
  <c r="F117" i="1"/>
  <c r="F94" i="1"/>
  <c r="F137" i="1" s="1"/>
  <c r="F81" i="1"/>
  <c r="F124" i="1" s="1"/>
  <c r="G74" i="1"/>
  <c r="G96" i="1" s="1"/>
  <c r="H96" i="1" s="1"/>
  <c r="F119" i="1"/>
  <c r="F85" i="1"/>
  <c r="F128" i="1" s="1"/>
  <c r="F84" i="1"/>
  <c r="F127" i="1" s="1"/>
  <c r="F83" i="1"/>
  <c r="F126" i="1" s="1"/>
  <c r="F139" i="1"/>
  <c r="F80" i="1"/>
  <c r="F123" i="1" s="1"/>
  <c r="F86" i="1"/>
  <c r="F129" i="1" s="1"/>
  <c r="F134" i="1"/>
  <c r="F93" i="1"/>
  <c r="F136" i="1" s="1"/>
  <c r="F82" i="1"/>
  <c r="F125" i="1" s="1"/>
  <c r="F138" i="1"/>
  <c r="E89" i="1"/>
  <c r="E233" i="1" s="1"/>
  <c r="F88" i="1" l="1"/>
  <c r="F89" i="1" s="1"/>
  <c r="F233" i="1" s="1"/>
  <c r="G95" i="1"/>
  <c r="G76" i="1"/>
  <c r="G117" i="1" s="1"/>
  <c r="H117" i="1" s="1"/>
  <c r="H74" i="1"/>
  <c r="F28" i="1"/>
  <c r="E132" i="1"/>
  <c r="G139" i="1"/>
  <c r="G82" i="1"/>
  <c r="H82" i="1" s="1"/>
  <c r="G81" i="1"/>
  <c r="G124" i="1" s="1"/>
  <c r="G80" i="1"/>
  <c r="H80" i="1" s="1"/>
  <c r="H143" i="1" l="1"/>
  <c r="H138" i="1"/>
  <c r="H134" i="1"/>
  <c r="G85" i="1"/>
  <c r="G28" i="1" s="1"/>
  <c r="H28" i="1" s="1"/>
  <c r="F131" i="1"/>
  <c r="G138" i="1"/>
  <c r="G119" i="1"/>
  <c r="H119" i="1" s="1"/>
  <c r="G84" i="1"/>
  <c r="H84" i="1" s="1"/>
  <c r="F132" i="1"/>
  <c r="G13" i="1"/>
  <c r="G143" i="1"/>
  <c r="G134" i="1"/>
  <c r="H139" i="1"/>
  <c r="G93" i="1"/>
  <c r="H136" i="1" s="1"/>
  <c r="G86" i="1"/>
  <c r="H86" i="1" s="1"/>
  <c r="G83" i="1"/>
  <c r="H126" i="1" s="1"/>
  <c r="G79" i="1"/>
  <c r="G122" i="1" s="1"/>
  <c r="G94" i="1"/>
  <c r="H94" i="1" s="1"/>
  <c r="H148" i="1"/>
  <c r="H76" i="1"/>
  <c r="H123" i="1"/>
  <c r="G128" i="1"/>
  <c r="H125" i="1"/>
  <c r="G125" i="1"/>
  <c r="H127" i="1"/>
  <c r="H81" i="1"/>
  <c r="H124" i="1"/>
  <c r="G123" i="1"/>
  <c r="H85" i="1" l="1"/>
  <c r="H128" i="1"/>
  <c r="H137" i="1"/>
  <c r="G127" i="1"/>
  <c r="G129" i="1"/>
  <c r="H83" i="1"/>
  <c r="H129" i="1"/>
  <c r="H122" i="1"/>
  <c r="G126" i="1"/>
  <c r="H79" i="1"/>
  <c r="G88" i="1"/>
  <c r="G136" i="1"/>
  <c r="H93" i="1"/>
  <c r="G137" i="1"/>
  <c r="H88" i="1" l="1"/>
  <c r="H131" i="1"/>
  <c r="G131" i="1"/>
  <c r="G89" i="1"/>
  <c r="O50" i="1"/>
  <c r="P50" i="1"/>
  <c r="Q50" i="1"/>
  <c r="R50" i="1"/>
  <c r="S50" i="1"/>
  <c r="O51" i="1"/>
  <c r="P51" i="1"/>
  <c r="Q51" i="1"/>
  <c r="R51" i="1"/>
  <c r="S51" i="1"/>
  <c r="G233" i="1" l="1"/>
  <c r="H233" i="1" s="1"/>
  <c r="H132" i="1"/>
  <c r="H89" i="1"/>
  <c r="G132" i="1"/>
  <c r="C26" i="1"/>
  <c r="D23" i="1" s="1"/>
  <c r="C30" i="1" l="1"/>
  <c r="C243" i="1" s="1"/>
  <c r="D26" i="1"/>
  <c r="E23" i="1" s="1"/>
  <c r="E26" i="1" l="1"/>
  <c r="F23" i="1" s="1"/>
  <c r="D30" i="1"/>
  <c r="D243" i="1" s="1"/>
  <c r="F26" i="1" l="1"/>
  <c r="E30" i="1"/>
  <c r="E243" i="1" s="1"/>
  <c r="F30" i="1"/>
  <c r="G23" i="1" l="1"/>
  <c r="H23" i="1" s="1"/>
  <c r="F243" i="1"/>
  <c r="G26" i="1" l="1"/>
  <c r="H26" i="1"/>
  <c r="G30" i="1"/>
  <c r="H30" i="1" s="1"/>
  <c r="G243" i="1" l="1"/>
  <c r="H243" i="1" s="1"/>
  <c r="C144" i="1"/>
  <c r="D144" i="1"/>
  <c r="E144" i="1"/>
  <c r="F144" i="1"/>
  <c r="G144" i="1"/>
  <c r="H144" i="1"/>
  <c r="H34" i="1" l="1"/>
  <c r="H14" i="1"/>
  <c r="H13" i="1"/>
  <c r="D38" i="2"/>
  <c r="AN14" i="5"/>
  <c r="AM40" i="5"/>
  <c r="C15" i="1"/>
  <c r="D15" i="1"/>
  <c r="E15" i="1"/>
  <c r="F15" i="1"/>
  <c r="G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33" i="1"/>
  <c r="D33" i="1"/>
  <c r="E33" i="1"/>
  <c r="F33" i="1"/>
  <c r="G33" i="1"/>
  <c r="H33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43" i="1"/>
  <c r="D43" i="1"/>
  <c r="E43" i="1"/>
  <c r="F43" i="1"/>
  <c r="G43" i="1"/>
  <c r="H43" i="1"/>
  <c r="C45" i="1"/>
  <c r="D45" i="1"/>
  <c r="E45" i="1"/>
  <c r="F45" i="1"/>
  <c r="G45" i="1"/>
  <c r="H45" i="1"/>
  <c r="C46" i="1"/>
  <c r="D46" i="1"/>
  <c r="E46" i="1"/>
  <c r="F46" i="1"/>
  <c r="G46" i="1"/>
  <c r="H46" i="1"/>
  <c r="J50" i="1"/>
  <c r="K50" i="1"/>
  <c r="L50" i="1"/>
  <c r="M50" i="1"/>
  <c r="N50" i="1"/>
  <c r="C51" i="1"/>
  <c r="D51" i="1"/>
  <c r="E51" i="1"/>
  <c r="F51" i="1"/>
  <c r="G51" i="1"/>
  <c r="J51" i="1"/>
  <c r="K51" i="1"/>
  <c r="L51" i="1"/>
  <c r="M51" i="1"/>
  <c r="N51" i="1"/>
  <c r="C52" i="1"/>
  <c r="D52" i="1"/>
  <c r="E52" i="1"/>
  <c r="F52" i="1"/>
  <c r="G52" i="1"/>
  <c r="H52" i="1"/>
  <c r="C54" i="1"/>
  <c r="D54" i="1"/>
  <c r="E54" i="1"/>
  <c r="F54" i="1"/>
  <c r="G54" i="1"/>
  <c r="H54" i="1"/>
  <c r="C57" i="1"/>
  <c r="D57" i="1"/>
  <c r="E57" i="1"/>
  <c r="F57" i="1"/>
  <c r="G57" i="1"/>
  <c r="H57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C92" i="1"/>
  <c r="D92" i="1"/>
  <c r="E92" i="1"/>
  <c r="F92" i="1"/>
  <c r="G92" i="1"/>
  <c r="C97" i="1"/>
  <c r="D97" i="1"/>
  <c r="E97" i="1"/>
  <c r="F97" i="1"/>
  <c r="G97" i="1"/>
  <c r="H97" i="1"/>
  <c r="C99" i="1"/>
  <c r="D99" i="1"/>
  <c r="E99" i="1"/>
  <c r="F99" i="1"/>
  <c r="G99" i="1"/>
  <c r="H99" i="1"/>
  <c r="C102" i="1"/>
  <c r="D102" i="1"/>
  <c r="E102" i="1"/>
  <c r="F102" i="1"/>
  <c r="G102" i="1"/>
  <c r="C135" i="1"/>
  <c r="D135" i="1"/>
  <c r="E135" i="1"/>
  <c r="F135" i="1"/>
  <c r="G135" i="1"/>
  <c r="H135" i="1"/>
  <c r="C140" i="1"/>
  <c r="D140" i="1"/>
  <c r="E140" i="1"/>
  <c r="F140" i="1"/>
  <c r="G140" i="1"/>
  <c r="H140" i="1"/>
  <c r="C142" i="1"/>
  <c r="D142" i="1"/>
  <c r="E142" i="1"/>
  <c r="F142" i="1"/>
  <c r="G142" i="1"/>
  <c r="H142" i="1"/>
  <c r="C145" i="1"/>
  <c r="D145" i="1"/>
  <c r="E145" i="1"/>
  <c r="F145" i="1"/>
  <c r="G145" i="1"/>
  <c r="H145" i="1"/>
  <c r="C148" i="1"/>
  <c r="D148" i="1"/>
  <c r="E148" i="1"/>
  <c r="F148" i="1"/>
  <c r="G148" i="1"/>
  <c r="C161" i="1"/>
  <c r="D161" i="1"/>
  <c r="E161" i="1"/>
  <c r="F161" i="1"/>
  <c r="G161" i="1"/>
  <c r="H161" i="1"/>
  <c r="C162" i="1"/>
  <c r="D162" i="1"/>
  <c r="E162" i="1"/>
  <c r="F162" i="1"/>
  <c r="G162" i="1"/>
  <c r="H162" i="1"/>
  <c r="C163" i="1"/>
  <c r="D163" i="1"/>
  <c r="E163" i="1"/>
  <c r="F163" i="1"/>
  <c r="G163" i="1"/>
  <c r="H163" i="1"/>
  <c r="C164" i="1"/>
  <c r="D164" i="1"/>
  <c r="E164" i="1"/>
  <c r="F164" i="1"/>
  <c r="G164" i="1"/>
  <c r="H164" i="1"/>
  <c r="C165" i="1"/>
  <c r="D165" i="1"/>
  <c r="E165" i="1"/>
  <c r="F165" i="1"/>
  <c r="G165" i="1"/>
  <c r="H165" i="1"/>
  <c r="C166" i="1"/>
  <c r="D166" i="1"/>
  <c r="E166" i="1"/>
  <c r="F166" i="1"/>
  <c r="G166" i="1"/>
  <c r="H166" i="1"/>
  <c r="C167" i="1"/>
  <c r="D167" i="1"/>
  <c r="E167" i="1"/>
  <c r="F167" i="1"/>
  <c r="G167" i="1"/>
  <c r="H167" i="1"/>
  <c r="C168" i="1"/>
  <c r="D168" i="1"/>
  <c r="E168" i="1"/>
  <c r="F168" i="1"/>
  <c r="G168" i="1"/>
  <c r="H168" i="1"/>
  <c r="C171" i="1"/>
  <c r="D171" i="1"/>
  <c r="E171" i="1"/>
  <c r="F171" i="1"/>
  <c r="G171" i="1"/>
  <c r="H171" i="1"/>
  <c r="C172" i="1"/>
  <c r="D172" i="1"/>
  <c r="E172" i="1"/>
  <c r="F172" i="1"/>
  <c r="G172" i="1"/>
  <c r="H172" i="1"/>
  <c r="C173" i="1"/>
  <c r="D173" i="1"/>
  <c r="E173" i="1"/>
  <c r="F173" i="1"/>
  <c r="G173" i="1"/>
  <c r="H173" i="1"/>
  <c r="C174" i="1"/>
  <c r="D174" i="1"/>
  <c r="E174" i="1"/>
  <c r="F174" i="1"/>
  <c r="G174" i="1"/>
  <c r="H174" i="1"/>
  <c r="C176" i="1"/>
  <c r="D176" i="1"/>
  <c r="E176" i="1"/>
  <c r="F176" i="1"/>
  <c r="G176" i="1"/>
  <c r="H176" i="1"/>
  <c r="C178" i="1"/>
  <c r="D178" i="1"/>
  <c r="E178" i="1"/>
  <c r="F178" i="1"/>
  <c r="G178" i="1"/>
  <c r="H178" i="1"/>
  <c r="C181" i="1"/>
  <c r="D181" i="1"/>
  <c r="E181" i="1"/>
  <c r="F181" i="1"/>
  <c r="G181" i="1"/>
  <c r="H181" i="1"/>
  <c r="C182" i="1"/>
  <c r="D182" i="1"/>
  <c r="E182" i="1"/>
  <c r="F182" i="1"/>
  <c r="G182" i="1"/>
  <c r="H182" i="1"/>
  <c r="C183" i="1"/>
  <c r="D183" i="1"/>
  <c r="E183" i="1"/>
  <c r="F183" i="1"/>
  <c r="G183" i="1"/>
  <c r="H183" i="1"/>
  <c r="C184" i="1"/>
  <c r="D184" i="1"/>
  <c r="E184" i="1"/>
  <c r="F184" i="1"/>
  <c r="G184" i="1"/>
  <c r="H184" i="1"/>
  <c r="C185" i="1"/>
  <c r="D185" i="1"/>
  <c r="E185" i="1"/>
  <c r="F185" i="1"/>
  <c r="G185" i="1"/>
  <c r="H185" i="1"/>
  <c r="C186" i="1"/>
  <c r="D186" i="1"/>
  <c r="E186" i="1"/>
  <c r="F186" i="1"/>
  <c r="G186" i="1"/>
  <c r="H186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C192" i="1"/>
  <c r="D192" i="1"/>
  <c r="E192" i="1"/>
  <c r="F192" i="1"/>
  <c r="G192" i="1"/>
  <c r="H192" i="1"/>
  <c r="C193" i="1"/>
  <c r="D193" i="1"/>
  <c r="E193" i="1"/>
  <c r="F193" i="1"/>
  <c r="G193" i="1"/>
  <c r="H193" i="1"/>
  <c r="C194" i="1"/>
  <c r="D194" i="1"/>
  <c r="E194" i="1"/>
  <c r="F194" i="1"/>
  <c r="G194" i="1"/>
  <c r="H194" i="1"/>
  <c r="C196" i="1"/>
  <c r="D196" i="1"/>
  <c r="E196" i="1"/>
  <c r="F196" i="1"/>
  <c r="G196" i="1"/>
  <c r="H196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9" i="1"/>
  <c r="D199" i="1"/>
  <c r="E199" i="1"/>
  <c r="F199" i="1"/>
  <c r="G199" i="1"/>
  <c r="H199" i="1"/>
  <c r="C200" i="1"/>
  <c r="D200" i="1"/>
  <c r="E200" i="1"/>
  <c r="F200" i="1"/>
  <c r="G200" i="1"/>
  <c r="H200" i="1"/>
  <c r="C202" i="1"/>
  <c r="D202" i="1"/>
  <c r="E202" i="1"/>
  <c r="F202" i="1"/>
  <c r="G202" i="1"/>
  <c r="H202" i="1"/>
  <c r="C205" i="1"/>
  <c r="D205" i="1"/>
  <c r="E205" i="1"/>
  <c r="F205" i="1"/>
  <c r="G205" i="1"/>
  <c r="H205" i="1"/>
  <c r="C207" i="1"/>
  <c r="D207" i="1"/>
  <c r="E207" i="1"/>
  <c r="F207" i="1"/>
  <c r="G207" i="1"/>
  <c r="H207" i="1"/>
  <c r="C208" i="1"/>
  <c r="D208" i="1"/>
  <c r="E208" i="1"/>
  <c r="F208" i="1"/>
  <c r="G208" i="1"/>
  <c r="H208" i="1"/>
  <c r="C222" i="1"/>
  <c r="D222" i="1"/>
  <c r="E222" i="1"/>
  <c r="F222" i="1"/>
  <c r="G222" i="1"/>
  <c r="H222" i="1"/>
  <c r="C223" i="1"/>
  <c r="D223" i="1"/>
  <c r="E223" i="1"/>
  <c r="F223" i="1"/>
  <c r="G223" i="1"/>
  <c r="H223" i="1"/>
  <c r="C224" i="1"/>
  <c r="D224" i="1"/>
  <c r="E224" i="1"/>
  <c r="F224" i="1"/>
  <c r="G224" i="1"/>
  <c r="H224" i="1"/>
  <c r="C227" i="1"/>
  <c r="D227" i="1"/>
  <c r="E227" i="1"/>
  <c r="F227" i="1"/>
  <c r="G227" i="1"/>
  <c r="H227" i="1"/>
  <c r="C228" i="1"/>
  <c r="D228" i="1"/>
  <c r="E228" i="1"/>
  <c r="F228" i="1"/>
  <c r="G228" i="1"/>
  <c r="H228" i="1"/>
  <c r="C229" i="1"/>
  <c r="D229" i="1"/>
  <c r="E229" i="1"/>
  <c r="F229" i="1"/>
  <c r="G229" i="1"/>
  <c r="H229" i="1"/>
  <c r="C230" i="1"/>
  <c r="D230" i="1"/>
  <c r="E230" i="1"/>
  <c r="F230" i="1"/>
  <c r="G230" i="1"/>
  <c r="H230" i="1"/>
  <c r="C234" i="1"/>
  <c r="D234" i="1"/>
  <c r="E234" i="1"/>
  <c r="F234" i="1"/>
  <c r="G234" i="1"/>
  <c r="H234" i="1"/>
  <c r="C235" i="1"/>
  <c r="D235" i="1"/>
  <c r="E235" i="1"/>
  <c r="F235" i="1"/>
  <c r="G235" i="1"/>
  <c r="H235" i="1"/>
  <c r="C236" i="1"/>
  <c r="D236" i="1"/>
  <c r="E236" i="1"/>
  <c r="F236" i="1"/>
  <c r="G236" i="1"/>
  <c r="H236" i="1"/>
  <c r="C237" i="1"/>
  <c r="D237" i="1"/>
  <c r="E237" i="1"/>
  <c r="F237" i="1"/>
  <c r="G237" i="1"/>
  <c r="H237" i="1"/>
  <c r="C240" i="1"/>
  <c r="D240" i="1"/>
  <c r="E240" i="1"/>
  <c r="F240" i="1"/>
  <c r="G240" i="1"/>
  <c r="H240" i="1"/>
  <c r="C241" i="1"/>
  <c r="D241" i="1"/>
  <c r="E241" i="1"/>
  <c r="F241" i="1"/>
  <c r="G241" i="1"/>
  <c r="H241" i="1"/>
  <c r="C242" i="1"/>
  <c r="D242" i="1"/>
  <c r="E242" i="1"/>
  <c r="F242" i="1"/>
  <c r="G242" i="1"/>
  <c r="H242" i="1"/>
  <c r="C244" i="1"/>
  <c r="D244" i="1"/>
  <c r="E244" i="1"/>
  <c r="F244" i="1"/>
  <c r="G244" i="1"/>
  <c r="H244" i="1"/>
  <c r="C252" i="1"/>
  <c r="D252" i="1"/>
  <c r="E252" i="1"/>
  <c r="F252" i="1"/>
  <c r="G252" i="1"/>
  <c r="H252" i="1"/>
  <c r="C253" i="1"/>
  <c r="D253" i="1"/>
  <c r="E253" i="1"/>
  <c r="F253" i="1"/>
  <c r="G253" i="1"/>
  <c r="H253" i="1"/>
  <c r="C256" i="1"/>
  <c r="D256" i="1"/>
  <c r="E256" i="1"/>
  <c r="F256" i="1"/>
  <c r="G256" i="1"/>
  <c r="H256" i="1"/>
  <c r="C257" i="1"/>
  <c r="D257" i="1"/>
  <c r="E257" i="1"/>
  <c r="F257" i="1"/>
  <c r="G257" i="1"/>
  <c r="H257" i="1"/>
  <c r="C258" i="1"/>
  <c r="D258" i="1"/>
  <c r="E258" i="1"/>
  <c r="F258" i="1"/>
  <c r="G258" i="1"/>
  <c r="H258" i="1"/>
</calcChain>
</file>

<file path=xl/sharedStrings.xml><?xml version="1.0" encoding="utf-8"?>
<sst xmlns="http://schemas.openxmlformats.org/spreadsheetml/2006/main" count="359" uniqueCount="200">
  <si>
    <t>Account Name</t>
  </si>
  <si>
    <t>Additional Loans</t>
  </si>
  <si>
    <t>Asset-utilization Ratios:</t>
  </si>
  <si>
    <t>Average</t>
  </si>
  <si>
    <t>Avg. Annual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</si>
  <si>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</si>
  <si>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</si>
  <si>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</si>
  <si>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</si>
  <si>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</si>
  <si>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</si>
  <si>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Depreciation Rate</t>
  </si>
  <si>
    <t xml:space="preserve">Dividend Payout </t>
  </si>
  <si>
    <t>Earnings Before Taxes</t>
  </si>
  <si>
    <t>Earnings From Operations</t>
  </si>
  <si>
    <t>FORECAST ASSUMPTIONS</t>
  </si>
  <si>
    <t>Historical</t>
  </si>
  <si>
    <t>Historical Income Statements</t>
  </si>
  <si>
    <t>Income Tax Rate</t>
  </si>
  <si>
    <t>Income Taxes</t>
  </si>
  <si>
    <t>Inflation (GDP)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</si>
  <si>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</si>
  <si>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</si>
  <si>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</si>
  <si>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</si>
  <si>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</si>
  <si>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</si>
  <si>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</si>
  <si>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</si>
  <si>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</si>
  <si>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</si>
  <si>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</si>
  <si>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</si>
  <si>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</si>
  <si>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</si>
  <si>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</si>
  <si>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</si>
  <si>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</si>
  <si>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</si>
  <si>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</si>
  <si>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</si>
  <si>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</si>
  <si>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Surplus Cash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</si>
  <si>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</si>
  <si>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</si>
  <si>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</si>
  <si>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</si>
  <si>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</si>
  <si>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</si>
  <si>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</si>
  <si>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</si>
  <si>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</si>
  <si>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Forecast Balance Sheets</t>
  </si>
  <si>
    <t>Company Name</t>
  </si>
  <si>
    <t>Forecast Income Statements</t>
  </si>
  <si>
    <t>Common Size</t>
  </si>
  <si>
    <t>Historical Balance Sheets</t>
  </si>
  <si>
    <t>Forecast</t>
  </si>
  <si>
    <t>Historical Financial Ratios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</si>
  <si>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</si>
  <si>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</si>
  <si>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</si>
  <si>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</si>
  <si>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</si>
  <si>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Other PP&amp;E</t>
  </si>
  <si>
    <t>Accumulated Depreciation &amp; Amort.</t>
  </si>
  <si>
    <t>Net Plant &amp; Equipment</t>
  </si>
  <si>
    <t>Long-Term Debt</t>
  </si>
  <si>
    <t>Other Deferred Credits</t>
  </si>
  <si>
    <t>Total LTD &amp; Deferrals</t>
  </si>
  <si>
    <t>Total Plant &amp; Equipment:</t>
  </si>
  <si>
    <t xml:space="preserve">Other 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</si>
  <si>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</si>
  <si>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</si>
  <si>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</si>
  <si>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</si>
  <si>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</si>
  <si>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</si>
  <si>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</si>
  <si>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</si>
  <si>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</si>
  <si>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of pfd. Stock balance</t>
  </si>
  <si>
    <t>avg.</t>
  </si>
  <si>
    <t>Material and Supplies</t>
  </si>
  <si>
    <t>Acounts Payable</t>
  </si>
  <si>
    <t>Accounts Receivable, net</t>
  </si>
  <si>
    <t>Years Ended December 31</t>
  </si>
  <si>
    <t>no preferred stock</t>
  </si>
  <si>
    <t>Exhibit 1</t>
  </si>
  <si>
    <t>Plant in Service</t>
  </si>
  <si>
    <t>Averages</t>
  </si>
  <si>
    <t>Capital Structure (Regulatory):</t>
  </si>
  <si>
    <t>Common Equity</t>
  </si>
  <si>
    <t>Capital Structure:</t>
  </si>
  <si>
    <t>Short-Term Debt</t>
  </si>
  <si>
    <t xml:space="preserve"> </t>
  </si>
  <si>
    <t>Patrons Capital</t>
  </si>
  <si>
    <t>Revenues</t>
  </si>
  <si>
    <t>Other Revenues</t>
  </si>
  <si>
    <t>Operating Revenues</t>
  </si>
  <si>
    <t>Page 1 of 5</t>
  </si>
  <si>
    <t>Page 5 of 5</t>
  </si>
  <si>
    <t>Page 4 of 5</t>
  </si>
  <si>
    <t>Page 3 of 5</t>
  </si>
  <si>
    <t>Page 2 of 5</t>
  </si>
  <si>
    <t>Return of Patronage Capital</t>
  </si>
  <si>
    <t>approximate current yield on money market funds</t>
  </si>
  <si>
    <t>Current Portion of LTD</t>
  </si>
  <si>
    <t>Customer Deposits</t>
  </si>
  <si>
    <t xml:space="preserve">   Other (Income) Expense</t>
  </si>
  <si>
    <t>Total Patronage Equity</t>
  </si>
  <si>
    <t>Return of Patrons Capital</t>
  </si>
  <si>
    <t>Year over Change</t>
  </si>
  <si>
    <t>Less: Return of Capital</t>
  </si>
  <si>
    <t>Deseret Generation &amp; Transmission</t>
  </si>
  <si>
    <t>Investments and Other Property</t>
  </si>
  <si>
    <t>Accumulated Deferred Income Taxes</t>
  </si>
  <si>
    <t>Other Deferred Debits and Other Assets</t>
  </si>
  <si>
    <t>Patronage Equity:</t>
  </si>
  <si>
    <t>Construction Work in Progress</t>
  </si>
  <si>
    <t>avg. of hist. amounts (excluding 2008)</t>
  </si>
  <si>
    <t xml:space="preserve">Forecast Balance Sheets </t>
  </si>
  <si>
    <t>% of LTD (including 2008 actual)</t>
  </si>
  <si>
    <t xml:space="preserve">approximate current yield </t>
  </si>
  <si>
    <t xml:space="preserve">Forecast Income Statements </t>
  </si>
  <si>
    <t>AVG</t>
  </si>
  <si>
    <t>% preceding year's net income, unless income is less than $1 MM in which case distributions are zero.</t>
  </si>
  <si>
    <t>Exhibit 2</t>
  </si>
  <si>
    <t xml:space="preserve">   Interest and Other (Income)</t>
  </si>
  <si>
    <t>Fuel Stock</t>
  </si>
  <si>
    <t>Gross Margin</t>
  </si>
  <si>
    <t>Net Margin</t>
  </si>
  <si>
    <t>Power Production (21 - 5)</t>
  </si>
  <si>
    <t>Fuel (5)</t>
  </si>
  <si>
    <t>Cost of Purchased Power (79)</t>
  </si>
  <si>
    <t>Operations / Transmission (99)</t>
  </si>
  <si>
    <t>Maintenance (111+156)</t>
  </si>
  <si>
    <t>Sales General &amp; Admin(164, 178, 197)</t>
  </si>
  <si>
    <t>Depreciation and Amortization (6, 9)</t>
  </si>
  <si>
    <t>Taxes, other than income taxes (14)</t>
  </si>
  <si>
    <t>Statement of Cash Flows</t>
  </si>
  <si>
    <t>Noncash Charges (Credits) to Income</t>
  </si>
  <si>
    <t>Depreciation &amp; Amortization</t>
  </si>
  <si>
    <t>Deferred Income Tax</t>
  </si>
  <si>
    <t>Net Cash Provided (Used) Operations</t>
  </si>
  <si>
    <t>Accrued Interest &amp; Unrealized Gains</t>
  </si>
  <si>
    <t>(Increase) Decrease in Receivables</t>
  </si>
  <si>
    <t>(Increase) Decrease in Inventory</t>
  </si>
  <si>
    <t>(Increase) Decrease in Payables</t>
  </si>
  <si>
    <t>Undistributed Earnings from Subsidiary</t>
  </si>
  <si>
    <t>Deferred Debits</t>
  </si>
  <si>
    <t>Deferred Credits</t>
  </si>
  <si>
    <t xml:space="preserve">   Equity in Earnings of Subsidiary Co</t>
  </si>
  <si>
    <t xml:space="preserve">   Interest expense </t>
  </si>
  <si>
    <t>Investing Activities</t>
  </si>
  <si>
    <t>Additions in Utility Plant</t>
  </si>
  <si>
    <t>Net Cash Provided (Used) Investing</t>
  </si>
  <si>
    <t>Disposal of Noncurrent Assets</t>
  </si>
  <si>
    <t>Sale of Special Funds</t>
  </si>
  <si>
    <t>Investment in Subsidiary Companies</t>
  </si>
  <si>
    <t>(Increase) Decrease Restricted Cash</t>
  </si>
  <si>
    <t>Financing Activities</t>
  </si>
  <si>
    <t>Issuance of Long-Term Debt</t>
  </si>
  <si>
    <t>Reduction in Long-Term Debt</t>
  </si>
  <si>
    <t>Net Cash Provided (Used) Financing</t>
  </si>
  <si>
    <t>Net Increase (Decrease) in Cash</t>
  </si>
  <si>
    <t>Cash at Beginning of Period</t>
  </si>
  <si>
    <t>Cash at End of Period</t>
  </si>
  <si>
    <t xml:space="preserve">Unrestricted Cash </t>
  </si>
  <si>
    <t>Restricted Deposits</t>
  </si>
  <si>
    <t>Deposits &amp; Other</t>
  </si>
  <si>
    <t>Interest &amp; Dividend Receivable</t>
  </si>
  <si>
    <t>page 3 of 6</t>
  </si>
  <si>
    <t>page 2 of 6</t>
  </si>
  <si>
    <t>page 5 of 6</t>
  </si>
  <si>
    <t>page 1 of 6</t>
  </si>
  <si>
    <t>page 4 of 6</t>
  </si>
  <si>
    <t>page 6 of 6</t>
  </si>
  <si>
    <t xml:space="preserve">   Interest on (Surplus Cash)/Add. Loans</t>
  </si>
  <si>
    <t xml:space="preserve">Times Earnings before tax </t>
  </si>
  <si>
    <t>Historical Average</t>
  </si>
  <si>
    <t>Adjusted Average</t>
  </si>
  <si>
    <t>Estimated Interest Rate</t>
  </si>
  <si>
    <t>Change in LT Debt</t>
  </si>
  <si>
    <t>Times Earnings before Tax</t>
  </si>
  <si>
    <t>Avg</t>
  </si>
  <si>
    <t>Forecast Financial Ratios</t>
  </si>
  <si>
    <t xml:space="preserve">   Interest and Other (Income) 37</t>
  </si>
  <si>
    <t xml:space="preserve">   Equity in Earnings of Subsidiary Co 36</t>
  </si>
  <si>
    <t xml:space="preserve">   Interest expense 70</t>
  </si>
  <si>
    <t>Taxes, other than income taxes (14, 16, 17)</t>
  </si>
  <si>
    <t>Provision for Deferred Income Taxes 17</t>
  </si>
  <si>
    <t xml:space="preserve">   Loss (Gain) on Sale of Assets 40</t>
  </si>
  <si>
    <t>Flat at 2010 level</t>
  </si>
  <si>
    <t>Four weeks of revenues</t>
  </si>
  <si>
    <t>Percent of revenues</t>
  </si>
  <si>
    <t>2011 to 2015</t>
  </si>
  <si>
    <t>Gain on disposal Assets/Liabilities</t>
  </si>
  <si>
    <t>Purchase of Investment Securities</t>
  </si>
  <si>
    <t>Proceeds from Sales of Invest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</si>
</sst>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164" formatCode="0.000%"/>
    <numFmt numFmtId="165" formatCode="#,##0.0000_);\(#,##0.0000\)"/>
    <numFmt numFmtId="166" formatCode="0.0000%"/>
    <numFmt numFmtId="167" formatCode="[$-409]mmmm\ d\,\ yyyy;@"/>
    <numFmt numFmtId="168" formatCode="0.00000"/>
    <numFmt numFmtId="169" formatCode="[$-409]m/d/yy\ h:mm\ AM/PM;@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4" fontId="7" fillId="2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</cellStyleXfs>
  <cellXfs count="278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2" fontId="3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Border="1"/>
    <xf numFmtId="5" fontId="3" fillId="2" borderId="0" xfId="0" applyNumberFormat="1" applyFont="1" applyFill="1" applyAlignment="1">
      <alignment horizontal="left"/>
    </xf>
    <xf numFmtId="10" fontId="3" fillId="2" borderId="0" xfId="0" applyNumberFormat="1" applyFont="1" applyFill="1" applyBorder="1" applyAlignment="1">
      <alignment horizontal="right"/>
    </xf>
    <xf numFmtId="5" fontId="6" fillId="2" borderId="0" xfId="0" applyNumberFormat="1" applyFont="1" applyFill="1"/>
    <xf numFmtId="5" fontId="0" fillId="2" borderId="0" xfId="0" applyNumberFormat="1" applyFill="1" applyAlignment="1">
      <alignment horizontal="center"/>
    </xf>
    <xf numFmtId="5" fontId="3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>
      <alignment horizontal="right"/>
    </xf>
    <xf numFmtId="10" fontId="6" fillId="2" borderId="0" xfId="0" applyNumberFormat="1" applyFont="1" applyFill="1"/>
    <xf numFmtId="5" fontId="5" fillId="3" borderId="0" xfId="3" applyNumberFormat="1" applyFont="1" applyFill="1" applyBorder="1"/>
    <xf numFmtId="0" fontId="6" fillId="2" borderId="0" xfId="0" applyFont="1" applyFill="1"/>
    <xf numFmtId="5" fontId="8" fillId="2" borderId="0" xfId="0" applyNumberFormat="1" applyFont="1" applyFill="1"/>
    <xf numFmtId="0" fontId="6" fillId="2" borderId="0" xfId="0" applyNumberFormat="1" applyFont="1" applyFill="1"/>
    <xf numFmtId="5" fontId="10" fillId="2" borderId="0" xfId="0" applyNumberFormat="1" applyFont="1" applyFill="1"/>
    <xf numFmtId="5" fontId="6" fillId="2" borderId="0" xfId="0" quotePrefix="1" applyNumberFormat="1" applyFont="1" applyFill="1" applyAlignment="1">
      <alignment horizontal="left"/>
    </xf>
    <xf numFmtId="166" fontId="6" fillId="2" borderId="0" xfId="0" applyNumberFormat="1" applyFont="1" applyFill="1"/>
    <xf numFmtId="2" fontId="6" fillId="2" borderId="0" xfId="0" applyNumberFormat="1" applyFont="1" applyFill="1"/>
    <xf numFmtId="10" fontId="0" fillId="2" borderId="0" xfId="0" quotePrefix="1" applyNumberFormat="1" applyFill="1" applyAlignment="1">
      <alignment horizontal="left"/>
    </xf>
    <xf numFmtId="5" fontId="6" fillId="2" borderId="0" xfId="0" quotePrefix="1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5" fontId="6" fillId="2" borderId="0" xfId="0" applyNumberFormat="1" applyFont="1" applyFill="1" applyAlignment="1">
      <alignment horizontal="left"/>
    </xf>
    <xf numFmtId="39" fontId="6" fillId="2" borderId="0" xfId="0" applyNumberFormat="1" applyFont="1" applyFill="1"/>
    <xf numFmtId="0" fontId="0" fillId="2" borderId="0" xfId="0" applyNumberFormat="1" applyFill="1"/>
    <xf numFmtId="7" fontId="6" fillId="2" borderId="0" xfId="0" quotePrefix="1" applyNumberFormat="1" applyFont="1" applyFill="1" applyAlignment="1">
      <alignment horizontal="left"/>
    </xf>
    <xf numFmtId="22" fontId="8" fillId="2" borderId="0" xfId="0" applyNumberFormat="1" applyFont="1" applyFill="1"/>
    <xf numFmtId="5" fontId="9" fillId="2" borderId="0" xfId="0" applyNumberFormat="1" applyFont="1" applyFill="1"/>
    <xf numFmtId="0" fontId="0" fillId="0" borderId="0" xfId="0" applyNumberFormat="1" applyFill="1" applyBorder="1"/>
    <xf numFmtId="4" fontId="6" fillId="2" borderId="0" xfId="0" applyNumberFormat="1" applyFont="1" applyFill="1"/>
    <xf numFmtId="9" fontId="0" fillId="2" borderId="0" xfId="0" applyNumberFormat="1" applyFill="1"/>
    <xf numFmtId="5" fontId="7" fillId="2" borderId="0" xfId="0" applyNumberFormat="1" applyFont="1" applyFill="1"/>
    <xf numFmtId="5" fontId="6" fillId="2" borderId="2" xfId="0" applyNumberFormat="1" applyFont="1" applyFill="1" applyBorder="1"/>
    <xf numFmtId="5" fontId="6" fillId="2" borderId="0" xfId="0" applyNumberFormat="1" applyFont="1" applyFill="1" applyAlignment="1">
      <alignment horizontal="centerContinuous"/>
    </xf>
    <xf numFmtId="5" fontId="6" fillId="2" borderId="0" xfId="0" applyNumberFormat="1" applyFont="1" applyFill="1" applyBorder="1"/>
    <xf numFmtId="0" fontId="6" fillId="2" borderId="0" xfId="0" applyFont="1" applyFill="1" applyBorder="1"/>
    <xf numFmtId="10" fontId="6" fillId="2" borderId="0" xfId="0" applyNumberFormat="1" applyFont="1" applyFill="1" applyBorder="1"/>
    <xf numFmtId="9" fontId="6" fillId="2" borderId="0" xfId="0" applyNumberFormat="1" applyFont="1" applyFill="1"/>
    <xf numFmtId="10" fontId="6" fillId="0" borderId="0" xfId="0" applyNumberFormat="1" applyFont="1" applyFill="1"/>
    <xf numFmtId="0" fontId="6" fillId="2" borderId="0" xfId="0" applyNumberFormat="1" applyFont="1" applyFill="1" applyAlignment="1">
      <alignment horizontal="right"/>
    </xf>
    <xf numFmtId="5" fontId="6" fillId="2" borderId="0" xfId="0" applyNumberFormat="1" applyFont="1" applyFill="1" applyAlignment="1">
      <alignment horizontal="left" wrapText="1"/>
    </xf>
    <xf numFmtId="5" fontId="6" fillId="0" borderId="0" xfId="0" applyNumberFormat="1" applyFont="1" applyFill="1"/>
    <xf numFmtId="5" fontId="3" fillId="2" borderId="0" xfId="0" applyNumberFormat="1" applyFont="1" applyFill="1" applyAlignment="1"/>
    <xf numFmtId="10" fontId="3" fillId="2" borderId="0" xfId="0" applyNumberFormat="1" applyFont="1" applyFill="1" applyAlignment="1"/>
    <xf numFmtId="10" fontId="6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/>
    <xf numFmtId="10" fontId="6" fillId="2" borderId="0" xfId="0" quotePrefix="1" applyNumberFormat="1" applyFont="1" applyFill="1" applyAlignment="1"/>
    <xf numFmtId="10" fontId="6" fillId="2" borderId="0" xfId="0" applyNumberFormat="1" applyFont="1" applyFill="1" applyBorder="1" applyAlignment="1"/>
    <xf numFmtId="0" fontId="3" fillId="2" borderId="0" xfId="0" applyFont="1" applyFill="1"/>
    <xf numFmtId="0" fontId="3" fillId="2" borderId="0" xfId="0" quotePrefix="1" applyFont="1" applyFill="1" applyAlignment="1">
      <alignment horizontal="left"/>
    </xf>
    <xf numFmtId="39" fontId="3" fillId="2" borderId="0" xfId="0" applyNumberFormat="1" applyFont="1" applyFill="1"/>
    <xf numFmtId="3" fontId="6" fillId="2" borderId="0" xfId="0" applyNumberFormat="1" applyFont="1" applyFill="1"/>
    <xf numFmtId="165" fontId="6" fillId="2" borderId="0" xfId="0" applyNumberFormat="1" applyFont="1" applyFill="1"/>
    <xf numFmtId="168" fontId="0" fillId="2" borderId="0" xfId="0" applyNumberFormat="1" applyFill="1"/>
    <xf numFmtId="168" fontId="6" fillId="2" borderId="0" xfId="0" applyNumberFormat="1" applyFont="1" applyFill="1"/>
    <xf numFmtId="0" fontId="3" fillId="2" borderId="0" xfId="0" applyFont="1" applyFill="1" applyAlignment="1">
      <alignment horizontal="left"/>
    </xf>
    <xf numFmtId="164" fontId="6" fillId="0" borderId="0" xfId="0" applyNumberFormat="1" applyFont="1" applyFill="1"/>
    <xf numFmtId="5" fontId="0" fillId="2" borderId="0" xfId="0" applyNumberForma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5" fontId="0" fillId="4" borderId="0" xfId="0" applyNumberFormat="1" applyFill="1" applyBorder="1"/>
    <xf numFmtId="3" fontId="7" fillId="2" borderId="0" xfId="1" applyNumberFormat="1"/>
    <xf numFmtId="10" fontId="7" fillId="2" borderId="0" xfId="0" applyNumberFormat="1" applyFont="1" applyFill="1"/>
    <xf numFmtId="10" fontId="7" fillId="2" borderId="8" xfId="0" applyNumberFormat="1" applyFont="1" applyFill="1" applyBorder="1"/>
    <xf numFmtId="5" fontId="7" fillId="2" borderId="0" xfId="0" applyNumberFormat="1" applyFont="1" applyFill="1" applyAlignment="1"/>
    <xf numFmtId="10" fontId="7" fillId="2" borderId="0" xfId="0" quotePrefix="1" applyNumberFormat="1" applyFont="1" applyFill="1" applyAlignment="1">
      <alignment horizontal="left"/>
    </xf>
    <xf numFmtId="10" fontId="7" fillId="2" borderId="0" xfId="0" applyNumberFormat="1" applyFont="1" applyFill="1" applyAlignment="1">
      <alignment horizontal="right"/>
    </xf>
    <xf numFmtId="10" fontId="7" fillId="2" borderId="0" xfId="0" quotePrefix="1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/>
    <xf numFmtId="167" fontId="12" fillId="2" borderId="0" xfId="0" quotePrefix="1" applyNumberFormat="1" applyFont="1" applyFill="1" applyAlignment="1"/>
    <xf numFmtId="5" fontId="13" fillId="2" borderId="0" xfId="0" applyNumberFormat="1" applyFont="1" applyFill="1"/>
    <xf numFmtId="5" fontId="7" fillId="2" borderId="0" xfId="0" quotePrefix="1" applyNumberFormat="1" applyFont="1" applyFill="1" applyAlignment="1">
      <alignment horizontal="left"/>
    </xf>
    <xf numFmtId="5" fontId="7" fillId="0" borderId="0" xfId="0" applyNumberFormat="1" applyFont="1" applyFill="1" applyAlignment="1">
      <alignment horizontal="left"/>
    </xf>
    <xf numFmtId="5" fontId="7" fillId="2" borderId="0" xfId="0" applyNumberFormat="1" applyFont="1" applyFill="1" applyBorder="1"/>
    <xf numFmtId="5" fontId="7" fillId="2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quotePrefix="1" applyFont="1" applyFill="1" applyBorder="1" applyAlignment="1">
      <alignment horizontal="left"/>
    </xf>
    <xf numFmtId="5" fontId="14" fillId="2" borderId="0" xfId="0" quotePrefix="1" applyNumberFormat="1" applyFont="1" applyFill="1" applyAlignment="1">
      <alignment horizontal="left"/>
    </xf>
    <xf numFmtId="5" fontId="12" fillId="2" borderId="0" xfId="0" applyNumberFormat="1" applyFont="1" applyFill="1" applyAlignment="1"/>
    <xf numFmtId="0" fontId="14" fillId="3" borderId="0" xfId="0" applyFont="1" applyFill="1"/>
    <xf numFmtId="10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/>
    <xf numFmtId="5" fontId="7" fillId="2" borderId="0" xfId="0" applyNumberFormat="1" applyFont="1" applyFill="1" applyAlignment="1">
      <alignment horizontal="right"/>
    </xf>
    <xf numFmtId="0" fontId="7" fillId="2" borderId="0" xfId="0" applyFont="1" applyFill="1" applyBorder="1"/>
    <xf numFmtId="10" fontId="7" fillId="2" borderId="2" xfId="0" applyNumberFormat="1" applyFont="1" applyFill="1" applyBorder="1"/>
    <xf numFmtId="10" fontId="7" fillId="2" borderId="0" xfId="0" applyNumberFormat="1" applyFont="1" applyFill="1" applyBorder="1"/>
    <xf numFmtId="10" fontId="7" fillId="2" borderId="4" xfId="0" applyNumberFormat="1" applyFont="1" applyFill="1" applyBorder="1"/>
    <xf numFmtId="10" fontId="7" fillId="2" borderId="5" xfId="0" applyNumberFormat="1" applyFont="1" applyFill="1" applyBorder="1"/>
    <xf numFmtId="10" fontId="7" fillId="2" borderId="3" xfId="0" applyNumberFormat="1" applyFont="1" applyFill="1" applyBorder="1"/>
    <xf numFmtId="5" fontId="7" fillId="2" borderId="4" xfId="0" applyNumberFormat="1" applyFont="1" applyFill="1" applyBorder="1"/>
    <xf numFmtId="5" fontId="14" fillId="0" borderId="0" xfId="3" applyNumberFormat="1" applyFont="1" applyFill="1" applyBorder="1"/>
    <xf numFmtId="37" fontId="7" fillId="2" borderId="0" xfId="9" applyNumberFormat="1" applyFont="1" applyFill="1" applyBorder="1" applyAlignment="1">
      <alignment horizontal="right"/>
    </xf>
    <xf numFmtId="37" fontId="7" fillId="0" borderId="0" xfId="0" applyNumberFormat="1" applyFont="1"/>
    <xf numFmtId="0" fontId="7" fillId="2" borderId="4" xfId="0" applyFont="1" applyFill="1" applyBorder="1"/>
    <xf numFmtId="2" fontId="7" fillId="2" borderId="0" xfId="0" applyNumberFormat="1" applyFont="1" applyFill="1" applyBorder="1"/>
    <xf numFmtId="10" fontId="7" fillId="2" borderId="0" xfId="10" applyFont="1"/>
    <xf numFmtId="5" fontId="7" fillId="0" borderId="0" xfId="0" quotePrefix="1" applyNumberFormat="1" applyFont="1" applyFill="1" applyAlignment="1">
      <alignment horizontal="left"/>
    </xf>
    <xf numFmtId="10" fontId="7" fillId="2" borderId="13" xfId="0" applyNumberFormat="1" applyFont="1" applyFill="1" applyBorder="1"/>
    <xf numFmtId="5" fontId="15" fillId="2" borderId="0" xfId="0" applyNumberFormat="1" applyFont="1" applyFill="1" applyAlignment="1"/>
    <xf numFmtId="0" fontId="15" fillId="2" borderId="2" xfId="0" applyFont="1" applyFill="1" applyBorder="1" applyAlignment="1"/>
    <xf numFmtId="5" fontId="15" fillId="2" borderId="0" xfId="0" applyNumberFormat="1" applyFont="1" applyFill="1"/>
    <xf numFmtId="5" fontId="15" fillId="2" borderId="0" xfId="0" applyNumberFormat="1" applyFont="1" applyFill="1" applyAlignment="1">
      <alignment horizontal="right"/>
    </xf>
    <xf numFmtId="5" fontId="15" fillId="2" borderId="2" xfId="0" applyNumberFormat="1" applyFont="1" applyFill="1" applyBorder="1"/>
    <xf numFmtId="0" fontId="15" fillId="2" borderId="2" xfId="0" applyFont="1" applyFill="1" applyBorder="1"/>
    <xf numFmtId="0" fontId="15" fillId="2" borderId="0" xfId="0" applyNumberFormat="1" applyFont="1" applyFill="1"/>
    <xf numFmtId="0" fontId="15" fillId="2" borderId="8" xfId="0" applyNumberFormat="1" applyFont="1" applyFill="1" applyBorder="1"/>
    <xf numFmtId="5" fontId="15" fillId="2" borderId="0" xfId="0" applyNumberFormat="1" applyFont="1" applyFill="1" applyAlignment="1">
      <alignment horizontal="center"/>
    </xf>
    <xf numFmtId="5" fontId="15" fillId="2" borderId="2" xfId="0" applyNumberFormat="1" applyFont="1" applyFill="1" applyBorder="1" applyAlignment="1">
      <alignment horizontal="center"/>
    </xf>
    <xf numFmtId="15" fontId="15" fillId="2" borderId="0" xfId="0" applyNumberFormat="1" applyFont="1" applyFill="1" applyAlignment="1">
      <alignment horizontal="right" vertical="center"/>
    </xf>
    <xf numFmtId="5" fontId="15" fillId="2" borderId="2" xfId="0" applyNumberFormat="1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0" fontId="15" fillId="2" borderId="8" xfId="0" applyNumberFormat="1" applyFont="1" applyFill="1" applyBorder="1" applyAlignment="1">
      <alignment horizontal="right"/>
    </xf>
    <xf numFmtId="15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/>
    </xf>
    <xf numFmtId="10" fontId="16" fillId="2" borderId="0" xfId="0" quotePrefix="1" applyNumberFormat="1" applyFont="1" applyFill="1" applyAlignment="1">
      <alignment horizontal="right"/>
    </xf>
    <xf numFmtId="10" fontId="16" fillId="2" borderId="0" xfId="0" applyNumberFormat="1" applyFont="1" applyFill="1" applyBorder="1" applyAlignment="1">
      <alignment horizontal="right"/>
    </xf>
    <xf numFmtId="10" fontId="16" fillId="2" borderId="8" xfId="0" applyNumberFormat="1" applyFont="1" applyFill="1" applyBorder="1" applyAlignment="1">
      <alignment horizontal="right"/>
    </xf>
    <xf numFmtId="10" fontId="16" fillId="2" borderId="0" xfId="0" applyNumberFormat="1" applyFont="1" applyFill="1" applyAlignment="1">
      <alignment horizontal="right"/>
    </xf>
    <xf numFmtId="10" fontId="16" fillId="2" borderId="2" xfId="0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5" fontId="7" fillId="2" borderId="8" xfId="0" applyNumberFormat="1" applyFont="1" applyFill="1" applyBorder="1"/>
    <xf numFmtId="3" fontId="7" fillId="2" borderId="0" xfId="1" quotePrefix="1" applyNumberFormat="1"/>
    <xf numFmtId="0" fontId="15" fillId="2" borderId="2" xfId="0" applyNumberFormat="1" applyFont="1" applyFill="1" applyBorder="1"/>
    <xf numFmtId="0" fontId="7" fillId="2" borderId="8" xfId="1" applyNumberFormat="1" applyBorder="1"/>
    <xf numFmtId="5" fontId="11" fillId="2" borderId="0" xfId="0" applyNumberFormat="1" applyFont="1" applyFill="1" applyAlignment="1"/>
    <xf numFmtId="5" fontId="13" fillId="2" borderId="0" xfId="0" applyNumberFormat="1" applyFont="1" applyFill="1" applyBorder="1"/>
    <xf numFmtId="38" fontId="7" fillId="2" borderId="0" xfId="1" applyNumberFormat="1"/>
    <xf numFmtId="38" fontId="15" fillId="2" borderId="0" xfId="1" applyNumberFormat="1" applyFont="1"/>
    <xf numFmtId="38" fontId="7" fillId="0" borderId="0" xfId="1" applyNumberFormat="1" applyFill="1"/>
    <xf numFmtId="38" fontId="7" fillId="2" borderId="0" xfId="1" quotePrefix="1" applyNumberFormat="1"/>
    <xf numFmtId="38" fontId="7" fillId="2" borderId="8" xfId="1" applyNumberFormat="1" applyBorder="1"/>
    <xf numFmtId="38" fontId="3" fillId="2" borderId="0" xfId="0" applyNumberFormat="1" applyFont="1" applyFill="1"/>
    <xf numFmtId="38" fontId="0" fillId="2" borderId="0" xfId="0" applyNumberFormat="1" applyFill="1"/>
    <xf numFmtId="38" fontId="7" fillId="2" borderId="0" xfId="0" applyNumberFormat="1" applyFont="1" applyFill="1"/>
    <xf numFmtId="38" fontId="7" fillId="2" borderId="13" xfId="1" applyNumberFormat="1" applyBorder="1"/>
    <xf numFmtId="38" fontId="7" fillId="2" borderId="5" xfId="1" applyNumberFormat="1" applyBorder="1"/>
    <xf numFmtId="38" fontId="6" fillId="2" borderId="0" xfId="0" applyNumberFormat="1" applyFont="1" applyFill="1"/>
    <xf numFmtId="38" fontId="7" fillId="0" borderId="8" xfId="1" applyNumberFormat="1" applyFill="1" applyBorder="1"/>
    <xf numFmtId="38" fontId="7" fillId="0" borderId="13" xfId="1" applyNumberFormat="1" applyFill="1" applyBorder="1"/>
    <xf numFmtId="38" fontId="7" fillId="5" borderId="0" xfId="1" applyNumberFormat="1" applyFill="1"/>
    <xf numFmtId="10" fontId="7" fillId="2" borderId="0" xfId="10" applyNumberFormat="1" applyFont="1" applyProtection="1">
      <protection locked="0"/>
    </xf>
    <xf numFmtId="38" fontId="7" fillId="2" borderId="8" xfId="1" quotePrefix="1" applyNumberFormat="1" applyBorder="1"/>
    <xf numFmtId="38" fontId="7" fillId="0" borderId="0" xfId="1" quotePrefix="1" applyNumberFormat="1" applyFill="1"/>
    <xf numFmtId="38" fontId="7" fillId="0" borderId="5" xfId="1" applyNumberFormat="1" applyFill="1" applyBorder="1"/>
    <xf numFmtId="5" fontId="7" fillId="0" borderId="0" xfId="0" applyNumberFormat="1" applyFont="1" applyFill="1"/>
    <xf numFmtId="5" fontId="6" fillId="2" borderId="8" xfId="0" applyNumberFormat="1" applyFont="1" applyFill="1" applyBorder="1"/>
    <xf numFmtId="3" fontId="7" fillId="2" borderId="10" xfId="1" applyNumberFormat="1" applyBorder="1"/>
    <xf numFmtId="3" fontId="7" fillId="2" borderId="6" xfId="1" applyNumberFormat="1" applyBorder="1" applyAlignment="1">
      <alignment horizontal="right"/>
    </xf>
    <xf numFmtId="3" fontId="7" fillId="2" borderId="6" xfId="1" applyNumberFormat="1" applyBorder="1"/>
    <xf numFmtId="3" fontId="7" fillId="2" borderId="12" xfId="1" applyNumberFormat="1" applyBorder="1"/>
    <xf numFmtId="3" fontId="7" fillId="2" borderId="14" xfId="1" applyNumberFormat="1" applyBorder="1"/>
    <xf numFmtId="10" fontId="3" fillId="2" borderId="0" xfId="10" applyFont="1"/>
    <xf numFmtId="0" fontId="7" fillId="2" borderId="8" xfId="0" applyNumberFormat="1" applyFont="1" applyFill="1" applyBorder="1"/>
    <xf numFmtId="3" fontId="7" fillId="2" borderId="8" xfId="1" applyNumberFormat="1" applyBorder="1"/>
    <xf numFmtId="3" fontId="7" fillId="2" borderId="7" xfId="1" applyNumberFormat="1" applyBorder="1"/>
    <xf numFmtId="3" fontId="7" fillId="2" borderId="0" xfId="1" applyNumberFormat="1" applyBorder="1"/>
    <xf numFmtId="3" fontId="7" fillId="2" borderId="5" xfId="1" applyNumberFormat="1" applyBorder="1"/>
    <xf numFmtId="3" fontId="7" fillId="2" borderId="15" xfId="1" applyNumberFormat="1" applyBorder="1"/>
    <xf numFmtId="10" fontId="7" fillId="0" borderId="0" xfId="0" applyNumberFormat="1" applyFont="1" applyFill="1" applyBorder="1"/>
    <xf numFmtId="5" fontId="7" fillId="2" borderId="2" xfId="0" applyNumberFormat="1" applyFont="1" applyFill="1" applyBorder="1" applyAlignment="1">
      <alignment horizontal="right"/>
    </xf>
    <xf numFmtId="5" fontId="7" fillId="2" borderId="0" xfId="0" applyNumberFormat="1" applyFont="1" applyFill="1" applyBorder="1" applyAlignment="1">
      <alignment horizontal="right"/>
    </xf>
    <xf numFmtId="5" fontId="3" fillId="2" borderId="0" xfId="0" applyNumberFormat="1" applyFont="1" applyFill="1" applyAlignment="1">
      <alignment horizontal="right"/>
    </xf>
    <xf numFmtId="0" fontId="15" fillId="2" borderId="8" xfId="1" quotePrefix="1" applyNumberFormat="1" applyFont="1" applyBorder="1" applyAlignment="1">
      <alignment horizontal="center"/>
    </xf>
    <xf numFmtId="0" fontId="15" fillId="2" borderId="0" xfId="1" quotePrefix="1" applyNumberFormat="1" applyFont="1" applyBorder="1" applyAlignment="1">
      <alignment horizontal="left"/>
    </xf>
    <xf numFmtId="10" fontId="7" fillId="2" borderId="0" xfId="10" applyNumberFormat="1" applyFont="1"/>
    <xf numFmtId="10" fontId="7" fillId="2" borderId="8" xfId="10" applyNumberFormat="1" applyFont="1" applyBorder="1"/>
    <xf numFmtId="10" fontId="7" fillId="2" borderId="13" xfId="10" applyNumberFormat="1" applyFont="1" applyBorder="1"/>
    <xf numFmtId="10" fontId="7" fillId="2" borderId="5" xfId="10" applyNumberFormat="1" applyFont="1" applyBorder="1"/>
    <xf numFmtId="10" fontId="7" fillId="2" borderId="6" xfId="10" applyNumberFormat="1" applyFont="1" applyBorder="1"/>
    <xf numFmtId="10" fontId="7" fillId="2" borderId="10" xfId="10" applyNumberFormat="1" applyFont="1" applyBorder="1"/>
    <xf numFmtId="10" fontId="7" fillId="2" borderId="12" xfId="10" applyNumberFormat="1" applyFont="1" applyBorder="1"/>
    <xf numFmtId="10" fontId="7" fillId="2" borderId="14" xfId="10" applyNumberFormat="1" applyFont="1" applyBorder="1"/>
    <xf numFmtId="3" fontId="7" fillId="2" borderId="6" xfId="1" applyNumberFormat="1" applyFont="1" applyBorder="1"/>
    <xf numFmtId="3" fontId="7" fillId="2" borderId="10" xfId="1" applyNumberFormat="1" applyFont="1" applyBorder="1"/>
    <xf numFmtId="3" fontId="7" fillId="2" borderId="8" xfId="1" applyNumberFormat="1" applyFont="1" applyBorder="1"/>
    <xf numFmtId="3" fontId="7" fillId="2" borderId="0" xfId="1" applyNumberFormat="1" applyFont="1" applyBorder="1"/>
    <xf numFmtId="3" fontId="7" fillId="2" borderId="11" xfId="1" applyNumberFormat="1" applyFont="1" applyBorder="1"/>
    <xf numFmtId="5" fontId="15" fillId="2" borderId="0" xfId="1" quotePrefix="1" applyNumberFormat="1" applyFont="1" applyBorder="1" applyAlignment="1">
      <alignment horizontal="left"/>
    </xf>
    <xf numFmtId="3" fontId="7" fillId="2" borderId="0" xfId="1" applyNumberFormat="1" applyBorder="1" applyAlignment="1">
      <alignment horizontal="right"/>
    </xf>
    <xf numFmtId="0" fontId="15" fillId="2" borderId="8" xfId="1" quotePrefix="1" applyNumberFormat="1" applyFont="1" applyBorder="1" applyAlignment="1">
      <alignment horizontal="left"/>
    </xf>
    <xf numFmtId="10" fontId="7" fillId="2" borderId="8" xfId="0" applyNumberFormat="1" applyFont="1" applyFill="1" applyBorder="1" applyAlignment="1">
      <alignment horizontal="right"/>
    </xf>
    <xf numFmtId="10" fontId="7" fillId="2" borderId="8" xfId="10" applyFont="1" applyBorder="1"/>
    <xf numFmtId="10" fontId="7" fillId="2" borderId="5" xfId="10" applyFont="1" applyBorder="1"/>
    <xf numFmtId="10" fontId="7" fillId="2" borderId="13" xfId="10" applyFont="1" applyBorder="1"/>
    <xf numFmtId="3" fontId="15" fillId="2" borderId="0" xfId="1" applyNumberFormat="1" applyFont="1" applyAlignment="1">
      <alignment horizontal="right"/>
    </xf>
    <xf numFmtId="3" fontId="15" fillId="2" borderId="6" xfId="1" applyNumberFormat="1" applyFont="1" applyBorder="1" applyAlignment="1">
      <alignment horizontal="right"/>
    </xf>
    <xf numFmtId="10" fontId="15" fillId="2" borderId="0" xfId="0" applyNumberFormat="1" applyFont="1" applyFill="1" applyAlignment="1">
      <alignment horizontal="right"/>
    </xf>
    <xf numFmtId="0" fontId="15" fillId="2" borderId="10" xfId="1" quotePrefix="1" applyNumberFormat="1" applyFont="1" applyBorder="1"/>
    <xf numFmtId="10" fontId="15" fillId="2" borderId="2" xfId="0" applyNumberFormat="1" applyFont="1" applyFill="1" applyBorder="1" applyAlignment="1">
      <alignment horizontal="right"/>
    </xf>
    <xf numFmtId="0" fontId="7" fillId="2" borderId="0" xfId="1" quotePrefix="1" applyNumberFormat="1" applyFont="1" applyBorder="1" applyAlignment="1">
      <alignment horizontal="left"/>
    </xf>
    <xf numFmtId="0" fontId="15" fillId="2" borderId="10" xfId="1" applyNumberFormat="1" applyFont="1" applyBorder="1"/>
    <xf numFmtId="5" fontId="7" fillId="2" borderId="0" xfId="1" quotePrefix="1" applyNumberFormat="1" applyFont="1" applyBorder="1" applyAlignment="1">
      <alignment horizontal="left"/>
    </xf>
    <xf numFmtId="5" fontId="13" fillId="2" borderId="0" xfId="1" quotePrefix="1" applyNumberFormat="1" applyFont="1" applyBorder="1" applyAlignment="1">
      <alignment horizontal="left"/>
    </xf>
    <xf numFmtId="10" fontId="7" fillId="0" borderId="6" xfId="10" applyNumberFormat="1" applyFont="1" applyFill="1" applyBorder="1"/>
    <xf numFmtId="10" fontId="7" fillId="0" borderId="0" xfId="10" applyNumberFormat="1" applyFont="1" applyFill="1"/>
    <xf numFmtId="3" fontId="7" fillId="2" borderId="10" xfId="1" applyNumberFormat="1" applyBorder="1" applyAlignment="1">
      <alignment horizontal="right"/>
    </xf>
    <xf numFmtId="5" fontId="7" fillId="2" borderId="2" xfId="0" applyNumberFormat="1" applyFont="1" applyFill="1" applyBorder="1"/>
    <xf numFmtId="3" fontId="7" fillId="2" borderId="0" xfId="1" applyNumberFormat="1" applyFont="1"/>
    <xf numFmtId="7" fontId="6" fillId="2" borderId="0" xfId="0" applyNumberFormat="1" applyFont="1" applyFill="1" applyBorder="1"/>
    <xf numFmtId="4" fontId="7" fillId="2" borderId="6" xfId="1" applyBorder="1"/>
    <xf numFmtId="10" fontId="7" fillId="2" borderId="6" xfId="10" applyFont="1" applyBorder="1"/>
    <xf numFmtId="4" fontId="7" fillId="2" borderId="6" xfId="1" applyFont="1" applyBorder="1"/>
    <xf numFmtId="10" fontId="4" fillId="2" borderId="0" xfId="0" applyNumberFormat="1" applyFont="1" applyFill="1" applyAlignment="1">
      <alignment horizontal="right"/>
    </xf>
    <xf numFmtId="10" fontId="4" fillId="2" borderId="2" xfId="0" applyNumberFormat="1" applyFont="1" applyFill="1" applyBorder="1" applyAlignment="1">
      <alignment horizontal="right"/>
    </xf>
    <xf numFmtId="5" fontId="3" fillId="2" borderId="0" xfId="0" applyNumberFormat="1" applyFont="1" applyFill="1" applyAlignment="1">
      <alignment horizontal="center"/>
    </xf>
    <xf numFmtId="10" fontId="7" fillId="0" borderId="0" xfId="0" applyNumberFormat="1" applyFont="1" applyFill="1"/>
    <xf numFmtId="3" fontId="7" fillId="0" borderId="0" xfId="1" applyNumberFormat="1" applyFill="1"/>
    <xf numFmtId="3" fontId="7" fillId="0" borderId="7" xfId="1" applyNumberFormat="1" applyFill="1" applyBorder="1"/>
    <xf numFmtId="3" fontId="7" fillId="0" borderId="8" xfId="1" applyNumberFormat="1" applyFill="1" applyBorder="1"/>
    <xf numFmtId="10" fontId="7" fillId="0" borderId="8" xfId="0" applyNumberFormat="1" applyFont="1" applyFill="1" applyBorder="1"/>
    <xf numFmtId="10" fontId="7" fillId="0" borderId="13" xfId="0" applyNumberFormat="1" applyFont="1" applyFill="1" applyBorder="1"/>
    <xf numFmtId="3" fontId="7" fillId="0" borderId="15" xfId="1" applyNumberFormat="1" applyFill="1" applyBorder="1"/>
    <xf numFmtId="3" fontId="7" fillId="0" borderId="5" xfId="1" applyNumberFormat="1" applyFill="1" applyBorder="1"/>
    <xf numFmtId="10" fontId="7" fillId="0" borderId="17" xfId="0" applyNumberFormat="1" applyFont="1" applyFill="1" applyBorder="1"/>
    <xf numFmtId="5" fontId="6" fillId="0" borderId="0" xfId="0" applyNumberFormat="1" applyFont="1" applyFill="1" applyBorder="1"/>
    <xf numFmtId="10" fontId="15" fillId="2" borderId="0" xfId="0" applyNumberFormat="1" applyFont="1" applyFill="1" applyAlignment="1"/>
    <xf numFmtId="0" fontId="3" fillId="2" borderId="8" xfId="0" applyNumberFormat="1" applyFont="1" applyFill="1" applyBorder="1"/>
    <xf numFmtId="4" fontId="7" fillId="2" borderId="0" xfId="1" quotePrefix="1"/>
    <xf numFmtId="10" fontId="7" fillId="0" borderId="0" xfId="10" applyFont="1" applyFill="1"/>
    <xf numFmtId="0" fontId="7" fillId="2" borderId="10" xfId="1" applyNumberFormat="1" applyBorder="1"/>
    <xf numFmtId="10" fontId="3" fillId="0" borderId="0" xfId="10" applyFont="1" applyFill="1"/>
    <xf numFmtId="10" fontId="7" fillId="0" borderId="2" xfId="0" applyNumberFormat="1" applyFont="1" applyFill="1" applyBorder="1"/>
    <xf numFmtId="10" fontId="7" fillId="0" borderId="4" xfId="0" applyNumberFormat="1" applyFont="1" applyFill="1" applyBorder="1"/>
    <xf numFmtId="38" fontId="7" fillId="2" borderId="6" xfId="1" applyNumberFormat="1" applyBorder="1"/>
    <xf numFmtId="38" fontId="7" fillId="2" borderId="10" xfId="1" applyNumberFormat="1" applyBorder="1"/>
    <xf numFmtId="38" fontId="6" fillId="2" borderId="0" xfId="0" applyNumberFormat="1" applyFont="1" applyFill="1" applyBorder="1"/>
    <xf numFmtId="38" fontId="7" fillId="2" borderId="16" xfId="1" applyNumberFormat="1" applyBorder="1"/>
    <xf numFmtId="38" fontId="7" fillId="2" borderId="0" xfId="1" applyNumberFormat="1" applyBorder="1"/>
    <xf numFmtId="38" fontId="6" fillId="0" borderId="0" xfId="0" applyNumberFormat="1" applyFont="1" applyFill="1"/>
    <xf numFmtId="38" fontId="7" fillId="2" borderId="9" xfId="1" applyNumberFormat="1" applyBorder="1"/>
    <xf numFmtId="38" fontId="6" fillId="2" borderId="6" xfId="0" applyNumberFormat="1" applyFont="1" applyFill="1" applyBorder="1"/>
    <xf numFmtId="38" fontId="7" fillId="2" borderId="14" xfId="1" applyNumberFormat="1" applyBorder="1"/>
    <xf numFmtId="38" fontId="7" fillId="0" borderId="0" xfId="1" applyNumberFormat="1" applyFill="1" applyBorder="1"/>
    <xf numFmtId="10" fontId="16" fillId="0" borderId="0" xfId="0" applyNumberFormat="1" applyFont="1" applyFill="1" applyAlignment="1">
      <alignment horizontal="right"/>
    </xf>
    <xf numFmtId="10" fontId="16" fillId="0" borderId="2" xfId="0" applyNumberFormat="1" applyFont="1" applyFill="1" applyBorder="1" applyAlignment="1">
      <alignment horizontal="right"/>
    </xf>
    <xf numFmtId="10" fontId="7" fillId="2" borderId="0" xfId="10" applyNumberFormat="1" applyFont="1" applyBorder="1"/>
    <xf numFmtId="10" fontId="7" fillId="2" borderId="18" xfId="10" applyNumberFormat="1" applyFont="1" applyBorder="1"/>
    <xf numFmtId="3" fontId="7" fillId="2" borderId="18" xfId="1" applyNumberFormat="1" applyBorder="1" applyAlignment="1">
      <alignment horizontal="right"/>
    </xf>
    <xf numFmtId="0" fontId="7" fillId="2" borderId="7" xfId="1" applyNumberFormat="1" applyBorder="1"/>
    <xf numFmtId="3" fontId="7" fillId="2" borderId="18" xfId="1" applyNumberFormat="1" applyBorder="1"/>
    <xf numFmtId="10" fontId="7" fillId="2" borderId="18" xfId="10" applyFont="1" applyBorder="1"/>
    <xf numFmtId="10" fontId="7" fillId="2" borderId="7" xfId="10" applyFont="1" applyBorder="1"/>
    <xf numFmtId="3" fontId="7" fillId="2" borderId="18" xfId="1" applyNumberFormat="1" applyFont="1" applyBorder="1"/>
    <xf numFmtId="10" fontId="7" fillId="2" borderId="16" xfId="10" applyFont="1" applyBorder="1"/>
    <xf numFmtId="10" fontId="7" fillId="2" borderId="15" xfId="10" applyFont="1" applyBorder="1"/>
    <xf numFmtId="3" fontId="7" fillId="2" borderId="19" xfId="1" applyNumberFormat="1" applyFont="1" applyBorder="1"/>
    <xf numFmtId="10" fontId="7" fillId="0" borderId="18" xfId="10" applyFont="1" applyFill="1" applyBorder="1"/>
    <xf numFmtId="3" fontId="7" fillId="2" borderId="13" xfId="1" applyNumberFormat="1" applyBorder="1"/>
    <xf numFmtId="3" fontId="7" fillId="2" borderId="17" xfId="1" applyNumberFormat="1" applyBorder="1"/>
    <xf numFmtId="5" fontId="6" fillId="2" borderId="19" xfId="0" applyNumberFormat="1" applyFont="1" applyFill="1" applyBorder="1"/>
    <xf numFmtId="5" fontId="6" fillId="0" borderId="18" xfId="0" applyNumberFormat="1" applyFont="1" applyFill="1" applyBorder="1"/>
    <xf numFmtId="5" fontId="6" fillId="2" borderId="18" xfId="0" applyNumberFormat="1" applyFont="1" applyFill="1" applyBorder="1"/>
    <xf numFmtId="3" fontId="7" fillId="0" borderId="18" xfId="1" applyNumberFormat="1" applyFill="1" applyBorder="1"/>
    <xf numFmtId="38" fontId="7" fillId="2" borderId="7" xfId="1" applyNumberFormat="1" applyBorder="1"/>
    <xf numFmtId="38" fontId="7" fillId="2" borderId="7" xfId="0" applyNumberFormat="1" applyFont="1" applyFill="1" applyBorder="1"/>
    <xf numFmtId="38" fontId="7" fillId="2" borderId="8" xfId="0" applyNumberFormat="1" applyFont="1" applyFill="1" applyBorder="1"/>
    <xf numFmtId="5" fontId="13" fillId="0" borderId="0" xfId="0" applyNumberFormat="1" applyFont="1" applyFill="1"/>
    <xf numFmtId="10" fontId="6" fillId="2" borderId="0" xfId="10"/>
    <xf numFmtId="5" fontId="11" fillId="2" borderId="0" xfId="0" applyNumberFormat="1" applyFont="1" applyFill="1" applyAlignment="1">
      <alignment horizontal="center"/>
    </xf>
    <xf numFmtId="5" fontId="12" fillId="2" borderId="0" xfId="0" applyNumberFormat="1" applyFon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9" fontId="15" fillId="2" borderId="0" xfId="0" applyNumberFormat="1" applyFont="1" applyFill="1" applyAlignment="1">
      <alignment horizontal="center"/>
    </xf>
    <xf numFmtId="0" fontId="2" fillId="2" borderId="0" xfId="1" quotePrefix="1" applyNumberFormat="1" applyFont="1" applyBorder="1" applyAlignment="1">
      <alignment horizontal="center"/>
    </xf>
    <xf numFmtId="0" fontId="2" fillId="2" borderId="0" xfId="1" applyNumberFormat="1" applyFont="1" applyBorder="1" applyAlignment="1">
      <alignment horizontal="center"/>
    </xf>
    <xf numFmtId="0" fontId="11" fillId="2" borderId="0" xfId="1" quotePrefix="1" applyNumberFormat="1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5"/>
  <sheetViews>
    <sheetView showGridLines="0" zoomScaleNormal="100" workbookViewId="0">
      <selection activeCell="Q118" sqref="Q118"/>
    </sheetView>
  </sheetViews>
  <sheetFormatPr defaultColWidth="13.7109375" defaultRowHeight="12.75" x14ac:dyDescent="0.2"/>
  <cols>
    <col min="1" max="1" width="30.140625" style="37" customWidth="1"/>
    <col min="2" max="3" width="12.7109375" style="37" hidden="1" customWidth="1"/>
    <col min="4" max="9" width="12.7109375" hidden="1" customWidth="1"/>
    <col min="10" max="14" width="12.7109375" customWidth="1"/>
    <col min="15" max="15" width="10.7109375" style="67" customWidth="1"/>
    <col min="16" max="16" width="1.7109375" style="1" customWidth="1"/>
    <col min="17" max="17" width="29.5703125" style="67" customWidth="1"/>
    <col min="18" max="19" width="11.140625" style="67" hidden="1" customWidth="1"/>
    <col min="20" max="25" width="11.140625" style="1" hidden="1" customWidth="1"/>
    <col min="26" max="30" width="11.140625" style="1" customWidth="1"/>
    <col min="31" max="31" width="10.7109375" style="67" customWidth="1"/>
    <col min="32" max="32" width="12.7109375" style="66" customWidth="1"/>
    <col min="33" max="34" width="11.140625" style="1" customWidth="1"/>
    <col min="35" max="37" width="13.7109375" customWidth="1"/>
    <col min="38" max="38" width="16.140625" customWidth="1"/>
    <col min="39" max="40" width="13.7109375" customWidth="1"/>
    <col min="41" max="48" width="12.7109375" customWidth="1"/>
  </cols>
  <sheetData>
    <row r="1" spans="1:40" x14ac:dyDescent="0.2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71" t="s">
        <v>88</v>
      </c>
      <c r="P1" s="15"/>
      <c r="Q1" s="37"/>
      <c r="R1" s="37"/>
      <c r="S1" s="37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71" t="str">
        <f>O1</f>
        <v>Exhibit 1</v>
      </c>
      <c r="AG1" s="15"/>
      <c r="AH1" s="15"/>
    </row>
    <row r="2" spans="1:40" x14ac:dyDescent="0.2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72" t="s">
        <v>173</v>
      </c>
      <c r="P2" s="50"/>
      <c r="Q2" s="37"/>
      <c r="R2" s="37"/>
      <c r="S2" s="3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72" t="s">
        <v>177</v>
      </c>
      <c r="AF2" s="132"/>
      <c r="AG2" s="50"/>
      <c r="AH2" s="50"/>
    </row>
    <row r="3" spans="1:40" s="37" customFormat="1" ht="18" x14ac:dyDescent="0.25">
      <c r="A3" s="269" t="str">
        <f>Assumptions!D3</f>
        <v>Deseret Generation &amp; Transmission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76"/>
      <c r="Q3" s="269" t="str">
        <f>A3</f>
        <v>Deseret Generation &amp; Transmission</v>
      </c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66"/>
      <c r="AG3" s="76"/>
      <c r="AH3" s="76"/>
    </row>
    <row r="4" spans="1:40" s="37" customFormat="1" ht="15.75" x14ac:dyDescent="0.25">
      <c r="A4" s="270" t="s">
        <v>56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76"/>
      <c r="Q4" s="270" t="s">
        <v>55</v>
      </c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66"/>
      <c r="AG4" s="76"/>
      <c r="AH4" s="76"/>
    </row>
    <row r="5" spans="1:40" s="37" customFormat="1" ht="15.75" x14ac:dyDescent="0.25">
      <c r="A5" s="271" t="s">
        <v>86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76"/>
      <c r="Q5" s="270" t="s">
        <v>56</v>
      </c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66"/>
      <c r="AG5" s="76"/>
      <c r="AH5" s="76"/>
    </row>
    <row r="6" spans="1:40" ht="15.75" x14ac:dyDescent="0.25">
      <c r="A6" s="228"/>
      <c r="B6" s="77"/>
      <c r="C6" s="7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P6" s="49"/>
      <c r="Q6" s="74"/>
      <c r="R6" s="74"/>
      <c r="S6" s="7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5"/>
      <c r="AG6" s="49"/>
      <c r="AH6" s="49"/>
    </row>
    <row r="7" spans="1:40" x14ac:dyDescent="0.2">
      <c r="A7" s="228"/>
      <c r="B7" s="107"/>
      <c r="C7" s="107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25" t="s">
        <v>196</v>
      </c>
      <c r="P7" s="52"/>
      <c r="Q7" s="69"/>
      <c r="R7" s="69"/>
      <c r="S7" s="69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76"/>
      <c r="AG7" s="52"/>
      <c r="AH7" s="52"/>
    </row>
    <row r="8" spans="1:40" x14ac:dyDescent="0.2">
      <c r="A8" s="107"/>
      <c r="B8" s="107"/>
      <c r="C8" s="107"/>
      <c r="D8" s="110"/>
      <c r="E8" s="110"/>
      <c r="F8" s="122"/>
      <c r="G8" s="122"/>
      <c r="H8" s="122"/>
      <c r="I8" s="122"/>
      <c r="J8" s="122"/>
      <c r="K8" s="122"/>
      <c r="L8" s="122"/>
      <c r="M8" s="122"/>
      <c r="N8" s="123"/>
      <c r="O8" s="126" t="s">
        <v>4</v>
      </c>
      <c r="P8" s="53"/>
      <c r="Q8" s="109"/>
      <c r="R8" s="109"/>
      <c r="S8" s="109"/>
      <c r="T8" s="109"/>
      <c r="U8" s="110"/>
      <c r="V8" s="119"/>
      <c r="W8" s="119"/>
      <c r="X8" s="119"/>
      <c r="Y8" s="119"/>
      <c r="Z8" s="119"/>
      <c r="AA8" s="119"/>
      <c r="AB8" s="119"/>
      <c r="AC8" s="119"/>
      <c r="AD8" s="119"/>
      <c r="AE8" s="128" t="str">
        <f>O7</f>
        <v>2011 to 2015</v>
      </c>
      <c r="AG8" s="53"/>
      <c r="AH8" s="53"/>
    </row>
    <row r="9" spans="1:40" x14ac:dyDescent="0.2">
      <c r="A9" s="108" t="s">
        <v>0</v>
      </c>
      <c r="B9" s="108">
        <v>2003</v>
      </c>
      <c r="C9" s="108">
        <v>2004</v>
      </c>
      <c r="D9" s="124">
        <v>2005</v>
      </c>
      <c r="E9" s="124">
        <f>D9+1</f>
        <v>2006</v>
      </c>
      <c r="F9" s="120">
        <f>E9+1</f>
        <v>2007</v>
      </c>
      <c r="G9" s="120">
        <f>F9+1</f>
        <v>2008</v>
      </c>
      <c r="H9" s="120">
        <f>G9+1</f>
        <v>2009</v>
      </c>
      <c r="I9" s="120">
        <f>H9+1</f>
        <v>2010</v>
      </c>
      <c r="J9" s="120">
        <v>2011</v>
      </c>
      <c r="K9" s="120">
        <v>2012</v>
      </c>
      <c r="L9" s="120">
        <v>2013</v>
      </c>
      <c r="M9" s="120">
        <v>2014</v>
      </c>
      <c r="N9" s="120">
        <v>2015</v>
      </c>
      <c r="O9" s="127" t="s">
        <v>30</v>
      </c>
      <c r="P9" s="53"/>
      <c r="Q9" s="111" t="s">
        <v>0</v>
      </c>
      <c r="R9" s="133">
        <f>+S9-1</f>
        <v>2003</v>
      </c>
      <c r="S9" s="133">
        <f>+T9-1</f>
        <v>2004</v>
      </c>
      <c r="T9" s="112">
        <f>D9</f>
        <v>2005</v>
      </c>
      <c r="U9" s="112">
        <f>T9+1</f>
        <v>2006</v>
      </c>
      <c r="V9" s="120">
        <f>U9+1</f>
        <v>2007</v>
      </c>
      <c r="W9" s="120">
        <f>V9+1</f>
        <v>2008</v>
      </c>
      <c r="X9" s="120">
        <f>W9+1</f>
        <v>2009</v>
      </c>
      <c r="Y9" s="120">
        <f>X9+1</f>
        <v>2010</v>
      </c>
      <c r="Z9" s="120">
        <v>2011</v>
      </c>
      <c r="AA9" s="120">
        <v>2012</v>
      </c>
      <c r="AB9" s="120">
        <v>2013</v>
      </c>
      <c r="AC9" s="120">
        <v>2014</v>
      </c>
      <c r="AD9" s="120">
        <v>2015</v>
      </c>
      <c r="AE9" s="127" t="s">
        <v>51</v>
      </c>
      <c r="AG9" s="53"/>
      <c r="AH9" s="53"/>
    </row>
    <row r="10" spans="1:40" ht="7.5" customHeight="1" x14ac:dyDescent="0.2">
      <c r="A10" s="73"/>
      <c r="B10" s="73"/>
      <c r="C10" s="7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5"/>
      <c r="P10" s="6"/>
      <c r="Q10" s="81"/>
      <c r="R10" s="81"/>
      <c r="S10" s="81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89"/>
      <c r="AG10" s="6"/>
      <c r="AH10" s="6"/>
    </row>
    <row r="11" spans="1:40" x14ac:dyDescent="0.2">
      <c r="A11" s="78" t="s">
        <v>7</v>
      </c>
      <c r="B11" s="66"/>
      <c r="C11" s="6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3"/>
      <c r="Q11" s="78" t="str">
        <f>A11</f>
        <v>Current Assets:</v>
      </c>
      <c r="R11" s="78"/>
      <c r="S11" s="78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G11" s="3"/>
      <c r="AH11" s="3"/>
      <c r="AJ11" s="1"/>
      <c r="AK11" s="1"/>
      <c r="AL11" s="1"/>
      <c r="AM11" s="1"/>
      <c r="AN11" t="s">
        <v>82</v>
      </c>
    </row>
    <row r="12" spans="1:40" x14ac:dyDescent="0.2">
      <c r="A12" s="37" t="s">
        <v>168</v>
      </c>
      <c r="B12" s="139">
        <f>-932740+215701+20614246</f>
        <v>19897207</v>
      </c>
      <c r="C12" s="139">
        <f>-3626700+674639+17485901</f>
        <v>14533840</v>
      </c>
      <c r="D12" s="137">
        <v>14533840</v>
      </c>
      <c r="E12" s="137">
        <v>10863863</v>
      </c>
      <c r="F12" s="137">
        <v>11860174</v>
      </c>
      <c r="G12" s="137">
        <v>13735665</v>
      </c>
      <c r="H12" s="137">
        <v>18221590</v>
      </c>
      <c r="I12" s="137">
        <v>14221212</v>
      </c>
      <c r="J12" s="137">
        <v>13344238</v>
      </c>
      <c r="K12" s="137">
        <v>8150119</v>
      </c>
      <c r="L12" s="137">
        <v>14151333</v>
      </c>
      <c r="M12" s="137">
        <v>3181555</v>
      </c>
      <c r="N12" s="137">
        <v>13329516</v>
      </c>
      <c r="O12" s="67">
        <f t="shared" ref="O12:O18" si="0">RATE(4,,-J12,N12)</f>
        <v>-2.7592610903550931E-4</v>
      </c>
      <c r="P12" s="3"/>
      <c r="Q12" s="37" t="str">
        <f>A12</f>
        <v xml:space="preserve">Unrestricted Cash </v>
      </c>
      <c r="R12" s="67">
        <f t="shared" ref="R12:W18" si="1">B12/B$36</f>
        <v>3.8722940930935201E-2</v>
      </c>
      <c r="S12" s="67">
        <f t="shared" si="1"/>
        <v>2.9012616664705889E-2</v>
      </c>
      <c r="T12" s="67">
        <f t="shared" si="1"/>
        <v>2.8592755981526687E-2</v>
      </c>
      <c r="U12" s="67">
        <f t="shared" si="1"/>
        <v>2.1719009900698732E-2</v>
      </c>
      <c r="V12" s="67">
        <f t="shared" si="1"/>
        <v>2.4754006598428038E-2</v>
      </c>
      <c r="W12" s="67">
        <f t="shared" si="1"/>
        <v>2.9336936556306505E-2</v>
      </c>
      <c r="X12" s="67">
        <f t="shared" ref="X12:Y18" si="2">H12/H$36</f>
        <v>3.9597130055738505E-2</v>
      </c>
      <c r="Y12" s="67">
        <f t="shared" si="2"/>
        <v>3.0894100880559338E-2</v>
      </c>
      <c r="Z12" s="67">
        <f t="shared" ref="Z12:Z18" si="3">J12/J$36</f>
        <v>3.1088133285944036E-2</v>
      </c>
      <c r="AA12" s="67">
        <f t="shared" ref="AA12:AA18" si="4">K12/K$36</f>
        <v>2.0371283033109082E-2</v>
      </c>
      <c r="AB12" s="67">
        <f t="shared" ref="AB12:AB18" si="5">L12/L$36</f>
        <v>3.6801709935051101E-2</v>
      </c>
      <c r="AC12" s="67">
        <f t="shared" ref="AC12:AC18" si="6">M12/M$36</f>
        <v>9.2069602710283145E-3</v>
      </c>
      <c r="AD12" s="67">
        <f t="shared" ref="AD12:AD18" si="7">N12/N$36</f>
        <v>3.914867495544011E-2</v>
      </c>
      <c r="AE12" s="67">
        <f>SUM(J12:N12)/SUM(J$36:N$36)</f>
        <v>2.7452498179755022E-2</v>
      </c>
      <c r="AG12" s="3"/>
      <c r="AH12" s="3">
        <f>AVERAGE(W12:AD12)</f>
        <v>2.9555616121647126E-2</v>
      </c>
      <c r="AI12" s="1"/>
      <c r="AJ12" s="1"/>
      <c r="AK12" s="1"/>
      <c r="AL12" s="1"/>
      <c r="AM12" s="1"/>
      <c r="AN12" s="1"/>
    </row>
    <row r="13" spans="1:40" x14ac:dyDescent="0.2">
      <c r="A13" s="37" t="s">
        <v>169</v>
      </c>
      <c r="B13" s="139"/>
      <c r="C13" s="139"/>
      <c r="D13" s="139">
        <f>24009879-14533840</f>
        <v>9476039</v>
      </c>
      <c r="E13" s="139">
        <f>8526941+26678837</f>
        <v>35205778</v>
      </c>
      <c r="F13" s="139">
        <f>43228495-F12</f>
        <v>31368321</v>
      </c>
      <c r="G13" s="139">
        <f>556321+50675936</f>
        <v>51232257</v>
      </c>
      <c r="H13" s="139">
        <f>116853+46788825</f>
        <v>46905678</v>
      </c>
      <c r="I13" s="139">
        <f>135538+56707077</f>
        <v>56842615</v>
      </c>
      <c r="J13" s="139">
        <f>1144369+56756752-664713-13344238</f>
        <v>43892170</v>
      </c>
      <c r="K13" s="139">
        <f>1500727+52531088-640620-8150119</f>
        <v>45241076</v>
      </c>
      <c r="L13" s="139">
        <f>939501+49652952-652899-14151333</f>
        <v>35788221</v>
      </c>
      <c r="M13" s="139">
        <f>926636+29853026-3303477-3181555</f>
        <v>24294630</v>
      </c>
      <c r="N13" s="139">
        <f>1190861+1801156+38485330-13329516</f>
        <v>28147831</v>
      </c>
      <c r="O13" s="67">
        <f t="shared" si="0"/>
        <v>-0.10512068290984371</v>
      </c>
      <c r="P13" s="3"/>
      <c r="Q13" s="37" t="str">
        <f>+A13</f>
        <v>Restricted Deposits</v>
      </c>
      <c r="R13" s="67">
        <f t="shared" si="1"/>
        <v>0</v>
      </c>
      <c r="S13" s="67">
        <f t="shared" si="1"/>
        <v>0</v>
      </c>
      <c r="T13" s="216">
        <f t="shared" si="1"/>
        <v>1.8642428346426695E-2</v>
      </c>
      <c r="U13" s="216">
        <f t="shared" si="1"/>
        <v>7.0383310332963661E-2</v>
      </c>
      <c r="V13" s="216">
        <f t="shared" si="1"/>
        <v>6.5470508697056951E-2</v>
      </c>
      <c r="W13" s="216">
        <f t="shared" si="1"/>
        <v>0.10942298558135991</v>
      </c>
      <c r="X13" s="216">
        <f t="shared" ref="X13" si="8">H13/H$36</f>
        <v>0.10193019556024432</v>
      </c>
      <c r="Y13" s="216">
        <f t="shared" si="2"/>
        <v>0.12348465673142313</v>
      </c>
      <c r="Z13" s="216">
        <f t="shared" si="3"/>
        <v>0.10225579243785327</v>
      </c>
      <c r="AA13" s="216">
        <f t="shared" si="4"/>
        <v>0.11308040580982909</v>
      </c>
      <c r="AB13" s="216">
        <f t="shared" si="5"/>
        <v>9.3070223726168022E-2</v>
      </c>
      <c r="AC13" s="216">
        <f t="shared" si="6"/>
        <v>7.0305147391553066E-2</v>
      </c>
      <c r="AD13" s="216">
        <f t="shared" ref="AD13" si="9">N13/N$36</f>
        <v>8.2669939892765859E-2</v>
      </c>
      <c r="AE13" s="67">
        <f t="shared" ref="AE13:AE16" si="10">SUM(J13:N13)/SUM(J$36:N$36)</f>
        <v>9.3354779269636798E-2</v>
      </c>
      <c r="AG13" s="3"/>
      <c r="AH13" s="3">
        <f>AVERAGE(X13:AD13)</f>
        <v>9.8113765935690961E-2</v>
      </c>
      <c r="AI13" s="1"/>
      <c r="AJ13" s="1"/>
      <c r="AK13" s="1"/>
      <c r="AL13" s="1"/>
      <c r="AM13" s="1"/>
      <c r="AN13" s="1"/>
    </row>
    <row r="14" spans="1:40" x14ac:dyDescent="0.2">
      <c r="A14" s="79" t="s">
        <v>85</v>
      </c>
      <c r="B14" s="153">
        <f>40179851+8682570-21991194+509849</f>
        <v>27381076</v>
      </c>
      <c r="C14" s="153">
        <f>9259492+36548293-19981830+280223</f>
        <v>26106178</v>
      </c>
      <c r="D14" s="139">
        <f>10273208+38366628-18201709</f>
        <v>30438127</v>
      </c>
      <c r="E14" s="139">
        <f>10725753+20996120</f>
        <v>31721873</v>
      </c>
      <c r="F14" s="139">
        <f>12106803+23032406</f>
        <v>35139209</v>
      </c>
      <c r="G14" s="139">
        <f>10528258+15910691</f>
        <v>26438949</v>
      </c>
      <c r="H14" s="139">
        <f>10424903+11802787+2053002</f>
        <v>24280692</v>
      </c>
      <c r="I14" s="137">
        <f>13272033+12778909+5771519</f>
        <v>31822461</v>
      </c>
      <c r="J14" s="137">
        <f>13009839+13269098+4255492</f>
        <v>30534429</v>
      </c>
      <c r="K14" s="137">
        <f>14954929+13821596+4390662</f>
        <v>33167187</v>
      </c>
      <c r="L14" s="137">
        <f>16491232+14375653-532400+3375632</f>
        <v>33710117</v>
      </c>
      <c r="M14" s="137">
        <f>15833376+12673053+1560283</f>
        <v>30066712</v>
      </c>
      <c r="N14" s="137">
        <f>17312624+8259406-116157+1087522</f>
        <v>26543395</v>
      </c>
      <c r="O14" s="67">
        <f t="shared" si="0"/>
        <v>-3.4412429366729627E-2</v>
      </c>
      <c r="P14" s="3"/>
      <c r="Q14" s="37" t="str">
        <f>A14</f>
        <v>Accounts Receivable, net</v>
      </c>
      <c r="R14" s="67">
        <f t="shared" si="1"/>
        <v>5.328766939869739E-2</v>
      </c>
      <c r="S14" s="67">
        <f t="shared" si="1"/>
        <v>5.211344936331886E-2</v>
      </c>
      <c r="T14" s="216">
        <f t="shared" si="1"/>
        <v>5.9881623703420366E-2</v>
      </c>
      <c r="U14" s="216">
        <f t="shared" si="1"/>
        <v>6.3418295477005532E-2</v>
      </c>
      <c r="V14" s="216">
        <f t="shared" si="1"/>
        <v>7.3340931713948038E-2</v>
      </c>
      <c r="W14" s="216">
        <f t="shared" si="1"/>
        <v>5.6468890980409268E-2</v>
      </c>
      <c r="X14" s="216">
        <f t="shared" si="2"/>
        <v>5.2764095722016E-2</v>
      </c>
      <c r="Y14" s="216">
        <f t="shared" si="2"/>
        <v>6.9130979863155487E-2</v>
      </c>
      <c r="Z14" s="216">
        <f t="shared" si="3"/>
        <v>7.1136201150054035E-2</v>
      </c>
      <c r="AA14" s="216">
        <f t="shared" si="4"/>
        <v>8.290163049018745E-2</v>
      </c>
      <c r="AB14" s="216">
        <f t="shared" si="5"/>
        <v>8.7665942686150841E-2</v>
      </c>
      <c r="AC14" s="216">
        <f t="shared" si="6"/>
        <v>8.7008718335672433E-2</v>
      </c>
      <c r="AD14" s="216">
        <f t="shared" si="7"/>
        <v>7.7957725026839259E-2</v>
      </c>
      <c r="AE14" s="67">
        <f t="shared" si="10"/>
        <v>8.1068766563984276E-2</v>
      </c>
      <c r="AG14" s="3"/>
      <c r="AH14" s="3">
        <f>+AE14</f>
        <v>8.1068766563984276E-2</v>
      </c>
      <c r="AI14" s="30">
        <f>D14/D71</f>
        <v>0.14151722147628459</v>
      </c>
      <c r="AJ14" s="30">
        <f>E14/E71</f>
        <v>0.14330163176724303</v>
      </c>
      <c r="AK14" s="30">
        <f>F14/F71</f>
        <v>0.14301924758427972</v>
      </c>
      <c r="AL14" s="30">
        <f>G14/G71</f>
        <v>9.7787411215191369E-2</v>
      </c>
      <c r="AM14" s="30">
        <f>N14/N71</f>
        <v>0.11696745564594251</v>
      </c>
      <c r="AN14" s="1" t="e">
        <f ca="1">AVERAGE(AI14:AN14)</f>
        <v>#DIV/0!</v>
      </c>
    </row>
    <row r="15" spans="1:40" x14ac:dyDescent="0.2">
      <c r="A15" s="80" t="s">
        <v>129</v>
      </c>
      <c r="B15" s="139">
        <v>7948496</v>
      </c>
      <c r="C15" s="139">
        <v>15155893</v>
      </c>
      <c r="D15" s="139">
        <v>19127243</v>
      </c>
      <c r="E15" s="139">
        <v>16435244</v>
      </c>
      <c r="F15" s="139">
        <v>11447867</v>
      </c>
      <c r="G15" s="139">
        <v>12430335</v>
      </c>
      <c r="H15" s="139">
        <v>23509169</v>
      </c>
      <c r="I15" s="137">
        <v>23089591</v>
      </c>
      <c r="J15" s="137">
        <v>28457599</v>
      </c>
      <c r="K15" s="137">
        <v>29993042</v>
      </c>
      <c r="L15" s="137">
        <v>26564510</v>
      </c>
      <c r="M15" s="137">
        <v>24309256</v>
      </c>
      <c r="N15" s="137">
        <v>29432544</v>
      </c>
      <c r="O15" s="67">
        <f t="shared" si="0"/>
        <v>8.4570040695646342E-3</v>
      </c>
      <c r="P15" s="3"/>
      <c r="Q15" s="37" t="str">
        <f>+A15</f>
        <v>Fuel Stock</v>
      </c>
      <c r="R15" s="67">
        <f t="shared" si="1"/>
        <v>1.5468962105976718E-2</v>
      </c>
      <c r="S15" s="67">
        <f t="shared" si="1"/>
        <v>3.0254365936345749E-2</v>
      </c>
      <c r="T15" s="216">
        <f t="shared" si="1"/>
        <v>3.7629462805312604E-2</v>
      </c>
      <c r="U15" s="216">
        <f t="shared" si="1"/>
        <v>3.2857301970431643E-2</v>
      </c>
      <c r="V15" s="216">
        <f t="shared" si="1"/>
        <v>2.3893458498663391E-2</v>
      </c>
      <c r="W15" s="216">
        <f t="shared" si="1"/>
        <v>2.6548983923867991E-2</v>
      </c>
      <c r="X15" s="216">
        <f t="shared" ref="X15" si="11">H15/H$36</f>
        <v>5.1087507862669281E-2</v>
      </c>
      <c r="Y15" s="216">
        <f t="shared" si="2"/>
        <v>5.0159729961472693E-2</v>
      </c>
      <c r="Z15" s="216">
        <f t="shared" si="3"/>
        <v>6.629780064698694E-2</v>
      </c>
      <c r="AA15" s="216">
        <f t="shared" si="4"/>
        <v>7.4967831464292492E-2</v>
      </c>
      <c r="AB15" s="216">
        <f t="shared" si="5"/>
        <v>6.908320167342287E-2</v>
      </c>
      <c r="AC15" s="216">
        <f t="shared" si="6"/>
        <v>7.0347472921340887E-2</v>
      </c>
      <c r="AD15" s="216">
        <f t="shared" ref="AD15" si="12">N15/N$36</f>
        <v>8.6443131030990855E-2</v>
      </c>
      <c r="AE15" s="67">
        <f t="shared" si="10"/>
        <v>7.3034154570216822E-2</v>
      </c>
      <c r="AG15" s="3"/>
      <c r="AH15" s="3">
        <f>(+AD15+X15)/2</f>
        <v>6.8765319446830064E-2</v>
      </c>
      <c r="AI15" s="30"/>
      <c r="AJ15" s="30"/>
      <c r="AK15" s="30"/>
      <c r="AL15" s="30"/>
      <c r="AM15" s="30"/>
      <c r="AN15" s="1"/>
    </row>
    <row r="16" spans="1:40" x14ac:dyDescent="0.2">
      <c r="A16" s="105" t="s">
        <v>83</v>
      </c>
      <c r="B16" s="153">
        <f>11430828+1800</f>
        <v>11432628</v>
      </c>
      <c r="C16" s="153">
        <f>13850241+1800</f>
        <v>13852041</v>
      </c>
      <c r="D16" s="137">
        <f>14574069+1800</f>
        <v>14575869</v>
      </c>
      <c r="E16" s="137">
        <f>15980560+1800</f>
        <v>15982360</v>
      </c>
      <c r="F16" s="137">
        <f>16467634+1800</f>
        <v>16469434</v>
      </c>
      <c r="G16" s="137">
        <f>18172459+1800</f>
        <v>18174259</v>
      </c>
      <c r="H16" s="137">
        <f>17597090+1800</f>
        <v>17598890</v>
      </c>
      <c r="I16" s="137">
        <v>17630718</v>
      </c>
      <c r="J16" s="137">
        <f>18707413+1800</f>
        <v>18709213</v>
      </c>
      <c r="K16" s="137">
        <f>18918202+1800</f>
        <v>18920002</v>
      </c>
      <c r="L16" s="137">
        <f>18747507+1800</f>
        <v>18749307</v>
      </c>
      <c r="M16" s="137">
        <f>19890962+1800</f>
        <v>19892762</v>
      </c>
      <c r="N16" s="137">
        <f>19844333+1800</f>
        <v>19846133</v>
      </c>
      <c r="O16" s="67">
        <f t="shared" si="0"/>
        <v>1.4857567625756185E-2</v>
      </c>
      <c r="P16" s="3"/>
      <c r="Q16" s="37" t="str">
        <f>A16</f>
        <v>Material and Supplies</v>
      </c>
      <c r="R16" s="67">
        <f t="shared" si="1"/>
        <v>2.2249604114253616E-2</v>
      </c>
      <c r="S16" s="67">
        <f t="shared" si="1"/>
        <v>2.7651601748525455E-2</v>
      </c>
      <c r="T16" s="216">
        <f t="shared" si="1"/>
        <v>2.8675440594894359E-2</v>
      </c>
      <c r="U16" s="216">
        <f t="shared" si="1"/>
        <v>3.1951897320182644E-2</v>
      </c>
      <c r="V16" s="216">
        <f t="shared" si="1"/>
        <v>3.4374240876092969E-2</v>
      </c>
      <c r="W16" s="216">
        <f t="shared" si="1"/>
        <v>3.8816983614618036E-2</v>
      </c>
      <c r="X16" s="216">
        <f t="shared" si="2"/>
        <v>3.8243947765625057E-2</v>
      </c>
      <c r="Y16" s="216">
        <f t="shared" si="2"/>
        <v>3.8300897313723568E-2</v>
      </c>
      <c r="Z16" s="216">
        <f t="shared" si="3"/>
        <v>4.3586940477164514E-2</v>
      </c>
      <c r="AA16" s="216">
        <f t="shared" si="4"/>
        <v>4.7290685661030209E-2</v>
      </c>
      <c r="AB16" s="216">
        <f t="shared" si="5"/>
        <v>4.87591209744851E-2</v>
      </c>
      <c r="AC16" s="216">
        <f t="shared" si="6"/>
        <v>5.7566777696762043E-2</v>
      </c>
      <c r="AD16" s="216">
        <f t="shared" si="7"/>
        <v>5.8287923577977893E-2</v>
      </c>
      <c r="AE16" s="67">
        <f t="shared" si="10"/>
        <v>5.0591009960055888E-2</v>
      </c>
      <c r="AG16" s="3"/>
      <c r="AH16" s="3">
        <f>AVERAGE(W16:AD16)</f>
        <v>4.6356659635173304E-2</v>
      </c>
    </row>
    <row r="17" spans="1:37" x14ac:dyDescent="0.2">
      <c r="A17" s="37" t="s">
        <v>29</v>
      </c>
      <c r="B17" s="148">
        <f>1640716+10853</f>
        <v>1651569</v>
      </c>
      <c r="C17" s="148">
        <f>1520861+1261140+92</f>
        <v>2782093</v>
      </c>
      <c r="D17" s="141">
        <f>3782573+1318408+991845</f>
        <v>6092826</v>
      </c>
      <c r="E17" s="141">
        <f>3728637+1503226+0+205029</f>
        <v>5436892</v>
      </c>
      <c r="F17" s="141">
        <f>2109079+1482902+209443+23150</f>
        <v>3824574</v>
      </c>
      <c r="G17" s="141">
        <f>1649605+1647814+177932</f>
        <v>3475351</v>
      </c>
      <c r="H17" s="141">
        <f>3248860+206070</f>
        <v>3454930</v>
      </c>
      <c r="I17" s="141">
        <v>1758984</v>
      </c>
      <c r="J17" s="141">
        <f>1524348+476111</f>
        <v>2000459</v>
      </c>
      <c r="K17" s="141">
        <f>1946099+405279</f>
        <v>2351378</v>
      </c>
      <c r="L17" s="141">
        <f>3445125+369888</f>
        <v>3815013</v>
      </c>
      <c r="M17" s="141">
        <f>6396937+332791</f>
        <v>6729728</v>
      </c>
      <c r="N17" s="141">
        <f>4590603+313504</f>
        <v>4904107</v>
      </c>
      <c r="O17" s="68">
        <f t="shared" si="0"/>
        <v>0.25128883830827597</v>
      </c>
      <c r="P17" s="3"/>
      <c r="Q17" s="37" t="str">
        <f>A17</f>
        <v>Other Current Assets</v>
      </c>
      <c r="R17" s="93">
        <f t="shared" si="1"/>
        <v>3.2142003061215434E-3</v>
      </c>
      <c r="S17" s="93">
        <f t="shared" si="1"/>
        <v>5.5536456803268507E-3</v>
      </c>
      <c r="T17" s="93">
        <f t="shared" si="1"/>
        <v>1.1986556000059264E-2</v>
      </c>
      <c r="U17" s="93">
        <f t="shared" si="1"/>
        <v>1.0869421970530162E-2</v>
      </c>
      <c r="V17" s="93">
        <f t="shared" si="1"/>
        <v>7.9824739529265176E-3</v>
      </c>
      <c r="W17" s="93">
        <f t="shared" si="1"/>
        <v>7.4227313929028094E-3</v>
      </c>
      <c r="X17" s="93">
        <f t="shared" si="2"/>
        <v>7.5078691016246465E-3</v>
      </c>
      <c r="Y17" s="93">
        <f t="shared" si="2"/>
        <v>3.8212094119186037E-3</v>
      </c>
      <c r="Z17" s="93">
        <f t="shared" si="3"/>
        <v>4.6604786294328921E-3</v>
      </c>
      <c r="AA17" s="93">
        <f t="shared" si="4"/>
        <v>5.8772867924782399E-3</v>
      </c>
      <c r="AB17" s="93">
        <f t="shared" si="5"/>
        <v>9.9212563102323362E-3</v>
      </c>
      <c r="AC17" s="93">
        <f t="shared" si="6"/>
        <v>1.9474860038825932E-2</v>
      </c>
      <c r="AD17" s="93">
        <f t="shared" si="7"/>
        <v>1.4403320487382928E-2</v>
      </c>
      <c r="AE17" s="68">
        <f>SUM(J17:N17)/SUM(J$36:N$36)</f>
        <v>1.0422009697274004E-2</v>
      </c>
      <c r="AG17" s="3"/>
      <c r="AH17" s="3">
        <f>AVERAGE(W17:AD17)</f>
        <v>9.1361265205997973E-3</v>
      </c>
    </row>
    <row r="18" spans="1:37" x14ac:dyDescent="0.2">
      <c r="A18" s="37" t="s">
        <v>45</v>
      </c>
      <c r="B18" s="139">
        <f t="shared" ref="B18:N18" si="13">SUM(B11:B17)</f>
        <v>68310976</v>
      </c>
      <c r="C18" s="139">
        <f t="shared" si="13"/>
        <v>72430045</v>
      </c>
      <c r="D18" s="137">
        <f t="shared" si="13"/>
        <v>94243944</v>
      </c>
      <c r="E18" s="137">
        <f t="shared" si="13"/>
        <v>115646010</v>
      </c>
      <c r="F18" s="137">
        <f t="shared" si="13"/>
        <v>110109579</v>
      </c>
      <c r="G18" s="137">
        <f t="shared" si="13"/>
        <v>125486816</v>
      </c>
      <c r="H18" s="137">
        <f t="shared" si="13"/>
        <v>133970949</v>
      </c>
      <c r="I18" s="139">
        <f t="shared" ref="I18:M18" si="14">SUM(I11:I17)</f>
        <v>145365581</v>
      </c>
      <c r="J18" s="139">
        <f t="shared" si="14"/>
        <v>136938108</v>
      </c>
      <c r="K18" s="139">
        <f t="shared" si="14"/>
        <v>137822804</v>
      </c>
      <c r="L18" s="139">
        <f t="shared" si="14"/>
        <v>132778501</v>
      </c>
      <c r="M18" s="139">
        <f t="shared" si="14"/>
        <v>108474643</v>
      </c>
      <c r="N18" s="139">
        <f t="shared" si="13"/>
        <v>122203526</v>
      </c>
      <c r="O18" s="67">
        <f t="shared" si="0"/>
        <v>-2.8059110038129619E-2</v>
      </c>
      <c r="P18" s="3"/>
      <c r="Q18" s="37" t="str">
        <f>A18</f>
        <v>Total Current Assets</v>
      </c>
      <c r="R18" s="67">
        <f t="shared" si="1"/>
        <v>0.13294337685598445</v>
      </c>
      <c r="S18" s="67">
        <f t="shared" si="1"/>
        <v>0.14458567939322281</v>
      </c>
      <c r="T18" s="67">
        <f t="shared" si="1"/>
        <v>0.18540826743163996</v>
      </c>
      <c r="U18" s="67">
        <f t="shared" si="1"/>
        <v>0.23119923697181236</v>
      </c>
      <c r="V18" s="67">
        <f t="shared" si="1"/>
        <v>0.22981562033711592</v>
      </c>
      <c r="W18" s="67">
        <f t="shared" si="1"/>
        <v>0.2680175120494645</v>
      </c>
      <c r="X18" s="67">
        <f t="shared" si="2"/>
        <v>0.29113074606791783</v>
      </c>
      <c r="Y18" s="67">
        <f t="shared" si="2"/>
        <v>0.31579157416225284</v>
      </c>
      <c r="Z18" s="67">
        <f t="shared" si="3"/>
        <v>0.3190253466274357</v>
      </c>
      <c r="AA18" s="67">
        <f t="shared" si="4"/>
        <v>0.34448912325092657</v>
      </c>
      <c r="AB18" s="67">
        <f t="shared" si="5"/>
        <v>0.34530145530551026</v>
      </c>
      <c r="AC18" s="67">
        <f t="shared" si="6"/>
        <v>0.31390993665518269</v>
      </c>
      <c r="AD18" s="67">
        <f t="shared" si="7"/>
        <v>0.35891071497139693</v>
      </c>
      <c r="AE18" s="67">
        <f>SUM(J18:N18)/SUM(J$36:N$36)</f>
        <v>0.33592321824092281</v>
      </c>
      <c r="AG18" s="3"/>
      <c r="AH18" s="3"/>
    </row>
    <row r="19" spans="1:37" x14ac:dyDescent="0.2">
      <c r="B19" s="139"/>
      <c r="C19" s="139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P19" s="3"/>
      <c r="Q19" s="3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G19" s="3"/>
      <c r="AH19" s="3"/>
    </row>
    <row r="20" spans="1:37" x14ac:dyDescent="0.2">
      <c r="A20" s="78" t="s">
        <v>31</v>
      </c>
      <c r="B20" s="139"/>
      <c r="C20" s="139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P20" s="3"/>
      <c r="Q20" s="78" t="s">
        <v>31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G20" s="3"/>
      <c r="AH20" s="3"/>
    </row>
    <row r="21" spans="1:37" x14ac:dyDescent="0.2">
      <c r="A21" s="37" t="s">
        <v>89</v>
      </c>
      <c r="B21" s="139">
        <v>429977701</v>
      </c>
      <c r="C21" s="139">
        <v>431504494</v>
      </c>
      <c r="D21" s="137">
        <v>435586229</v>
      </c>
      <c r="E21" s="137">
        <v>439349900</v>
      </c>
      <c r="F21" s="137">
        <v>444324567</v>
      </c>
      <c r="G21" s="137">
        <v>448926247</v>
      </c>
      <c r="H21" s="137">
        <v>447594308</v>
      </c>
      <c r="I21" s="137">
        <v>447808466</v>
      </c>
      <c r="J21" s="137">
        <v>458767555</v>
      </c>
      <c r="K21" s="137">
        <v>467454400</v>
      </c>
      <c r="L21" s="137">
        <v>476524789</v>
      </c>
      <c r="M21" s="137">
        <v>477403642</v>
      </c>
      <c r="N21" s="137">
        <v>481085837</v>
      </c>
      <c r="O21" s="67">
        <f t="shared" ref="O21:O22" si="15">RATE(4,,-J21,N21)</f>
        <v>1.1946304795188706E-2</v>
      </c>
      <c r="P21" s="3"/>
      <c r="Q21" s="37" t="str">
        <f>A21</f>
        <v>Plant in Service</v>
      </c>
      <c r="R21" s="67">
        <f t="shared" ref="R21:W24" si="16">B21/B$36</f>
        <v>0.83680091971915038</v>
      </c>
      <c r="S21" s="67">
        <f t="shared" si="16"/>
        <v>0.86137417733509392</v>
      </c>
      <c r="T21" s="67">
        <f t="shared" si="16"/>
        <v>0.85693875498219352</v>
      </c>
      <c r="U21" s="67">
        <f t="shared" si="16"/>
        <v>0.87834730868485711</v>
      </c>
      <c r="V21" s="67">
        <f t="shared" si="16"/>
        <v>0.92737368468301395</v>
      </c>
      <c r="W21" s="67">
        <f t="shared" si="16"/>
        <v>0.95882658951712807</v>
      </c>
      <c r="X21" s="67">
        <f t="shared" ref="X21:Y24" si="17">H21/H$36</f>
        <v>0.97266210172022738</v>
      </c>
      <c r="Y21" s="67">
        <f t="shared" si="17"/>
        <v>0.97281722006341842</v>
      </c>
      <c r="Z21" s="67">
        <f t="shared" ref="Z21:Z24" si="18">J21/J$36</f>
        <v>1.0687929050056406</v>
      </c>
      <c r="AA21" s="67">
        <f t="shared" ref="AA21:AA24" si="19">K21/K$36</f>
        <v>1.1684057481212464</v>
      </c>
      <c r="AB21" s="67">
        <f t="shared" ref="AB21:AB24" si="20">L21/L$36</f>
        <v>1.239242060210118</v>
      </c>
      <c r="AC21" s="67">
        <f t="shared" ref="AC21:AC24" si="21">M21/M$36</f>
        <v>1.3815371304718054</v>
      </c>
      <c r="AD21" s="67">
        <f t="shared" ref="AD21:AD24" si="22">N21/N$36</f>
        <v>1.4129450055334976</v>
      </c>
      <c r="AE21" s="67">
        <f t="shared" ref="AE21:AE28" si="23">SUM(J21:N21)/SUM(J$36:N$36)</f>
        <v>1.2428270442997624</v>
      </c>
      <c r="AG21" s="3"/>
      <c r="AH21" s="3">
        <f>(+X21+W21+V21)/3</f>
        <v>0.9529541253067898</v>
      </c>
    </row>
    <row r="22" spans="1:37" x14ac:dyDescent="0.2">
      <c r="A22" s="37" t="s">
        <v>119</v>
      </c>
      <c r="B22" s="139">
        <v>2483791</v>
      </c>
      <c r="C22" s="139">
        <v>4928721</v>
      </c>
      <c r="D22" s="137">
        <v>5158164</v>
      </c>
      <c r="E22" s="137">
        <v>6115516</v>
      </c>
      <c r="F22" s="137">
        <v>840453</v>
      </c>
      <c r="G22" s="137">
        <v>3780045</v>
      </c>
      <c r="H22" s="137">
        <v>9198964</v>
      </c>
      <c r="I22" s="137">
        <v>18205721</v>
      </c>
      <c r="J22" s="137">
        <v>8232931</v>
      </c>
      <c r="K22" s="137">
        <v>62429</v>
      </c>
      <c r="L22" s="137">
        <v>284356</v>
      </c>
      <c r="M22" s="137">
        <v>627986</v>
      </c>
      <c r="N22" s="137">
        <v>2401135</v>
      </c>
      <c r="O22" s="67">
        <f t="shared" si="15"/>
        <v>-0.26512152699191904</v>
      </c>
      <c r="P22" s="3"/>
      <c r="Q22" s="37" t="str">
        <f>A22</f>
        <v>Construction Work in Progress</v>
      </c>
      <c r="R22" s="67">
        <f t="shared" si="16"/>
        <v>4.8338287970662655E-3</v>
      </c>
      <c r="S22" s="67">
        <f t="shared" si="16"/>
        <v>9.8387689021129914E-3</v>
      </c>
      <c r="T22" s="67">
        <f t="shared" si="16"/>
        <v>1.0147774061410861E-2</v>
      </c>
      <c r="U22" s="67">
        <f t="shared" si="16"/>
        <v>1.2226125509119685E-2</v>
      </c>
      <c r="V22" s="67">
        <f t="shared" si="16"/>
        <v>1.7541546277203555E-3</v>
      </c>
      <c r="W22" s="67">
        <f t="shared" si="16"/>
        <v>8.0735035649881978E-3</v>
      </c>
      <c r="X22" s="67">
        <f t="shared" si="17"/>
        <v>1.9990164079317804E-2</v>
      </c>
      <c r="Y22" s="67">
        <f t="shared" si="17"/>
        <v>3.9550031402198184E-2</v>
      </c>
      <c r="Z22" s="67">
        <f t="shared" si="18"/>
        <v>1.9180297613245544E-2</v>
      </c>
      <c r="AA22" s="67">
        <f t="shared" si="19"/>
        <v>1.5604174963260864E-4</v>
      </c>
      <c r="AB22" s="67">
        <f t="shared" si="20"/>
        <v>7.3949125713396689E-4</v>
      </c>
      <c r="AC22" s="67">
        <f t="shared" si="21"/>
        <v>1.8173007075980101E-3</v>
      </c>
      <c r="AD22" s="67">
        <f t="shared" si="22"/>
        <v>7.0521130428989843E-3</v>
      </c>
      <c r="AE22" s="67">
        <f t="shared" si="23"/>
        <v>6.1102639523871651E-3</v>
      </c>
      <c r="AG22" s="3"/>
      <c r="AH22" s="3">
        <f>(+X22+W22+U22+T22)/4</f>
        <v>1.2609391803709137E-2</v>
      </c>
    </row>
    <row r="23" spans="1:37" x14ac:dyDescent="0.2">
      <c r="A23" s="37" t="s">
        <v>64</v>
      </c>
      <c r="B23" s="148"/>
      <c r="C23" s="148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68"/>
      <c r="P23" s="3"/>
      <c r="Q23" s="37" t="str">
        <f>A23</f>
        <v>Other PP&amp;E</v>
      </c>
      <c r="R23" s="94">
        <f t="shared" si="16"/>
        <v>0</v>
      </c>
      <c r="S23" s="94">
        <f t="shared" si="16"/>
        <v>0</v>
      </c>
      <c r="T23" s="94">
        <f t="shared" si="16"/>
        <v>0</v>
      </c>
      <c r="U23" s="67">
        <f t="shared" si="16"/>
        <v>0</v>
      </c>
      <c r="V23" s="67">
        <f t="shared" si="16"/>
        <v>0</v>
      </c>
      <c r="W23" s="67">
        <f t="shared" si="16"/>
        <v>0</v>
      </c>
      <c r="X23" s="67">
        <f t="shared" si="17"/>
        <v>0</v>
      </c>
      <c r="Y23" s="67">
        <f t="shared" si="17"/>
        <v>0</v>
      </c>
      <c r="Z23" s="67">
        <f t="shared" si="18"/>
        <v>0</v>
      </c>
      <c r="AA23" s="67">
        <f t="shared" si="19"/>
        <v>0</v>
      </c>
      <c r="AB23" s="67">
        <f t="shared" si="20"/>
        <v>0</v>
      </c>
      <c r="AC23" s="67">
        <f t="shared" si="21"/>
        <v>0</v>
      </c>
      <c r="AD23" s="67">
        <f t="shared" si="22"/>
        <v>0</v>
      </c>
      <c r="AE23" s="68">
        <f>SUM(J23:N23)/SUM(J$36:N$36)</f>
        <v>0</v>
      </c>
      <c r="AG23" s="3"/>
      <c r="AH23" s="3"/>
    </row>
    <row r="24" spans="1:37" ht="12.75" customHeight="1" x14ac:dyDescent="0.2">
      <c r="A24" s="37" t="s">
        <v>70</v>
      </c>
      <c r="B24" s="139">
        <f t="shared" ref="B24:N24" si="24">SUM(B21:B23)</f>
        <v>432461492</v>
      </c>
      <c r="C24" s="139">
        <f t="shared" si="24"/>
        <v>436433215</v>
      </c>
      <c r="D24" s="137">
        <f t="shared" si="24"/>
        <v>440744393</v>
      </c>
      <c r="E24" s="137">
        <f t="shared" si="24"/>
        <v>445465416</v>
      </c>
      <c r="F24" s="137">
        <f t="shared" si="24"/>
        <v>445165020</v>
      </c>
      <c r="G24" s="137">
        <f t="shared" si="24"/>
        <v>452706292</v>
      </c>
      <c r="H24" s="137">
        <f t="shared" si="24"/>
        <v>456793272</v>
      </c>
      <c r="I24" s="137">
        <f t="shared" ref="I24:M24" si="25">SUM(I21:I23)</f>
        <v>466014187</v>
      </c>
      <c r="J24" s="137">
        <f t="shared" si="25"/>
        <v>467000486</v>
      </c>
      <c r="K24" s="137">
        <f t="shared" si="25"/>
        <v>467516829</v>
      </c>
      <c r="L24" s="137">
        <f t="shared" si="25"/>
        <v>476809145</v>
      </c>
      <c r="M24" s="137">
        <f t="shared" si="25"/>
        <v>478031628</v>
      </c>
      <c r="N24" s="137">
        <f t="shared" si="24"/>
        <v>483486972</v>
      </c>
      <c r="O24" s="67">
        <f>RATE(4,,-J24,N24)</f>
        <v>8.7112416889553335E-3</v>
      </c>
      <c r="P24" s="3"/>
      <c r="Q24" s="37" t="str">
        <f>A24</f>
        <v>Total Plant &amp; Equipment:</v>
      </c>
      <c r="R24" s="95">
        <f t="shared" si="16"/>
        <v>0.84163474851621667</v>
      </c>
      <c r="S24" s="95">
        <f t="shared" si="16"/>
        <v>0.87121294623720691</v>
      </c>
      <c r="T24" s="95">
        <f t="shared" si="16"/>
        <v>0.86708652904360439</v>
      </c>
      <c r="U24" s="95">
        <f t="shared" si="16"/>
        <v>0.89057343419397672</v>
      </c>
      <c r="V24" s="95">
        <f t="shared" si="16"/>
        <v>0.92912783931073439</v>
      </c>
      <c r="W24" s="95">
        <f t="shared" si="16"/>
        <v>0.96690009308211633</v>
      </c>
      <c r="X24" s="95">
        <f t="shared" si="17"/>
        <v>0.99265226579954524</v>
      </c>
      <c r="Y24" s="95">
        <f t="shared" si="17"/>
        <v>1.0123672514656166</v>
      </c>
      <c r="Z24" s="95">
        <f t="shared" si="18"/>
        <v>1.0879732026188862</v>
      </c>
      <c r="AA24" s="95">
        <f t="shared" si="19"/>
        <v>1.1685617898708791</v>
      </c>
      <c r="AB24" s="95">
        <f t="shared" si="20"/>
        <v>1.2399815514672519</v>
      </c>
      <c r="AC24" s="95">
        <f t="shared" si="21"/>
        <v>1.3833544311794033</v>
      </c>
      <c r="AD24" s="95">
        <f t="shared" si="22"/>
        <v>1.4199971185763964</v>
      </c>
      <c r="AE24" s="67">
        <f t="shared" si="23"/>
        <v>1.2489373082521495</v>
      </c>
      <c r="AG24" s="3"/>
      <c r="AH24" s="3">
        <f>+AH22+AH21</f>
        <v>0.96556351711049893</v>
      </c>
    </row>
    <row r="25" spans="1:37" ht="7.5" customHeight="1" x14ac:dyDescent="0.2">
      <c r="B25" s="139"/>
      <c r="C25" s="139"/>
      <c r="D25" s="142"/>
      <c r="E25" s="142"/>
      <c r="F25" s="143"/>
      <c r="G25" s="142"/>
      <c r="H25" s="142"/>
      <c r="I25" s="142"/>
      <c r="J25" s="142"/>
      <c r="K25" s="142"/>
      <c r="L25" s="142"/>
      <c r="M25" s="142"/>
      <c r="N25" s="142"/>
      <c r="P25" s="3"/>
      <c r="Q25" s="81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G25" s="3"/>
      <c r="AH25" s="3"/>
    </row>
    <row r="26" spans="1:37" ht="12.75" customHeight="1" x14ac:dyDescent="0.2">
      <c r="A26" s="37" t="s">
        <v>65</v>
      </c>
      <c r="B26" s="139">
        <v>176964651</v>
      </c>
      <c r="C26" s="139">
        <v>190419233</v>
      </c>
      <c r="D26" s="137">
        <v>203862086</v>
      </c>
      <c r="E26" s="137">
        <v>217429215</v>
      </c>
      <c r="F26" s="137">
        <v>227820256</v>
      </c>
      <c r="G26" s="137">
        <v>241200044</v>
      </c>
      <c r="H26" s="137">
        <v>252050333</v>
      </c>
      <c r="I26" s="137">
        <v>264120602</v>
      </c>
      <c r="J26" s="137">
        <v>273065075</v>
      </c>
      <c r="K26" s="137">
        <v>286462236</v>
      </c>
      <c r="L26" s="137">
        <v>297197093</v>
      </c>
      <c r="M26" s="137">
        <v>309877812</v>
      </c>
      <c r="N26" s="137">
        <v>323559049</v>
      </c>
      <c r="O26" s="67">
        <f>RATE(4,,-J26,N26)</f>
        <v>4.3330367320920264E-2</v>
      </c>
      <c r="P26" s="3"/>
      <c r="Q26" s="37" t="str">
        <f>A26</f>
        <v>Accumulated Depreciation &amp; Amort.</v>
      </c>
      <c r="R26" s="67">
        <f t="shared" ref="R26:X26" si="26">B26/B$36</f>
        <v>0.34439968019313277</v>
      </c>
      <c r="S26" s="67">
        <f t="shared" si="26"/>
        <v>0.38011703807227226</v>
      </c>
      <c r="T26" s="67">
        <f t="shared" si="26"/>
        <v>0.40106254636648042</v>
      </c>
      <c r="U26" s="67">
        <f t="shared" si="26"/>
        <v>0.43468398610017017</v>
      </c>
      <c r="V26" s="67">
        <f t="shared" si="26"/>
        <v>0.47549590084256477</v>
      </c>
      <c r="W26" s="67">
        <f t="shared" si="26"/>
        <v>0.51516037907202439</v>
      </c>
      <c r="X26" s="67">
        <f t="shared" si="26"/>
        <v>0.54772771291600786</v>
      </c>
      <c r="Y26" s="67">
        <f t="shared" ref="Y26:AC26" si="27">I26/I$36</f>
        <v>0.57377448017947152</v>
      </c>
      <c r="Z26" s="67">
        <f t="shared" si="27"/>
        <v>0.63616097429739371</v>
      </c>
      <c r="AA26" s="67">
        <f t="shared" si="27"/>
        <v>0.7160144886048031</v>
      </c>
      <c r="AB26" s="67">
        <f t="shared" si="27"/>
        <v>0.77288557976315064</v>
      </c>
      <c r="AC26" s="67">
        <f t="shared" si="27"/>
        <v>0.89674159458415181</v>
      </c>
      <c r="AD26" s="67">
        <f t="shared" ref="AD26" si="28">N26/N$36</f>
        <v>0.95029017094036428</v>
      </c>
      <c r="AE26" s="67">
        <f t="shared" si="23"/>
        <v>0.78434029703174901</v>
      </c>
      <c r="AF26" s="67"/>
      <c r="AG26" s="3"/>
      <c r="AH26" s="3">
        <f>(+X26+W26+AD26)/3</f>
        <v>0.67105942097613225</v>
      </c>
      <c r="AI26" s="1">
        <f>D26/D21</f>
        <v>0.46801774810011271</v>
      </c>
      <c r="AJ26" s="1">
        <f>E26/E21</f>
        <v>0.49488850458370426</v>
      </c>
      <c r="AK26" s="1">
        <f>AVERAGE(AI26:AJ26)</f>
        <v>0.48145312634190851</v>
      </c>
    </row>
    <row r="27" spans="1:37" ht="7.5" customHeight="1" x14ac:dyDescent="0.2">
      <c r="B27" s="139"/>
      <c r="C27" s="139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P27" s="3"/>
      <c r="Q27" s="37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G27" s="3"/>
      <c r="AH27" s="3"/>
    </row>
    <row r="28" spans="1:37" x14ac:dyDescent="0.2">
      <c r="A28" s="37" t="s">
        <v>66</v>
      </c>
      <c r="B28" s="139">
        <f t="shared" ref="B28:C28" si="29">B24-B26</f>
        <v>255496841</v>
      </c>
      <c r="C28" s="139">
        <f t="shared" si="29"/>
        <v>246013982</v>
      </c>
      <c r="D28" s="137">
        <f>D24-D26</f>
        <v>236882307</v>
      </c>
      <c r="E28" s="137">
        <f>E24-E26</f>
        <v>228036201</v>
      </c>
      <c r="F28" s="137">
        <v>217344764</v>
      </c>
      <c r="G28" s="137">
        <f>G24-G26</f>
        <v>211506248</v>
      </c>
      <c r="H28" s="137">
        <f>H24-H26</f>
        <v>204742939</v>
      </c>
      <c r="I28" s="137">
        <f>I24-I26</f>
        <v>201893585</v>
      </c>
      <c r="J28" s="137">
        <f t="shared" ref="J28:M28" si="30">J24-J26</f>
        <v>193935411</v>
      </c>
      <c r="K28" s="137">
        <f t="shared" si="30"/>
        <v>181054593</v>
      </c>
      <c r="L28" s="137">
        <f t="shared" si="30"/>
        <v>179612052</v>
      </c>
      <c r="M28" s="137">
        <f t="shared" si="30"/>
        <v>168153816</v>
      </c>
      <c r="N28" s="137">
        <f>N24-N26</f>
        <v>159927923</v>
      </c>
      <c r="O28" s="67">
        <f>RATE(4,,-J28,N28)</f>
        <v>-4.7057282355690455E-2</v>
      </c>
      <c r="P28" s="3"/>
      <c r="Q28" s="37" t="str">
        <f>A28</f>
        <v>Net Plant &amp; Equipment</v>
      </c>
      <c r="R28" s="67">
        <f t="shared" ref="R28:X28" si="31">B28/B$36</f>
        <v>0.4972350683230839</v>
      </c>
      <c r="S28" s="67">
        <f t="shared" si="31"/>
        <v>0.4910959081649347</v>
      </c>
      <c r="T28" s="67">
        <f t="shared" si="31"/>
        <v>0.46602398267712397</v>
      </c>
      <c r="U28" s="67">
        <f t="shared" si="31"/>
        <v>0.4558894480938066</v>
      </c>
      <c r="V28" s="67">
        <f t="shared" si="31"/>
        <v>0.45363193846816957</v>
      </c>
      <c r="W28" s="67">
        <f t="shared" si="31"/>
        <v>0.45173971401009194</v>
      </c>
      <c r="X28" s="67">
        <f t="shared" si="31"/>
        <v>0.44492455288353738</v>
      </c>
      <c r="Y28" s="67">
        <f t="shared" ref="Y28:AC28" si="32">I28/I$36</f>
        <v>0.43859277128614504</v>
      </c>
      <c r="Z28" s="67">
        <f t="shared" si="32"/>
        <v>0.45181222832149254</v>
      </c>
      <c r="AA28" s="67">
        <f t="shared" si="32"/>
        <v>0.45254730126607601</v>
      </c>
      <c r="AB28" s="67">
        <f t="shared" si="32"/>
        <v>0.46709597170410128</v>
      </c>
      <c r="AC28" s="67">
        <f t="shared" si="32"/>
        <v>0.48661283659525151</v>
      </c>
      <c r="AD28" s="67">
        <f t="shared" ref="AD28" si="33">N28/N$36</f>
        <v>0.46970694763603232</v>
      </c>
      <c r="AE28" s="67">
        <f t="shared" si="23"/>
        <v>0.46459701122040065</v>
      </c>
      <c r="AG28" s="3"/>
      <c r="AH28" s="3">
        <f>+AH24-AH26</f>
        <v>0.29450409613436668</v>
      </c>
    </row>
    <row r="29" spans="1:37" ht="15" customHeight="1" x14ac:dyDescent="0.2">
      <c r="B29" s="139"/>
      <c r="C29" s="139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P29" s="3"/>
      <c r="Q29" s="3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G29" s="3"/>
      <c r="AH29" s="3"/>
    </row>
    <row r="30" spans="1:37" x14ac:dyDescent="0.2">
      <c r="A30" s="78" t="s">
        <v>79</v>
      </c>
      <c r="B30" s="139"/>
      <c r="C30" s="139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P30" s="3"/>
      <c r="Q30" s="78" t="str">
        <f>A30</f>
        <v>Other Assets: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G30" s="3"/>
      <c r="AH30" s="3"/>
    </row>
    <row r="31" spans="1:37" x14ac:dyDescent="0.2">
      <c r="A31" s="37" t="s">
        <v>116</v>
      </c>
      <c r="B31" s="139">
        <v>44575649</v>
      </c>
      <c r="C31" s="139">
        <v>48184539</v>
      </c>
      <c r="D31" s="137">
        <v>46316459</v>
      </c>
      <c r="E31" s="137">
        <v>42147406</v>
      </c>
      <c r="F31" s="137">
        <v>47790592</v>
      </c>
      <c r="G31" s="137">
        <v>45278097</v>
      </c>
      <c r="H31" s="137">
        <v>43548660</v>
      </c>
      <c r="I31" s="137">
        <v>42230534</v>
      </c>
      <c r="J31" s="137">
        <v>39692261</v>
      </c>
      <c r="K31" s="137">
        <v>34322347</v>
      </c>
      <c r="L31" s="137">
        <v>32127294</v>
      </c>
      <c r="M31" s="137">
        <v>31612474</v>
      </c>
      <c r="N31" s="137">
        <v>28192058</v>
      </c>
      <c r="O31" s="67">
        <f>RATE(4,,-J31,N31)</f>
        <v>-8.1973462793826266E-2</v>
      </c>
      <c r="P31" s="3"/>
      <c r="Q31" s="37" t="str">
        <f>A31</f>
        <v>Accumulated Deferred Income Taxes</v>
      </c>
      <c r="R31" s="67">
        <f t="shared" ref="R31:W36" si="34">B31/B$36</f>
        <v>8.6750880321298393E-2</v>
      </c>
      <c r="S31" s="67">
        <f t="shared" si="34"/>
        <v>9.6186524633033718E-2</v>
      </c>
      <c r="T31" s="67">
        <f t="shared" si="34"/>
        <v>9.1119429559936377E-2</v>
      </c>
      <c r="U31" s="67">
        <f t="shared" si="34"/>
        <v>8.4260997050751574E-2</v>
      </c>
      <c r="V31" s="67">
        <f t="shared" si="34"/>
        <v>9.9746313141003004E-2</v>
      </c>
      <c r="W31" s="67">
        <f t="shared" si="34"/>
        <v>9.6705959200322072E-2</v>
      </c>
      <c r="X31" s="67">
        <f t="shared" ref="X31:Y36" si="35">H31/H$36</f>
        <v>9.4635097912593641E-2</v>
      </c>
      <c r="Y31" s="67">
        <f t="shared" si="35"/>
        <v>9.1741433686235122E-2</v>
      </c>
      <c r="Z31" s="67">
        <f t="shared" ref="Z31:Z36" si="36">J31/J$36</f>
        <v>9.2471244921476833E-2</v>
      </c>
      <c r="AA31" s="67">
        <f t="shared" ref="AA31:AA36" si="37">K31/K$36</f>
        <v>8.5788961498302341E-2</v>
      </c>
      <c r="AB31" s="67">
        <f t="shared" ref="AB31:AB36" si="38">L31/L$36</f>
        <v>8.3549680781740326E-2</v>
      </c>
      <c r="AC31" s="67">
        <f t="shared" ref="AC31:AC36" si="39">M31/M$36</f>
        <v>9.1481930121250637E-2</v>
      </c>
      <c r="AD31" s="67">
        <f t="shared" ref="AD31:AD36" si="40">N31/N$36</f>
        <v>8.2799834215054394E-2</v>
      </c>
      <c r="AE31" s="67">
        <f t="shared" ref="AE31:AE32" si="41">SUM(J31:N31)/SUM(J$36:N$36)</f>
        <v>8.7345227923985483E-2</v>
      </c>
      <c r="AG31" s="3"/>
      <c r="AH31" s="3">
        <f>+AD31</f>
        <v>8.2799834215054394E-2</v>
      </c>
    </row>
    <row r="32" spans="1:37" x14ac:dyDescent="0.2">
      <c r="A32" s="37" t="s">
        <v>115</v>
      </c>
      <c r="B32" s="139">
        <v>-23466231</v>
      </c>
      <c r="C32" s="139">
        <v>-28530124</v>
      </c>
      <c r="D32" s="137">
        <v>-32444910</v>
      </c>
      <c r="E32" s="137">
        <f>-35306573</f>
        <v>-35306573</v>
      </c>
      <c r="F32" s="137">
        <v>-33260114</v>
      </c>
      <c r="G32" s="137">
        <f>-40006468</f>
        <v>-40006468</v>
      </c>
      <c r="H32" s="137">
        <f>-53346858+14471919+4186260</f>
        <v>-34688679</v>
      </c>
      <c r="I32" s="137">
        <f>14818066-46310034+3788010</f>
        <v>-27703958</v>
      </c>
      <c r="J32" s="137">
        <f>15008969-40677799+3898692</f>
        <v>-21770138</v>
      </c>
      <c r="K32" s="137">
        <f>15270077-33893203+3832528</f>
        <v>-14790598</v>
      </c>
      <c r="L32" s="137">
        <f>15515131-28885411+10249968</f>
        <v>-3120312</v>
      </c>
      <c r="M32" s="137">
        <f>14183589-11319300+10498003</f>
        <v>13362292</v>
      </c>
      <c r="N32" s="137">
        <f>14330259-16268607+7106635</f>
        <v>5168287</v>
      </c>
      <c r="P32" s="3"/>
      <c r="Q32" s="37" t="str">
        <f>A32</f>
        <v>Investments and Other Property</v>
      </c>
      <c r="R32" s="151">
        <f t="shared" si="34"/>
        <v>-4.5668795468865576E-2</v>
      </c>
      <c r="S32" s="67">
        <f t="shared" si="34"/>
        <v>-5.6952157929943181E-2</v>
      </c>
      <c r="T32" s="67">
        <f t="shared" si="34"/>
        <v>-6.3829613816623484E-2</v>
      </c>
      <c r="U32" s="67">
        <f t="shared" si="34"/>
        <v>-7.0584819464930892E-2</v>
      </c>
      <c r="V32" s="67">
        <f t="shared" si="34"/>
        <v>-6.9418971544639121E-2</v>
      </c>
      <c r="W32" s="67">
        <f t="shared" si="34"/>
        <v>-8.5446697597670471E-2</v>
      </c>
      <c r="X32" s="67">
        <f t="shared" si="35"/>
        <v>-7.5381573936454782E-2</v>
      </c>
      <c r="Y32" s="67">
        <f t="shared" si="35"/>
        <v>-6.0183961341886957E-2</v>
      </c>
      <c r="Z32" s="67">
        <f t="shared" si="36"/>
        <v>-5.0717991675312976E-2</v>
      </c>
      <c r="AA32" s="67">
        <f t="shared" si="37"/>
        <v>-3.6969209662697823E-2</v>
      </c>
      <c r="AB32" s="67">
        <f t="shared" si="38"/>
        <v>-8.1146289986151251E-3</v>
      </c>
      <c r="AC32" s="67">
        <f t="shared" si="39"/>
        <v>3.8668541506866765E-2</v>
      </c>
      <c r="AD32" s="67">
        <f t="shared" si="40"/>
        <v>1.5179214897182066E-2</v>
      </c>
      <c r="AE32" s="67">
        <f t="shared" si="41"/>
        <v>-1.1132462994077892E-2</v>
      </c>
      <c r="AG32" s="3"/>
      <c r="AH32" s="3">
        <f>+AE32</f>
        <v>-1.1132462994077892E-2</v>
      </c>
    </row>
    <row r="33" spans="1:41" x14ac:dyDescent="0.2">
      <c r="A33" s="37" t="s">
        <v>117</v>
      </c>
      <c r="B33" s="139">
        <f>168909842+5954+2089</f>
        <v>168917885</v>
      </c>
      <c r="C33" s="139">
        <f>162873100+153-22740</f>
        <v>162850513</v>
      </c>
      <c r="D33" s="141">
        <f>549+163306622</f>
        <v>163307171</v>
      </c>
      <c r="E33" s="141">
        <f>149677369+243</f>
        <v>149677612</v>
      </c>
      <c r="F33" s="141">
        <f>137135910+657</f>
        <v>137136567</v>
      </c>
      <c r="G33" s="141">
        <f>125888993+50108</f>
        <v>125939101</v>
      </c>
      <c r="H33" s="141">
        <f>112600743-100</f>
        <v>112600643</v>
      </c>
      <c r="I33" s="141">
        <f>98535636-100</f>
        <v>98535536</v>
      </c>
      <c r="J33" s="141">
        <f>1134+80442184</f>
        <v>80443318</v>
      </c>
      <c r="K33" s="141">
        <f>845+61668835</f>
        <v>61669680</v>
      </c>
      <c r="L33" s="141">
        <f>1011+43130679</f>
        <v>43131690</v>
      </c>
      <c r="M33" s="141">
        <v>23956537</v>
      </c>
      <c r="N33" s="141">
        <v>24992680</v>
      </c>
      <c r="O33" s="68">
        <f t="shared" ref="O33:O36" si="42">RATE(4,,-J33,N33)</f>
        <v>-0.25341250174751212</v>
      </c>
      <c r="P33" s="3"/>
      <c r="Q33" s="37" t="str">
        <f>A33</f>
        <v>Other Deferred Debits and Other Assets</v>
      </c>
      <c r="R33" s="67">
        <f t="shared" si="34"/>
        <v>0.32873946996849884</v>
      </c>
      <c r="S33" s="67">
        <f t="shared" si="34"/>
        <v>0.32508404573875199</v>
      </c>
      <c r="T33" s="67">
        <f t="shared" si="34"/>
        <v>0.32127793414792316</v>
      </c>
      <c r="U33" s="67">
        <f t="shared" si="34"/>
        <v>0.29923513734856039</v>
      </c>
      <c r="V33" s="67">
        <f t="shared" si="34"/>
        <v>0.28622509959835063</v>
      </c>
      <c r="W33" s="67">
        <f t="shared" si="34"/>
        <v>0.26898351233779194</v>
      </c>
      <c r="X33" s="67">
        <f t="shared" si="35"/>
        <v>0.24469117707240595</v>
      </c>
      <c r="Y33" s="67">
        <f t="shared" si="35"/>
        <v>0.21405818220725395</v>
      </c>
      <c r="Z33" s="67">
        <f t="shared" si="36"/>
        <v>0.18740917180490793</v>
      </c>
      <c r="AA33" s="67">
        <f t="shared" si="37"/>
        <v>0.15414382364739293</v>
      </c>
      <c r="AB33" s="67">
        <f t="shared" si="38"/>
        <v>0.11216752120726324</v>
      </c>
      <c r="AC33" s="67">
        <f t="shared" si="39"/>
        <v>6.9326755121448425E-2</v>
      </c>
      <c r="AD33" s="67">
        <f t="shared" si="40"/>
        <v>7.3403288280334336E-2</v>
      </c>
      <c r="AE33" s="68">
        <f>SUM(J33:N33)/SUM(J$36:N$36)</f>
        <v>0.12326700560876894</v>
      </c>
      <c r="AG33" s="3"/>
      <c r="AH33" s="3">
        <f>AVERAGE(W33:AD33)</f>
        <v>0.16552292895984985</v>
      </c>
      <c r="AI33" s="1"/>
      <c r="AJ33" s="1"/>
      <c r="AK33" s="1"/>
      <c r="AL33" s="1"/>
      <c r="AM33" s="1"/>
      <c r="AN33" s="1"/>
      <c r="AO33" s="1"/>
    </row>
    <row r="34" spans="1:41" x14ac:dyDescent="0.2">
      <c r="A34" s="37" t="s">
        <v>80</v>
      </c>
      <c r="B34" s="149">
        <f t="shared" ref="B34:C34" si="43">SUM(B31:B33)</f>
        <v>190027303</v>
      </c>
      <c r="C34" s="149">
        <f t="shared" si="43"/>
        <v>182504928</v>
      </c>
      <c r="D34" s="145">
        <f t="shared" ref="D34:N34" si="44">SUM(D31:D33)</f>
        <v>177178720</v>
      </c>
      <c r="E34" s="145">
        <f t="shared" si="44"/>
        <v>156518445</v>
      </c>
      <c r="F34" s="145">
        <f t="shared" si="44"/>
        <v>151667045</v>
      </c>
      <c r="G34" s="145">
        <f t="shared" si="44"/>
        <v>131210730</v>
      </c>
      <c r="H34" s="145">
        <f t="shared" si="44"/>
        <v>121460624</v>
      </c>
      <c r="I34" s="145">
        <f t="shared" ref="I34:M34" si="45">SUM(I31:I33)</f>
        <v>113062112</v>
      </c>
      <c r="J34" s="145">
        <f t="shared" si="45"/>
        <v>98365441</v>
      </c>
      <c r="K34" s="145">
        <f t="shared" si="45"/>
        <v>81201429</v>
      </c>
      <c r="L34" s="145">
        <f t="shared" si="45"/>
        <v>72138672</v>
      </c>
      <c r="M34" s="145">
        <f t="shared" si="45"/>
        <v>68931303</v>
      </c>
      <c r="N34" s="145">
        <f t="shared" si="44"/>
        <v>58353025</v>
      </c>
      <c r="O34" s="106">
        <f t="shared" si="42"/>
        <v>-0.12238263502382389</v>
      </c>
      <c r="P34" s="3"/>
      <c r="Q34" s="37" t="s">
        <v>80</v>
      </c>
      <c r="R34" s="95">
        <f t="shared" si="34"/>
        <v>0.36982155482093165</v>
      </c>
      <c r="S34" s="95">
        <f t="shared" si="34"/>
        <v>0.36431841244184249</v>
      </c>
      <c r="T34" s="95">
        <f t="shared" si="34"/>
        <v>0.34856774989123607</v>
      </c>
      <c r="U34" s="95">
        <f t="shared" si="34"/>
        <v>0.31291131493438107</v>
      </c>
      <c r="V34" s="95">
        <f t="shared" si="34"/>
        <v>0.31655244119471454</v>
      </c>
      <c r="W34" s="95">
        <f t="shared" si="34"/>
        <v>0.28024277394044356</v>
      </c>
      <c r="X34" s="95">
        <f t="shared" si="35"/>
        <v>0.26394470104854484</v>
      </c>
      <c r="Y34" s="95">
        <f t="shared" si="35"/>
        <v>0.24561565455160211</v>
      </c>
      <c r="Z34" s="95">
        <f t="shared" si="36"/>
        <v>0.22916242505107179</v>
      </c>
      <c r="AA34" s="95">
        <f t="shared" si="37"/>
        <v>0.20296357548299745</v>
      </c>
      <c r="AB34" s="95">
        <f t="shared" si="38"/>
        <v>0.18760257299038843</v>
      </c>
      <c r="AC34" s="95">
        <f t="shared" si="39"/>
        <v>0.19947722674956583</v>
      </c>
      <c r="AD34" s="95">
        <f t="shared" si="40"/>
        <v>0.1713823373925708</v>
      </c>
      <c r="AE34" s="68">
        <f>SUM(J34:N34)/SUM(J$36:N$36)</f>
        <v>0.19947977053867652</v>
      </c>
      <c r="AG34" s="3"/>
      <c r="AH34" s="3">
        <f>+AH33+AH32+AH31</f>
        <v>0.23719030018082637</v>
      </c>
      <c r="AI34" s="1"/>
    </row>
    <row r="35" spans="1:41" x14ac:dyDescent="0.2">
      <c r="A35" s="37" t="s">
        <v>49</v>
      </c>
      <c r="B35" s="139">
        <f t="shared" ref="B35:C35" si="46">B28+B34</f>
        <v>445524144</v>
      </c>
      <c r="C35" s="139">
        <f t="shared" si="46"/>
        <v>428518910</v>
      </c>
      <c r="D35" s="137">
        <f t="shared" ref="D35:N35" si="47">D28+D34</f>
        <v>414061027</v>
      </c>
      <c r="E35" s="137">
        <f t="shared" si="47"/>
        <v>384554646</v>
      </c>
      <c r="F35" s="137">
        <f t="shared" si="47"/>
        <v>369011809</v>
      </c>
      <c r="G35" s="137">
        <f t="shared" si="47"/>
        <v>342716978</v>
      </c>
      <c r="H35" s="137">
        <f t="shared" si="47"/>
        <v>326203563</v>
      </c>
      <c r="I35" s="137">
        <f t="shared" ref="I35:M35" si="48">I28+I34</f>
        <v>314955697</v>
      </c>
      <c r="J35" s="137">
        <f t="shared" si="48"/>
        <v>292300852</v>
      </c>
      <c r="K35" s="137">
        <f t="shared" si="48"/>
        <v>262256022</v>
      </c>
      <c r="L35" s="137">
        <f t="shared" si="48"/>
        <v>251750724</v>
      </c>
      <c r="M35" s="137">
        <f t="shared" si="48"/>
        <v>237085119</v>
      </c>
      <c r="N35" s="137">
        <f t="shared" si="47"/>
        <v>218280948</v>
      </c>
      <c r="O35" s="106">
        <f t="shared" si="42"/>
        <v>-7.0399309779717215E-2</v>
      </c>
      <c r="P35" s="3"/>
      <c r="Q35" s="37" t="s">
        <v>49</v>
      </c>
      <c r="R35" s="95">
        <f t="shared" si="34"/>
        <v>0.86705662314401555</v>
      </c>
      <c r="S35" s="95">
        <f t="shared" si="34"/>
        <v>0.85541432060677725</v>
      </c>
      <c r="T35" s="95">
        <f t="shared" si="34"/>
        <v>0.81459173256836004</v>
      </c>
      <c r="U35" s="95">
        <f t="shared" si="34"/>
        <v>0.76880076302818767</v>
      </c>
      <c r="V35" s="95">
        <f t="shared" si="34"/>
        <v>0.77018437966288411</v>
      </c>
      <c r="W35" s="95">
        <f t="shared" si="34"/>
        <v>0.73198248795053544</v>
      </c>
      <c r="X35" s="95">
        <f t="shared" si="35"/>
        <v>0.70886925393208222</v>
      </c>
      <c r="Y35" s="95">
        <f t="shared" si="35"/>
        <v>0.68420842583774721</v>
      </c>
      <c r="Z35" s="95">
        <f t="shared" si="36"/>
        <v>0.68097465337256435</v>
      </c>
      <c r="AA35" s="95">
        <f t="shared" si="37"/>
        <v>0.65551087674907349</v>
      </c>
      <c r="AB35" s="95">
        <f t="shared" si="38"/>
        <v>0.65469854469448974</v>
      </c>
      <c r="AC35" s="95">
        <f t="shared" si="39"/>
        <v>0.68609006334481737</v>
      </c>
      <c r="AD35" s="95">
        <f t="shared" si="40"/>
        <v>0.64108928502860307</v>
      </c>
      <c r="AE35" s="68">
        <f>SUM(J35:N35)/SUM(J$36:N$36)</f>
        <v>0.66407678175907714</v>
      </c>
      <c r="AG35" s="3"/>
      <c r="AH35" s="3">
        <f>1-AH34</f>
        <v>0.76280969981917357</v>
      </c>
    </row>
    <row r="36" spans="1:41" ht="13.5" thickBot="1" x14ac:dyDescent="0.25">
      <c r="A36" s="37" t="s">
        <v>44</v>
      </c>
      <c r="B36" s="154">
        <f t="shared" ref="B36:C36" si="49">B18+B28+B34</f>
        <v>513835120</v>
      </c>
      <c r="C36" s="154">
        <f t="shared" si="49"/>
        <v>500948955</v>
      </c>
      <c r="D36" s="146">
        <f t="shared" ref="D36:N36" si="50">D18+D28+D34</f>
        <v>508304971</v>
      </c>
      <c r="E36" s="146">
        <f t="shared" si="50"/>
        <v>500200656</v>
      </c>
      <c r="F36" s="146">
        <f t="shared" si="50"/>
        <v>479121388</v>
      </c>
      <c r="G36" s="146">
        <f t="shared" si="50"/>
        <v>468203794</v>
      </c>
      <c r="H36" s="146">
        <f t="shared" si="50"/>
        <v>460174512</v>
      </c>
      <c r="I36" s="146">
        <f t="shared" ref="I36:M36" si="51">I18+I28+I34</f>
        <v>460321278</v>
      </c>
      <c r="J36" s="146">
        <f t="shared" si="51"/>
        <v>429238960</v>
      </c>
      <c r="K36" s="146">
        <f t="shared" si="51"/>
        <v>400078826</v>
      </c>
      <c r="L36" s="146">
        <f t="shared" si="51"/>
        <v>384529225</v>
      </c>
      <c r="M36" s="146">
        <f t="shared" si="51"/>
        <v>345559762</v>
      </c>
      <c r="N36" s="146">
        <f t="shared" si="50"/>
        <v>340484474</v>
      </c>
      <c r="O36" s="96">
        <f t="shared" si="42"/>
        <v>-5.6266123735215681E-2</v>
      </c>
      <c r="P36" s="3"/>
      <c r="Q36" s="37" t="s">
        <v>44</v>
      </c>
      <c r="R36" s="96">
        <f t="shared" si="34"/>
        <v>1</v>
      </c>
      <c r="S36" s="96">
        <f t="shared" si="34"/>
        <v>1</v>
      </c>
      <c r="T36" s="96">
        <f t="shared" si="34"/>
        <v>1</v>
      </c>
      <c r="U36" s="96">
        <f t="shared" si="34"/>
        <v>1</v>
      </c>
      <c r="V36" s="96">
        <f t="shared" si="34"/>
        <v>1</v>
      </c>
      <c r="W36" s="96">
        <f t="shared" si="34"/>
        <v>1</v>
      </c>
      <c r="X36" s="96">
        <f t="shared" si="35"/>
        <v>1</v>
      </c>
      <c r="Y36" s="96">
        <f t="shared" si="35"/>
        <v>1</v>
      </c>
      <c r="Z36" s="96">
        <f t="shared" si="36"/>
        <v>1</v>
      </c>
      <c r="AA36" s="96">
        <f t="shared" si="37"/>
        <v>1</v>
      </c>
      <c r="AB36" s="96">
        <f t="shared" si="38"/>
        <v>1</v>
      </c>
      <c r="AC36" s="96">
        <f t="shared" si="39"/>
        <v>1</v>
      </c>
      <c r="AD36" s="96">
        <f t="shared" si="40"/>
        <v>1</v>
      </c>
      <c r="AE36" s="96">
        <f>SUM(J36:N36)/SUM(J$36:N$36)</f>
        <v>1</v>
      </c>
      <c r="AG36" s="3"/>
      <c r="AH36" s="3">
        <f>+AH35+AH34</f>
        <v>1</v>
      </c>
    </row>
    <row r="37" spans="1:41" ht="13.5" thickTop="1" x14ac:dyDescent="0.2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66"/>
      <c r="P37" s="3"/>
      <c r="Q37" s="37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G37" s="3"/>
      <c r="AH37" s="3"/>
    </row>
    <row r="38" spans="1:41" x14ac:dyDescent="0.2">
      <c r="A38" s="78" t="s">
        <v>8</v>
      </c>
      <c r="B38" s="139"/>
      <c r="C38" s="139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P38" s="3"/>
      <c r="Q38" s="131" t="s">
        <v>8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G38" s="3"/>
      <c r="AH38" s="3"/>
      <c r="AO38" s="12"/>
    </row>
    <row r="39" spans="1:41" x14ac:dyDescent="0.2">
      <c r="A39" s="80" t="s">
        <v>107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P39" s="3"/>
      <c r="Q39" s="37" t="str">
        <f>A39</f>
        <v>Current Portion of LTD</v>
      </c>
      <c r="R39" s="67">
        <f t="shared" ref="R39:S43" si="52">B39/B$36</f>
        <v>0</v>
      </c>
      <c r="S39" s="67">
        <f t="shared" si="52"/>
        <v>0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G39" s="3"/>
      <c r="AH39" s="3"/>
      <c r="AM39" s="12" t="s">
        <v>82</v>
      </c>
    </row>
    <row r="40" spans="1:41" x14ac:dyDescent="0.2">
      <c r="A40" s="37" t="s">
        <v>84</v>
      </c>
      <c r="B40" s="139">
        <v>13118703</v>
      </c>
      <c r="C40" s="139">
        <v>8926216</v>
      </c>
      <c r="D40" s="139">
        <v>16166126</v>
      </c>
      <c r="E40" s="139">
        <v>10820869</v>
      </c>
      <c r="F40" s="139">
        <v>11242580</v>
      </c>
      <c r="G40" s="139">
        <v>14845777</v>
      </c>
      <c r="H40" s="139">
        <v>19627144</v>
      </c>
      <c r="I40" s="139">
        <v>30476097</v>
      </c>
      <c r="J40" s="139">
        <v>16950987</v>
      </c>
      <c r="K40" s="139">
        <v>10870074</v>
      </c>
      <c r="L40" s="139">
        <v>13755334</v>
      </c>
      <c r="M40" s="139">
        <v>13744915</v>
      </c>
      <c r="N40" s="139">
        <f>11685935+22277</f>
        <v>11708212</v>
      </c>
      <c r="O40" s="67">
        <f t="shared" ref="O40:O43" si="53">RATE(4,,-J40,N40)</f>
        <v>-8.8358899549767556E-2</v>
      </c>
      <c r="P40" s="3"/>
      <c r="Q40" s="37" t="str">
        <f>A40</f>
        <v>Acounts Payable</v>
      </c>
      <c r="R40" s="67">
        <f t="shared" si="52"/>
        <v>2.5530958257582705E-2</v>
      </c>
      <c r="S40" s="67">
        <f t="shared" si="52"/>
        <v>1.781861387454137E-2</v>
      </c>
      <c r="T40" s="67">
        <f t="shared" ref="T40:W43" si="54">D40/D$36</f>
        <v>3.1803989577745051E-2</v>
      </c>
      <c r="U40" s="216">
        <f t="shared" si="54"/>
        <v>2.163305639487206E-2</v>
      </c>
      <c r="V40" s="216">
        <f t="shared" si="54"/>
        <v>2.3464992967502422E-2</v>
      </c>
      <c r="W40" s="216">
        <f t="shared" si="54"/>
        <v>3.1707938274417313E-2</v>
      </c>
      <c r="X40" s="216">
        <f t="shared" ref="X40:Y43" si="55">H40/H$36</f>
        <v>4.2651523472469068E-2</v>
      </c>
      <c r="Y40" s="216">
        <f t="shared" si="55"/>
        <v>6.6206144396392649E-2</v>
      </c>
      <c r="Z40" s="216">
        <f t="shared" ref="Z40:Z43" si="56">J40/J$36</f>
        <v>3.9490793193609451E-2</v>
      </c>
      <c r="AA40" s="216">
        <f t="shared" ref="AA40:AA43" si="57">K40/K$36</f>
        <v>2.7169830777297871E-2</v>
      </c>
      <c r="AB40" s="216">
        <f t="shared" ref="AB40:AB43" si="58">L40/L$36</f>
        <v>3.5771881838109962E-2</v>
      </c>
      <c r="AC40" s="216">
        <f t="shared" ref="AC40:AC43" si="59">M40/M$36</f>
        <v>3.9775797160087174E-2</v>
      </c>
      <c r="AD40" s="216">
        <f t="shared" ref="AD40:AD43" si="60">N40/N$36</f>
        <v>3.4386918917189743E-2</v>
      </c>
      <c r="AE40" s="67">
        <f t="shared" ref="AE40:AE41" si="61">SUM(J40:N40)/SUM(J$36:N$36)</f>
        <v>3.5280715201905448E-2</v>
      </c>
      <c r="AG40" s="3"/>
      <c r="AH40" s="3">
        <f>AVERAGE(V40:AD40)</f>
        <v>3.7847313444119519E-2</v>
      </c>
      <c r="AJ40" s="1">
        <f>E40/E71</f>
        <v>4.8882617518819754E-2</v>
      </c>
      <c r="AK40" s="1">
        <f>F40/F71</f>
        <v>4.5758153876089565E-2</v>
      </c>
      <c r="AM40" s="36">
        <f ca="1">AVERAGE(AI40:AN40)</f>
        <v>4.7320385697454663E-2</v>
      </c>
    </row>
    <row r="41" spans="1:41" x14ac:dyDescent="0.2">
      <c r="A41" s="80" t="s">
        <v>108</v>
      </c>
      <c r="B41" s="139">
        <v>355864</v>
      </c>
      <c r="C41" s="139">
        <v>2680521</v>
      </c>
      <c r="D41" s="139">
        <v>2605792</v>
      </c>
      <c r="E41" s="139">
        <v>2060413</v>
      </c>
      <c r="F41" s="139">
        <v>2065851</v>
      </c>
      <c r="G41" s="139">
        <v>2479318</v>
      </c>
      <c r="H41" s="139">
        <v>2502957</v>
      </c>
      <c r="I41" s="139">
        <v>2368215</v>
      </c>
      <c r="J41" s="139">
        <v>2758253</v>
      </c>
      <c r="K41" s="139">
        <v>3141331</v>
      </c>
      <c r="L41" s="139">
        <v>2582790</v>
      </c>
      <c r="M41" s="139">
        <v>2609849</v>
      </c>
      <c r="N41" s="139">
        <v>3510343</v>
      </c>
      <c r="O41" s="67">
        <f t="shared" si="53"/>
        <v>6.213290538092426E-2</v>
      </c>
      <c r="P41" s="3"/>
      <c r="Q41" s="37" t="str">
        <f>A41</f>
        <v>Customer Deposits</v>
      </c>
      <c r="R41" s="67">
        <f t="shared" si="52"/>
        <v>6.9256457207518237E-4</v>
      </c>
      <c r="S41" s="67">
        <f t="shared" si="52"/>
        <v>5.3508864990046744E-3</v>
      </c>
      <c r="T41" s="67">
        <f t="shared" si="54"/>
        <v>5.1264342248582891E-3</v>
      </c>
      <c r="U41" s="216">
        <f t="shared" si="54"/>
        <v>4.1191729264745307E-3</v>
      </c>
      <c r="V41" s="216">
        <f t="shared" si="54"/>
        <v>4.3117486543931948E-3</v>
      </c>
      <c r="W41" s="216">
        <f t="shared" si="54"/>
        <v>5.2953821215724704E-3</v>
      </c>
      <c r="X41" s="216">
        <f t="shared" si="55"/>
        <v>5.4391473989328643E-3</v>
      </c>
      <c r="Y41" s="216">
        <f t="shared" si="55"/>
        <v>5.1447002630193427E-3</v>
      </c>
      <c r="Z41" s="216">
        <f t="shared" si="56"/>
        <v>6.4259148330803898E-3</v>
      </c>
      <c r="AA41" s="216">
        <f t="shared" si="57"/>
        <v>7.8517801889370666E-3</v>
      </c>
      <c r="AB41" s="216">
        <f t="shared" si="58"/>
        <v>6.7167586546900302E-3</v>
      </c>
      <c r="AC41" s="216">
        <f t="shared" si="59"/>
        <v>7.5525257480643822E-3</v>
      </c>
      <c r="AD41" s="216">
        <f t="shared" si="60"/>
        <v>1.0309847491019517E-2</v>
      </c>
      <c r="AE41" s="67">
        <f t="shared" si="61"/>
        <v>7.686000987192295E-3</v>
      </c>
      <c r="AG41" s="3"/>
      <c r="AH41" s="3">
        <f>+X41</f>
        <v>5.4391473989328643E-3</v>
      </c>
      <c r="AI41" s="1">
        <f>D41/D71</f>
        <v>1.2115214697183258E-2</v>
      </c>
      <c r="AJ41" s="1">
        <f>E41/E71</f>
        <v>9.3077904011040109E-3</v>
      </c>
      <c r="AK41" s="1">
        <f>F41/F71</f>
        <v>8.4081703615249796E-3</v>
      </c>
      <c r="AL41" s="1">
        <f>G41/G71</f>
        <v>9.1700350418326328E-3</v>
      </c>
      <c r="AM41" s="1">
        <f>AVERAGE(AI41:AL41)</f>
        <v>9.75030262541122E-3</v>
      </c>
    </row>
    <row r="42" spans="1:41" x14ac:dyDescent="0.2">
      <c r="A42" s="37" t="s">
        <v>71</v>
      </c>
      <c r="B42" s="148">
        <f>69853+4768+10573931</f>
        <v>10648552</v>
      </c>
      <c r="C42" s="148">
        <f>59559+23305+13166898</f>
        <v>13249762</v>
      </c>
      <c r="D42" s="141">
        <f>61181+104438+152120+14105869</f>
        <v>14423608</v>
      </c>
      <c r="E42" s="141">
        <f>197305+134089+13567207</f>
        <v>13898601</v>
      </c>
      <c r="F42" s="141">
        <f>69380+138382+14182441+0</f>
        <v>14390203</v>
      </c>
      <c r="G42" s="141">
        <f>191882+30420+12520043+1119681</f>
        <v>13862026</v>
      </c>
      <c r="H42" s="141">
        <f>30265+132681+14582305</f>
        <v>14745251</v>
      </c>
      <c r="I42" s="141">
        <f>46047978-32844312</f>
        <v>13203666</v>
      </c>
      <c r="J42" s="141">
        <f>84983+157828+12767603</f>
        <v>13010414</v>
      </c>
      <c r="K42" s="141">
        <f>43318+240932+10958525</f>
        <v>11242775</v>
      </c>
      <c r="L42" s="141">
        <f>53863+110007+21726262</f>
        <v>21890132</v>
      </c>
      <c r="M42" s="141">
        <f>58499+11843+19379539</f>
        <v>19449881</v>
      </c>
      <c r="N42" s="141">
        <f>51097+6665+15809808</f>
        <v>15867570</v>
      </c>
      <c r="O42" s="68">
        <f t="shared" si="53"/>
        <v>5.0884113262909356E-2</v>
      </c>
      <c r="P42" s="3"/>
      <c r="Q42" s="37" t="str">
        <f>A42</f>
        <v xml:space="preserve">Other </v>
      </c>
      <c r="R42" s="93">
        <f t="shared" si="52"/>
        <v>2.0723674940708606E-2</v>
      </c>
      <c r="S42" s="93">
        <f t="shared" si="52"/>
        <v>2.6449325560525424E-2</v>
      </c>
      <c r="T42" s="93">
        <f t="shared" si="54"/>
        <v>2.8375894045702732E-2</v>
      </c>
      <c r="U42" s="232">
        <f t="shared" si="54"/>
        <v>2.7786051124251223E-2</v>
      </c>
      <c r="V42" s="232">
        <f t="shared" si="54"/>
        <v>3.0034566104571395E-2</v>
      </c>
      <c r="W42" s="232">
        <f t="shared" si="54"/>
        <v>2.9606821169842975E-2</v>
      </c>
      <c r="X42" s="232">
        <f t="shared" si="55"/>
        <v>3.2042737299626887E-2</v>
      </c>
      <c r="Y42" s="232">
        <f t="shared" si="55"/>
        <v>2.8683588248119174E-2</v>
      </c>
      <c r="Z42" s="232">
        <f t="shared" si="56"/>
        <v>3.0310421961697046E-2</v>
      </c>
      <c r="AA42" s="232">
        <f t="shared" si="57"/>
        <v>2.8101399697668578E-2</v>
      </c>
      <c r="AB42" s="232">
        <f t="shared" si="58"/>
        <v>5.6927095723348468E-2</v>
      </c>
      <c r="AC42" s="232">
        <f t="shared" si="59"/>
        <v>5.628514410193395E-2</v>
      </c>
      <c r="AD42" s="232">
        <f t="shared" si="60"/>
        <v>4.6602917935106784E-2</v>
      </c>
      <c r="AE42" s="68">
        <f>SUM(J42:N42)/SUM(J$36:N$36)</f>
        <v>4.2876544712035301E-2</v>
      </c>
      <c r="AG42" s="3"/>
      <c r="AH42" s="3">
        <f>AVERAGE(V42:AD42)</f>
        <v>3.7621632471323919E-2</v>
      </c>
    </row>
    <row r="43" spans="1:41" x14ac:dyDescent="0.2">
      <c r="A43" s="37" t="s">
        <v>46</v>
      </c>
      <c r="B43" s="139">
        <f t="shared" ref="B43:N43" si="62">SUM(B38:B42)</f>
        <v>24123119</v>
      </c>
      <c r="C43" s="139">
        <f t="shared" si="62"/>
        <v>24856499</v>
      </c>
      <c r="D43" s="137">
        <f t="shared" si="62"/>
        <v>33195526</v>
      </c>
      <c r="E43" s="137">
        <f t="shared" si="62"/>
        <v>26779883</v>
      </c>
      <c r="F43" s="137">
        <f t="shared" si="62"/>
        <v>27698634</v>
      </c>
      <c r="G43" s="137">
        <f t="shared" si="62"/>
        <v>31187121</v>
      </c>
      <c r="H43" s="137">
        <f t="shared" si="62"/>
        <v>36875352</v>
      </c>
      <c r="I43" s="137">
        <f t="shared" ref="I43:M43" si="63">SUM(I38:I42)</f>
        <v>46047978</v>
      </c>
      <c r="J43" s="137">
        <f t="shared" si="63"/>
        <v>32719654</v>
      </c>
      <c r="K43" s="137">
        <f t="shared" si="63"/>
        <v>25254180</v>
      </c>
      <c r="L43" s="137">
        <f t="shared" si="63"/>
        <v>38228256</v>
      </c>
      <c r="M43" s="137">
        <f t="shared" si="63"/>
        <v>35804645</v>
      </c>
      <c r="N43" s="137">
        <f t="shared" si="62"/>
        <v>31086125</v>
      </c>
      <c r="O43" s="67">
        <f t="shared" si="53"/>
        <v>-1.2721972485310061E-2</v>
      </c>
      <c r="P43" s="3"/>
      <c r="Q43" s="37" t="s">
        <v>46</v>
      </c>
      <c r="R43" s="67">
        <f t="shared" si="52"/>
        <v>4.6947197770366496E-2</v>
      </c>
      <c r="S43" s="67">
        <f t="shared" si="52"/>
        <v>4.9618825934071464E-2</v>
      </c>
      <c r="T43" s="67">
        <f t="shared" si="54"/>
        <v>6.5306317848306067E-2</v>
      </c>
      <c r="U43" s="216">
        <f t="shared" si="54"/>
        <v>5.3538280445597816E-2</v>
      </c>
      <c r="V43" s="216">
        <f t="shared" si="54"/>
        <v>5.7811307726467011E-2</v>
      </c>
      <c r="W43" s="216">
        <f t="shared" si="54"/>
        <v>6.6610141565832767E-2</v>
      </c>
      <c r="X43" s="216">
        <f t="shared" si="55"/>
        <v>8.0133408171028819E-2</v>
      </c>
      <c r="Y43" s="216">
        <f t="shared" si="55"/>
        <v>0.10003443290753117</v>
      </c>
      <c r="Z43" s="216">
        <f t="shared" si="56"/>
        <v>7.6227129988386891E-2</v>
      </c>
      <c r="AA43" s="216">
        <f t="shared" si="57"/>
        <v>6.3123010663903523E-2</v>
      </c>
      <c r="AB43" s="216">
        <f t="shared" si="58"/>
        <v>9.9415736216148465E-2</v>
      </c>
      <c r="AC43" s="216">
        <f t="shared" si="59"/>
        <v>0.1036134670100855</v>
      </c>
      <c r="AD43" s="216">
        <f t="shared" si="60"/>
        <v>9.1299684343316048E-2</v>
      </c>
      <c r="AE43" s="67">
        <f t="shared" ref="AE43" si="64">SUM(J43:N43)/SUM(J$36:N$36)</f>
        <v>8.5843260901133048E-2</v>
      </c>
      <c r="AG43" s="3"/>
      <c r="AH43" s="3">
        <f>+AH42+AH41+AH40</f>
        <v>8.0908093314376303E-2</v>
      </c>
    </row>
    <row r="44" spans="1:41" x14ac:dyDescent="0.2">
      <c r="B44" s="139"/>
      <c r="C44" s="139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P44" s="3"/>
      <c r="Q44" s="37"/>
      <c r="T44" s="67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G44" s="3"/>
      <c r="AH44" s="3"/>
    </row>
    <row r="45" spans="1:41" x14ac:dyDescent="0.2">
      <c r="A45" s="81" t="s">
        <v>67</v>
      </c>
      <c r="B45" s="139">
        <v>316591925</v>
      </c>
      <c r="C45" s="139">
        <v>306008831</v>
      </c>
      <c r="D45" s="137">
        <v>326347462</v>
      </c>
      <c r="E45" s="137">
        <v>318334596</v>
      </c>
      <c r="F45" s="137">
        <v>306810720</v>
      </c>
      <c r="G45" s="137">
        <v>285644886</v>
      </c>
      <c r="H45" s="137">
        <v>285920939</v>
      </c>
      <c r="I45" s="137">
        <v>275516294</v>
      </c>
      <c r="J45" s="137">
        <v>263787330</v>
      </c>
      <c r="K45" s="137">
        <v>252277100</v>
      </c>
      <c r="L45" s="137">
        <v>221471936</v>
      </c>
      <c r="M45" s="137">
        <v>185970969</v>
      </c>
      <c r="N45" s="137">
        <f>175225381+2318032</f>
        <v>177543413</v>
      </c>
      <c r="O45" s="67">
        <f t="shared" ref="O45:O48" si="65">RATE(4,,-J45,N45)</f>
        <v>-9.4241000015700571E-2</v>
      </c>
      <c r="P45" s="3"/>
      <c r="Q45" s="81" t="str">
        <f>A45</f>
        <v>Long-Term Debt</v>
      </c>
      <c r="R45" s="67">
        <f t="shared" ref="R45:W48" si="66">B45/B$36</f>
        <v>0.61613524003575315</v>
      </c>
      <c r="S45" s="67">
        <f t="shared" si="66"/>
        <v>0.61085830790883677</v>
      </c>
      <c r="T45" s="67">
        <f t="shared" si="66"/>
        <v>0.64203082916535159</v>
      </c>
      <c r="U45" s="216">
        <f t="shared" si="66"/>
        <v>0.63641379150850219</v>
      </c>
      <c r="V45" s="216">
        <f t="shared" si="66"/>
        <v>0.64036114371917785</v>
      </c>
      <c r="W45" s="216">
        <f t="shared" si="66"/>
        <v>0.61008665384714933</v>
      </c>
      <c r="X45" s="216">
        <f t="shared" ref="X45:Y48" si="67">H45/H$36</f>
        <v>0.62133154171737348</v>
      </c>
      <c r="Y45" s="216">
        <f t="shared" si="67"/>
        <v>0.59853043334659839</v>
      </c>
      <c r="Z45" s="216">
        <f t="shared" ref="Z45:Z48" si="68">J45/J$36</f>
        <v>0.61454656865257529</v>
      </c>
      <c r="AA45" s="216">
        <f t="shared" ref="AA45:AA48" si="69">K45/K$36</f>
        <v>0.63056848702110524</v>
      </c>
      <c r="AB45" s="216">
        <f t="shared" ref="AB45:AB48" si="70">L45/L$36</f>
        <v>0.57595605639597358</v>
      </c>
      <c r="AC45" s="216">
        <f t="shared" ref="AC45:AC48" si="71">M45/M$36</f>
        <v>0.53817310187868461</v>
      </c>
      <c r="AD45" s="216">
        <f t="shared" ref="AD45:AD48" si="72">N45/N$36</f>
        <v>0.52144349172291482</v>
      </c>
      <c r="AE45" s="67">
        <f t="shared" ref="AE45:AE46" si="73">SUM(J45:N45)/SUM(J$36:N$36)</f>
        <v>0.57953356527043365</v>
      </c>
      <c r="AG45" s="3"/>
      <c r="AH45" s="3"/>
    </row>
    <row r="46" spans="1:41" x14ac:dyDescent="0.2">
      <c r="A46" s="37" t="s">
        <v>10</v>
      </c>
      <c r="B46" s="139">
        <v>54592010</v>
      </c>
      <c r="C46" s="139">
        <v>55890423</v>
      </c>
      <c r="D46" s="139">
        <v>47788359</v>
      </c>
      <c r="E46" s="139">
        <v>45937925</v>
      </c>
      <c r="F46" s="139">
        <v>49507750</v>
      </c>
      <c r="G46" s="139">
        <v>53260604</v>
      </c>
      <c r="H46" s="139">
        <v>52749270</v>
      </c>
      <c r="I46" s="139">
        <v>50358257</v>
      </c>
      <c r="J46" s="139">
        <v>50368323</v>
      </c>
      <c r="K46" s="139">
        <v>50307284</v>
      </c>
      <c r="L46" s="139">
        <v>50770089</v>
      </c>
      <c r="M46" s="139">
        <v>50136104</v>
      </c>
      <c r="N46" s="139">
        <v>48851227</v>
      </c>
      <c r="O46" s="67">
        <f t="shared" si="65"/>
        <v>-7.6165880847852401E-3</v>
      </c>
      <c r="P46" s="3"/>
      <c r="Q46" s="37" t="str">
        <f>A46</f>
        <v>Deferred Income Taxes</v>
      </c>
      <c r="R46" s="67">
        <f t="shared" si="66"/>
        <v>0.10624421701654024</v>
      </c>
      <c r="S46" s="67">
        <f t="shared" si="66"/>
        <v>0.11156909789341711</v>
      </c>
      <c r="T46" s="67">
        <f t="shared" si="66"/>
        <v>9.4015132108554569E-2</v>
      </c>
      <c r="U46" s="216">
        <f t="shared" si="66"/>
        <v>9.183899390967612E-2</v>
      </c>
      <c r="V46" s="216">
        <f t="shared" si="66"/>
        <v>0.1033302858940624</v>
      </c>
      <c r="W46" s="216">
        <f t="shared" si="66"/>
        <v>0.11375517388481478</v>
      </c>
      <c r="X46" s="216">
        <f t="shared" si="67"/>
        <v>0.11462883889579699</v>
      </c>
      <c r="Y46" s="216">
        <f t="shared" si="67"/>
        <v>0.10939806480116698</v>
      </c>
      <c r="Z46" s="216">
        <f t="shared" si="68"/>
        <v>0.11734331617987333</v>
      </c>
      <c r="AA46" s="216">
        <f t="shared" si="69"/>
        <v>0.12574343037089397</v>
      </c>
      <c r="AB46" s="216">
        <f t="shared" si="70"/>
        <v>0.13203180850558238</v>
      </c>
      <c r="AC46" s="216">
        <f t="shared" si="71"/>
        <v>0.14508663772027949</v>
      </c>
      <c r="AD46" s="216">
        <f t="shared" si="72"/>
        <v>0.14347563759985132</v>
      </c>
      <c r="AE46" s="67">
        <f t="shared" si="73"/>
        <v>0.1318144011639841</v>
      </c>
      <c r="AG46" s="3"/>
      <c r="AH46" s="3">
        <f>+AD46</f>
        <v>0.14347563759985132</v>
      </c>
      <c r="AI46" s="1">
        <f>D46/D21</f>
        <v>0.1097104449553202</v>
      </c>
      <c r="AJ46" s="1">
        <f>E46/E21</f>
        <v>0.10455886071670893</v>
      </c>
      <c r="AK46" s="1">
        <f>F46/F21</f>
        <v>0.11142249084777704</v>
      </c>
      <c r="AL46" s="1">
        <f>G46/G21</f>
        <v>0.11863998675933955</v>
      </c>
      <c r="AO46" s="1">
        <f>AVERAGE(AI46:AN46)</f>
        <v>0.11108294581978644</v>
      </c>
    </row>
    <row r="47" spans="1:41" x14ac:dyDescent="0.2">
      <c r="A47" s="37" t="s">
        <v>68</v>
      </c>
      <c r="B47" s="148">
        <v>24853166</v>
      </c>
      <c r="C47" s="148">
        <v>23102971</v>
      </c>
      <c r="D47" s="141">
        <v>14841253</v>
      </c>
      <c r="E47" s="141">
        <v>12185976</v>
      </c>
      <c r="F47" s="141">
        <v>8635599</v>
      </c>
      <c r="G47" s="141">
        <v>4826239</v>
      </c>
      <c r="H47" s="141">
        <v>1540278</v>
      </c>
      <c r="I47" s="141">
        <v>1244584</v>
      </c>
      <c r="J47" s="141">
        <v>1410459</v>
      </c>
      <c r="K47" s="141">
        <v>1122627</v>
      </c>
      <c r="L47" s="141">
        <v>13228661</v>
      </c>
      <c r="M47" s="141">
        <v>14080727</v>
      </c>
      <c r="N47" s="141">
        <v>15053902</v>
      </c>
      <c r="O47" s="68">
        <f t="shared" si="65"/>
        <v>0.80747439837145218</v>
      </c>
      <c r="P47" s="3"/>
      <c r="Q47" s="37" t="str">
        <f>A47</f>
        <v>Other Deferred Credits</v>
      </c>
      <c r="R47" s="93">
        <f t="shared" si="66"/>
        <v>4.8367978428566737E-2</v>
      </c>
      <c r="S47" s="93">
        <f t="shared" si="66"/>
        <v>4.6118413402020171E-2</v>
      </c>
      <c r="T47" s="93">
        <f t="shared" si="66"/>
        <v>2.9197536610359058E-2</v>
      </c>
      <c r="U47" s="232">
        <f t="shared" si="66"/>
        <v>2.4362175166759478E-2</v>
      </c>
      <c r="V47" s="232">
        <f t="shared" si="66"/>
        <v>1.8023822806257191E-2</v>
      </c>
      <c r="W47" s="232">
        <f t="shared" si="66"/>
        <v>1.0307987807548607E-2</v>
      </c>
      <c r="X47" s="232">
        <f t="shared" si="67"/>
        <v>3.3471606093646491E-3</v>
      </c>
      <c r="Y47" s="232">
        <f t="shared" si="67"/>
        <v>2.7037290246661157E-3</v>
      </c>
      <c r="Z47" s="232">
        <f t="shared" si="68"/>
        <v>3.2859528874079839E-3</v>
      </c>
      <c r="AA47" s="232">
        <f t="shared" si="69"/>
        <v>2.8060145327461045E-3</v>
      </c>
      <c r="AB47" s="232">
        <f t="shared" si="70"/>
        <v>3.440222521448142E-2</v>
      </c>
      <c r="AC47" s="232">
        <f t="shared" si="71"/>
        <v>4.0747588545914093E-2</v>
      </c>
      <c r="AD47" s="232">
        <f t="shared" si="72"/>
        <v>4.4213181949670929E-2</v>
      </c>
      <c r="AE47" s="68">
        <f>SUM(J47:N47)/SUM(J$36:N$36)</f>
        <v>2.3631024181459372E-2</v>
      </c>
      <c r="AG47" s="3"/>
      <c r="AH47" s="3">
        <f>+X47</f>
        <v>3.3471606093646491E-3</v>
      </c>
      <c r="AI47" s="8"/>
    </row>
    <row r="48" spans="1:41" x14ac:dyDescent="0.2">
      <c r="A48" s="81" t="s">
        <v>69</v>
      </c>
      <c r="B48" s="139">
        <f t="shared" ref="B48:C48" si="74">SUM(B45:B47)</f>
        <v>396037101</v>
      </c>
      <c r="C48" s="139">
        <f t="shared" si="74"/>
        <v>385002225</v>
      </c>
      <c r="D48" s="137">
        <f t="shared" ref="D48:N48" si="75">SUM(D45:D47)</f>
        <v>388977074</v>
      </c>
      <c r="E48" s="137">
        <f t="shared" si="75"/>
        <v>376458497</v>
      </c>
      <c r="F48" s="137">
        <f t="shared" si="75"/>
        <v>364954069</v>
      </c>
      <c r="G48" s="137">
        <f t="shared" si="75"/>
        <v>343731729</v>
      </c>
      <c r="H48" s="137">
        <f t="shared" si="75"/>
        <v>340210487</v>
      </c>
      <c r="I48" s="137">
        <f t="shared" ref="I48:M48" si="76">SUM(I45:I47)</f>
        <v>327119135</v>
      </c>
      <c r="J48" s="137">
        <f t="shared" si="76"/>
        <v>315566112</v>
      </c>
      <c r="K48" s="137">
        <f t="shared" si="76"/>
        <v>303707011</v>
      </c>
      <c r="L48" s="137">
        <f t="shared" si="76"/>
        <v>285470686</v>
      </c>
      <c r="M48" s="137">
        <f t="shared" si="76"/>
        <v>250187800</v>
      </c>
      <c r="N48" s="137">
        <f t="shared" si="75"/>
        <v>241448542</v>
      </c>
      <c r="O48" s="67">
        <f t="shared" si="65"/>
        <v>-6.4737423136630445E-2</v>
      </c>
      <c r="P48" s="3"/>
      <c r="Q48" s="37" t="str">
        <f>A48</f>
        <v>Total LTD &amp; Deferrals</v>
      </c>
      <c r="R48" s="67">
        <f t="shared" si="66"/>
        <v>0.77074743548086011</v>
      </c>
      <c r="S48" s="67">
        <f t="shared" si="66"/>
        <v>0.76854581920427401</v>
      </c>
      <c r="T48" s="67">
        <f t="shared" si="66"/>
        <v>0.76524349788426527</v>
      </c>
      <c r="U48" s="216">
        <f t="shared" si="66"/>
        <v>0.75261496058493771</v>
      </c>
      <c r="V48" s="216">
        <f t="shared" si="66"/>
        <v>0.76171525241949745</v>
      </c>
      <c r="W48" s="216">
        <f t="shared" si="66"/>
        <v>0.73414981553951264</v>
      </c>
      <c r="X48" s="216">
        <f t="shared" si="67"/>
        <v>0.73930754122253517</v>
      </c>
      <c r="Y48" s="216">
        <f t="shared" si="67"/>
        <v>0.71063222717243146</v>
      </c>
      <c r="Z48" s="216">
        <f t="shared" si="68"/>
        <v>0.73517583771985651</v>
      </c>
      <c r="AA48" s="216">
        <f t="shared" si="69"/>
        <v>0.7591179319247453</v>
      </c>
      <c r="AB48" s="216">
        <f t="shared" si="70"/>
        <v>0.74239009011603729</v>
      </c>
      <c r="AC48" s="216">
        <f t="shared" si="71"/>
        <v>0.72400732814487812</v>
      </c>
      <c r="AD48" s="216">
        <f t="shared" si="72"/>
        <v>0.70913231127243703</v>
      </c>
      <c r="AE48" s="67">
        <f t="shared" ref="AE48" si="77">SUM(J48:N48)/SUM(J$36:N$36)</f>
        <v>0.73497899061587713</v>
      </c>
      <c r="AG48" s="3"/>
      <c r="AH48" s="3"/>
    </row>
    <row r="49" spans="1:42" ht="7.5" customHeight="1" x14ac:dyDescent="0.2">
      <c r="A49" s="81"/>
      <c r="B49" s="139"/>
      <c r="C49" s="139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P49" s="3"/>
      <c r="Q49" s="81"/>
      <c r="T49" s="67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G49" s="3"/>
      <c r="AH49" s="3"/>
    </row>
    <row r="50" spans="1:42" x14ac:dyDescent="0.2">
      <c r="A50" s="37" t="s">
        <v>47</v>
      </c>
      <c r="B50" s="139">
        <f t="shared" ref="B50:C50" si="78">B48+B43</f>
        <v>420160220</v>
      </c>
      <c r="C50" s="139">
        <f t="shared" si="78"/>
        <v>409858724</v>
      </c>
      <c r="D50" s="137">
        <f t="shared" ref="D50:N50" si="79">D48+D43</f>
        <v>422172600</v>
      </c>
      <c r="E50" s="137">
        <f t="shared" si="79"/>
        <v>403238380</v>
      </c>
      <c r="F50" s="137">
        <f t="shared" si="79"/>
        <v>392652703</v>
      </c>
      <c r="G50" s="137">
        <f t="shared" si="79"/>
        <v>374918850</v>
      </c>
      <c r="H50" s="137">
        <f t="shared" si="79"/>
        <v>377085839</v>
      </c>
      <c r="I50" s="137">
        <f t="shared" ref="I50:M50" si="80">I48+I43</f>
        <v>373167113</v>
      </c>
      <c r="J50" s="137">
        <f t="shared" si="80"/>
        <v>348285766</v>
      </c>
      <c r="K50" s="137">
        <f t="shared" si="80"/>
        <v>328961191</v>
      </c>
      <c r="L50" s="137">
        <f t="shared" si="80"/>
        <v>323698942</v>
      </c>
      <c r="M50" s="137">
        <f t="shared" si="80"/>
        <v>285992445</v>
      </c>
      <c r="N50" s="137">
        <f t="shared" si="79"/>
        <v>272534667</v>
      </c>
      <c r="O50" s="67">
        <f>RATE(4,,-J50,N50)</f>
        <v>-5.9472481541706805E-2</v>
      </c>
      <c r="P50" s="3"/>
      <c r="Q50" s="37" t="str">
        <f>A50</f>
        <v>Total Liabilities</v>
      </c>
      <c r="R50" s="67">
        <f t="shared" ref="R50:X50" si="81">B50/B$36</f>
        <v>0.8176946332512266</v>
      </c>
      <c r="S50" s="67">
        <f t="shared" si="81"/>
        <v>0.81816464513834553</v>
      </c>
      <c r="T50" s="67">
        <f t="shared" si="81"/>
        <v>0.83054981573257125</v>
      </c>
      <c r="U50" s="216">
        <f t="shared" si="81"/>
        <v>0.80615324103053554</v>
      </c>
      <c r="V50" s="216">
        <f t="shared" si="81"/>
        <v>0.81952656014596448</v>
      </c>
      <c r="W50" s="216">
        <f t="shared" si="81"/>
        <v>0.80075995710534542</v>
      </c>
      <c r="X50" s="216">
        <f t="shared" si="81"/>
        <v>0.81944094939356393</v>
      </c>
      <c r="Y50" s="216">
        <f t="shared" ref="Y50:AC50" si="82">I50/I$36</f>
        <v>0.81066666007996269</v>
      </c>
      <c r="Z50" s="216">
        <f t="shared" si="82"/>
        <v>0.81140296770824349</v>
      </c>
      <c r="AA50" s="216">
        <f t="shared" si="82"/>
        <v>0.82224094258864877</v>
      </c>
      <c r="AB50" s="216">
        <f t="shared" si="82"/>
        <v>0.84180582633218581</v>
      </c>
      <c r="AC50" s="216">
        <f t="shared" si="82"/>
        <v>0.82762079515496367</v>
      </c>
      <c r="AD50" s="216">
        <f t="shared" ref="AD50" si="83">N50/N$36</f>
        <v>0.80043199561575307</v>
      </c>
      <c r="AE50" s="67">
        <f t="shared" ref="AE50" si="84">SUM(J50:N50)/SUM(J$36:N$36)</f>
        <v>0.82082225151701016</v>
      </c>
      <c r="AG50" s="3"/>
      <c r="AH50" s="3"/>
    </row>
    <row r="51" spans="1:42" ht="7.5" customHeight="1" x14ac:dyDescent="0.2">
      <c r="B51" s="139"/>
      <c r="C51" s="139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P51" s="3"/>
      <c r="Q51" s="37"/>
      <c r="T51" s="67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G51" s="3"/>
      <c r="AH51" s="3"/>
    </row>
    <row r="52" spans="1:42" x14ac:dyDescent="0.2">
      <c r="A52" s="78" t="s">
        <v>118</v>
      </c>
      <c r="B52" s="139"/>
      <c r="C52" s="139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P52" s="3"/>
      <c r="Q52" s="131" t="str">
        <f>A52</f>
        <v>Patronage Equity:</v>
      </c>
      <c r="R52" s="37"/>
      <c r="S52" s="37"/>
      <c r="T52" s="37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216"/>
      <c r="AG52" s="3"/>
      <c r="AH52" s="3"/>
      <c r="AM52" s="30">
        <v>2005</v>
      </c>
      <c r="AN52" s="30">
        <v>2006</v>
      </c>
      <c r="AO52" s="30">
        <v>2007</v>
      </c>
      <c r="AP52" t="s">
        <v>3</v>
      </c>
    </row>
    <row r="53" spans="1:42" x14ac:dyDescent="0.2">
      <c r="A53" s="82" t="s">
        <v>96</v>
      </c>
      <c r="B53" s="139">
        <v>93674900</v>
      </c>
      <c r="C53" s="139">
        <v>91090231</v>
      </c>
      <c r="D53" s="137">
        <v>86132371</v>
      </c>
      <c r="E53" s="137">
        <v>96962276</v>
      </c>
      <c r="F53" s="137">
        <v>86468685</v>
      </c>
      <c r="G53" s="137">
        <v>93284944</v>
      </c>
      <c r="H53" s="137">
        <v>83088673</v>
      </c>
      <c r="I53" s="137">
        <v>87154165</v>
      </c>
      <c r="J53" s="137">
        <v>80953194</v>
      </c>
      <c r="K53" s="137">
        <v>71117635</v>
      </c>
      <c r="L53" s="137">
        <v>60830283</v>
      </c>
      <c r="M53" s="137">
        <v>59567317</v>
      </c>
      <c r="N53" s="137">
        <v>67949807</v>
      </c>
      <c r="O53" s="67">
        <f>RATE(4,,-J53,N53)</f>
        <v>-4.2831142890068584E-2</v>
      </c>
      <c r="P53" s="3"/>
      <c r="Q53" s="37" t="str">
        <f>A53</f>
        <v>Patrons Capital</v>
      </c>
      <c r="T53" s="67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G53" s="3"/>
      <c r="AH53" s="3"/>
      <c r="AL53" t="s">
        <v>112</v>
      </c>
      <c r="AM53">
        <f>E53-D53</f>
        <v>10829905</v>
      </c>
      <c r="AN53">
        <f>F53-E53</f>
        <v>-10493591</v>
      </c>
      <c r="AO53">
        <f>G53-F53</f>
        <v>6816259</v>
      </c>
    </row>
    <row r="54" spans="1:42" x14ac:dyDescent="0.2">
      <c r="A54" s="82" t="s">
        <v>34</v>
      </c>
      <c r="B54" s="148"/>
      <c r="C54" s="148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68"/>
      <c r="P54" s="3"/>
      <c r="Q54" s="37" t="str">
        <f>A54</f>
        <v>Retained Earnings</v>
      </c>
      <c r="R54" s="93">
        <f t="shared" ref="R54:X56" si="85">B54/B$36</f>
        <v>0</v>
      </c>
      <c r="S54" s="93">
        <f t="shared" si="85"/>
        <v>0</v>
      </c>
      <c r="T54" s="93">
        <f t="shared" si="85"/>
        <v>0</v>
      </c>
      <c r="U54" s="232">
        <f t="shared" si="85"/>
        <v>0</v>
      </c>
      <c r="V54" s="232">
        <f t="shared" si="85"/>
        <v>0</v>
      </c>
      <c r="W54" s="232">
        <f t="shared" si="85"/>
        <v>0</v>
      </c>
      <c r="X54" s="232">
        <f t="shared" si="85"/>
        <v>0</v>
      </c>
      <c r="Y54" s="232">
        <f t="shared" ref="Y54:Y56" si="86">I54/I$36</f>
        <v>0</v>
      </c>
      <c r="Z54" s="232">
        <f t="shared" ref="Z54:AC56" si="87">J54/J$36</f>
        <v>0</v>
      </c>
      <c r="AA54" s="232">
        <f t="shared" si="87"/>
        <v>0</v>
      </c>
      <c r="AB54" s="232">
        <f t="shared" si="87"/>
        <v>0</v>
      </c>
      <c r="AC54" s="232">
        <f t="shared" si="87"/>
        <v>0</v>
      </c>
      <c r="AD54" s="232">
        <f t="shared" ref="AD54:AD56" si="88">N54/N$36</f>
        <v>0</v>
      </c>
      <c r="AE54" s="68">
        <f>SUM(J54:N54)/SUM(J$36:N$36)</f>
        <v>0</v>
      </c>
      <c r="AG54" s="3"/>
      <c r="AH54" s="3"/>
    </row>
    <row r="55" spans="1:42" x14ac:dyDescent="0.2">
      <c r="A55" s="37" t="s">
        <v>110</v>
      </c>
      <c r="B55" s="139">
        <f t="shared" ref="B55:C55" si="89">SUM(B52:B54)</f>
        <v>93674900</v>
      </c>
      <c r="C55" s="139">
        <f t="shared" si="89"/>
        <v>91090231</v>
      </c>
      <c r="D55" s="137">
        <f t="shared" ref="D55:N55" si="90">SUM(D52:D54)</f>
        <v>86132371</v>
      </c>
      <c r="E55" s="137">
        <f t="shared" si="90"/>
        <v>96962276</v>
      </c>
      <c r="F55" s="137">
        <f t="shared" si="90"/>
        <v>86468685</v>
      </c>
      <c r="G55" s="137">
        <f t="shared" si="90"/>
        <v>93284944</v>
      </c>
      <c r="H55" s="137">
        <f t="shared" si="90"/>
        <v>83088673</v>
      </c>
      <c r="I55" s="137">
        <f t="shared" ref="I55:M55" si="91">SUM(I52:I54)</f>
        <v>87154165</v>
      </c>
      <c r="J55" s="137">
        <f t="shared" si="91"/>
        <v>80953194</v>
      </c>
      <c r="K55" s="137">
        <f t="shared" si="91"/>
        <v>71117635</v>
      </c>
      <c r="L55" s="137">
        <f t="shared" si="91"/>
        <v>60830283</v>
      </c>
      <c r="M55" s="137">
        <f t="shared" si="91"/>
        <v>59567317</v>
      </c>
      <c r="N55" s="137">
        <f t="shared" si="90"/>
        <v>67949807</v>
      </c>
      <c r="O55" s="106">
        <f t="shared" ref="O55:O56" si="92">RATE(4,,-J55,N55)</f>
        <v>-4.2831142890068584E-2</v>
      </c>
      <c r="P55" s="3"/>
      <c r="Q55" s="37" t="str">
        <f>A55</f>
        <v>Total Patronage Equity</v>
      </c>
      <c r="R55" s="93">
        <f t="shared" si="85"/>
        <v>0.18230536674877343</v>
      </c>
      <c r="S55" s="93">
        <f t="shared" si="85"/>
        <v>0.18183535486165453</v>
      </c>
      <c r="T55" s="93">
        <f t="shared" si="85"/>
        <v>0.16945018426742869</v>
      </c>
      <c r="U55" s="93">
        <f t="shared" si="85"/>
        <v>0.19384675896946443</v>
      </c>
      <c r="V55" s="93">
        <f t="shared" si="85"/>
        <v>0.18047343985403549</v>
      </c>
      <c r="W55" s="93">
        <f t="shared" si="85"/>
        <v>0.19924004289465455</v>
      </c>
      <c r="X55" s="93">
        <f t="shared" si="85"/>
        <v>0.18055905060643601</v>
      </c>
      <c r="Y55" s="93">
        <f t="shared" si="86"/>
        <v>0.18933333992003731</v>
      </c>
      <c r="Z55" s="93">
        <f t="shared" si="87"/>
        <v>0.18859703229175656</v>
      </c>
      <c r="AA55" s="93">
        <f t="shared" si="87"/>
        <v>0.17775905741135123</v>
      </c>
      <c r="AB55" s="93">
        <f t="shared" si="87"/>
        <v>0.15819417366781419</v>
      </c>
      <c r="AC55" s="93">
        <f t="shared" si="87"/>
        <v>0.17237920484503633</v>
      </c>
      <c r="AD55" s="93">
        <f t="shared" si="88"/>
        <v>0.19956800438424691</v>
      </c>
      <c r="AE55" s="68">
        <f>SUM(J55:N55)/SUM(J$36:N$36)</f>
        <v>0.17917774848298987</v>
      </c>
      <c r="AG55" s="3"/>
      <c r="AH55" s="3"/>
      <c r="AL55" t="s">
        <v>22</v>
      </c>
      <c r="AM55">
        <f>E96</f>
        <v>10829905</v>
      </c>
      <c r="AN55">
        <f>F96</f>
        <v>-9743591</v>
      </c>
      <c r="AO55">
        <f>G96</f>
        <v>7816259</v>
      </c>
    </row>
    <row r="56" spans="1:42" ht="13.5" thickBot="1" x14ac:dyDescent="0.25">
      <c r="A56" s="37" t="s">
        <v>48</v>
      </c>
      <c r="B56" s="154">
        <f t="shared" ref="B56:C56" si="93">B55+B50</f>
        <v>513835120</v>
      </c>
      <c r="C56" s="154">
        <f t="shared" si="93"/>
        <v>500948955</v>
      </c>
      <c r="D56" s="146">
        <f t="shared" ref="D56:N56" si="94">D55+D50</f>
        <v>508304971</v>
      </c>
      <c r="E56" s="146">
        <f t="shared" si="94"/>
        <v>500200656</v>
      </c>
      <c r="F56" s="146">
        <f t="shared" si="94"/>
        <v>479121388</v>
      </c>
      <c r="G56" s="146">
        <f t="shared" si="94"/>
        <v>468203794</v>
      </c>
      <c r="H56" s="146">
        <f t="shared" si="94"/>
        <v>460174512</v>
      </c>
      <c r="I56" s="146">
        <f t="shared" ref="I56:M56" si="95">I55+I50</f>
        <v>460321278</v>
      </c>
      <c r="J56" s="146">
        <f t="shared" si="95"/>
        <v>429238960</v>
      </c>
      <c r="K56" s="146">
        <f t="shared" si="95"/>
        <v>400078826</v>
      </c>
      <c r="L56" s="146">
        <f t="shared" si="95"/>
        <v>384529225</v>
      </c>
      <c r="M56" s="146">
        <f t="shared" si="95"/>
        <v>345559762</v>
      </c>
      <c r="N56" s="146">
        <f t="shared" si="94"/>
        <v>340484474</v>
      </c>
      <c r="O56" s="96">
        <f t="shared" si="92"/>
        <v>-5.6266123735215681E-2</v>
      </c>
      <c r="P56" s="3"/>
      <c r="Q56" s="37" t="str">
        <f>A56</f>
        <v>Total Liabilities &amp; Equity</v>
      </c>
      <c r="R56" s="97">
        <f t="shared" si="85"/>
        <v>1</v>
      </c>
      <c r="S56" s="97">
        <f t="shared" si="85"/>
        <v>1</v>
      </c>
      <c r="T56" s="97">
        <f t="shared" si="85"/>
        <v>1</v>
      </c>
      <c r="U56" s="97">
        <f t="shared" si="85"/>
        <v>1</v>
      </c>
      <c r="V56" s="97">
        <f t="shared" si="85"/>
        <v>1</v>
      </c>
      <c r="W56" s="97">
        <f t="shared" si="85"/>
        <v>1</v>
      </c>
      <c r="X56" s="97">
        <f t="shared" si="85"/>
        <v>1</v>
      </c>
      <c r="Y56" s="97">
        <f t="shared" si="86"/>
        <v>1</v>
      </c>
      <c r="Z56" s="97">
        <f t="shared" si="87"/>
        <v>1</v>
      </c>
      <c r="AA56" s="97">
        <f t="shared" si="87"/>
        <v>1</v>
      </c>
      <c r="AB56" s="97">
        <f t="shared" si="87"/>
        <v>1</v>
      </c>
      <c r="AC56" s="97">
        <f t="shared" si="87"/>
        <v>1</v>
      </c>
      <c r="AD56" s="97">
        <f t="shared" si="88"/>
        <v>1</v>
      </c>
      <c r="AE56" s="96">
        <f>SUM(J56:N56)/SUM(J$36:N$36)</f>
        <v>1</v>
      </c>
      <c r="AG56" s="3"/>
      <c r="AH56" s="3"/>
      <c r="AL56" t="s">
        <v>113</v>
      </c>
      <c r="AM56">
        <f>E99</f>
        <v>0</v>
      </c>
      <c r="AN56">
        <f>F99</f>
        <v>750000</v>
      </c>
      <c r="AO56">
        <f>G99</f>
        <v>1000000</v>
      </c>
    </row>
    <row r="57" spans="1:42" ht="13.5" thickTop="1" x14ac:dyDescent="0.2">
      <c r="B57" s="137"/>
      <c r="C57" s="137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P57" s="15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G57" s="15"/>
      <c r="AH57" s="15"/>
      <c r="AI57" s="11"/>
      <c r="AJ57" s="11"/>
      <c r="AK57" s="11"/>
      <c r="AM57">
        <f>AM55-AM56</f>
        <v>10829905</v>
      </c>
      <c r="AN57">
        <f>AN55-AN56</f>
        <v>-10493591</v>
      </c>
      <c r="AO57">
        <f>AO55-AO56</f>
        <v>6816259</v>
      </c>
    </row>
    <row r="58" spans="1:42" x14ac:dyDescent="0.2">
      <c r="B58" s="147">
        <f t="shared" ref="B58:N58" si="96">+B56-B36</f>
        <v>0</v>
      </c>
      <c r="C58" s="147">
        <f t="shared" si="96"/>
        <v>0</v>
      </c>
      <c r="D58" s="147">
        <f t="shared" si="96"/>
        <v>0</v>
      </c>
      <c r="E58" s="147">
        <f t="shared" si="96"/>
        <v>0</v>
      </c>
      <c r="F58" s="147">
        <f t="shared" si="96"/>
        <v>0</v>
      </c>
      <c r="G58" s="147">
        <f t="shared" si="96"/>
        <v>0</v>
      </c>
      <c r="H58" s="147">
        <f t="shared" si="96"/>
        <v>0</v>
      </c>
      <c r="I58" s="147">
        <f t="shared" ref="I58:M58" si="97">+I56-I36</f>
        <v>0</v>
      </c>
      <c r="J58" s="147">
        <f t="shared" si="97"/>
        <v>0</v>
      </c>
      <c r="K58" s="147">
        <f t="shared" si="97"/>
        <v>0</v>
      </c>
      <c r="L58" s="147">
        <f t="shared" si="97"/>
        <v>0</v>
      </c>
      <c r="M58" s="147">
        <f t="shared" si="97"/>
        <v>0</v>
      </c>
      <c r="N58" s="147">
        <f t="shared" si="96"/>
        <v>0</v>
      </c>
      <c r="P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G58" s="15"/>
      <c r="AH58" s="15"/>
      <c r="AI58" s="11"/>
      <c r="AJ58" s="11"/>
      <c r="AK58" s="11"/>
    </row>
    <row r="59" spans="1:42" x14ac:dyDescent="0.2">
      <c r="B59" s="66"/>
      <c r="C59" s="6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71" t="str">
        <f>AE1</f>
        <v>Exhibit 1</v>
      </c>
      <c r="P59" s="15"/>
      <c r="Q59" s="37"/>
      <c r="R59" s="37"/>
      <c r="S59" s="37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71" t="str">
        <f>O59</f>
        <v>Exhibit 1</v>
      </c>
      <c r="AG59" s="15"/>
      <c r="AH59" s="15"/>
      <c r="AI59" s="11"/>
      <c r="AJ59" s="11"/>
      <c r="AK59" s="11"/>
    </row>
    <row r="60" spans="1:42" ht="12.75" customHeight="1" x14ac:dyDescent="0.25">
      <c r="B60" s="135"/>
      <c r="C60" s="13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72" t="s">
        <v>175</v>
      </c>
      <c r="P60" s="5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72" t="s">
        <v>174</v>
      </c>
      <c r="AF60" s="132"/>
      <c r="AG60" s="50"/>
      <c r="AH60" s="50"/>
      <c r="AI60" s="11"/>
      <c r="AJ60" s="11"/>
      <c r="AK60" s="11"/>
    </row>
    <row r="61" spans="1:42" ht="18" x14ac:dyDescent="0.25">
      <c r="A61" s="269" t="str">
        <f>A3</f>
        <v>Deseret Generation &amp; Transmission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49"/>
      <c r="Q61" s="269" t="str">
        <f>A3</f>
        <v>Deseret Generation &amp; Transmission</v>
      </c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G61" s="49"/>
      <c r="AH61" s="49"/>
    </row>
    <row r="62" spans="1:42" ht="15.75" x14ac:dyDescent="0.25">
      <c r="A62" s="270" t="s">
        <v>17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49"/>
      <c r="Q62" s="270" t="s">
        <v>55</v>
      </c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G62" s="49"/>
      <c r="AH62" s="49"/>
    </row>
    <row r="63" spans="1:42" ht="15.75" x14ac:dyDescent="0.25">
      <c r="A63" s="271" t="str">
        <f>A5</f>
        <v>Years Ended December 31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49"/>
      <c r="Q63" s="272" t="s">
        <v>17</v>
      </c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G63" s="49"/>
      <c r="AH63" s="49"/>
    </row>
    <row r="64" spans="1:42" ht="15.75" x14ac:dyDescent="0.25">
      <c r="A64" s="74"/>
      <c r="B64" s="66"/>
      <c r="C64" s="66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7"/>
      <c r="P64" s="49"/>
      <c r="Q64" s="74"/>
      <c r="R64" s="74"/>
      <c r="S64" s="7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75"/>
      <c r="AG64" s="49"/>
      <c r="AH64" s="49"/>
    </row>
    <row r="65" spans="1:40" x14ac:dyDescent="0.2">
      <c r="A65" s="115"/>
      <c r="B65" s="66"/>
      <c r="C65" s="66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268"/>
      <c r="O65" s="244" t="str">
        <f>+O7</f>
        <v>2011 to 2015</v>
      </c>
      <c r="P65" s="4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91"/>
      <c r="AE65" s="71"/>
      <c r="AG65" s="49"/>
      <c r="AH65" s="49"/>
    </row>
    <row r="66" spans="1:40" x14ac:dyDescent="0.2">
      <c r="A66" s="115"/>
      <c r="B66" s="66"/>
      <c r="C66" s="66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244" t="s">
        <v>4</v>
      </c>
      <c r="P66" s="7"/>
      <c r="Q66" s="107"/>
      <c r="R66" s="107"/>
      <c r="S66" s="107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121"/>
      <c r="AE66" s="125" t="str">
        <f>O7</f>
        <v>2011 to 2015</v>
      </c>
      <c r="AF66" s="132"/>
      <c r="AG66" s="7"/>
      <c r="AH66" s="7"/>
      <c r="AL66" s="1">
        <f>(+AL72+AM72+AI72)/3</f>
        <v>0.4820694753641413</v>
      </c>
    </row>
    <row r="67" spans="1:40" x14ac:dyDescent="0.2">
      <c r="A67" s="116" t="s">
        <v>0</v>
      </c>
      <c r="B67" s="134">
        <f>+C67-1</f>
        <v>2003</v>
      </c>
      <c r="C67" s="134">
        <f>+D67-1</f>
        <v>2004</v>
      </c>
      <c r="D67" s="124">
        <f>D9</f>
        <v>2005</v>
      </c>
      <c r="E67" s="119">
        <f>D67+1</f>
        <v>2006</v>
      </c>
      <c r="F67" s="119">
        <f>E67+1</f>
        <v>2007</v>
      </c>
      <c r="G67" s="120">
        <f>F67+1</f>
        <v>2008</v>
      </c>
      <c r="H67" s="120">
        <f>+H9</f>
        <v>2009</v>
      </c>
      <c r="I67" s="120">
        <f>+I9</f>
        <v>2010</v>
      </c>
      <c r="J67" s="120">
        <v>2011</v>
      </c>
      <c r="K67" s="120">
        <v>2012</v>
      </c>
      <c r="L67" s="120">
        <v>2013</v>
      </c>
      <c r="M67" s="120">
        <v>2014</v>
      </c>
      <c r="N67" s="120">
        <v>2015</v>
      </c>
      <c r="O67" s="245" t="s">
        <v>30</v>
      </c>
      <c r="P67" s="10"/>
      <c r="Q67" s="111" t="s">
        <v>0</v>
      </c>
      <c r="R67" s="114">
        <f>+R9</f>
        <v>2003</v>
      </c>
      <c r="S67" s="114">
        <f>+S9</f>
        <v>2004</v>
      </c>
      <c r="T67" s="113">
        <f>D67</f>
        <v>2005</v>
      </c>
      <c r="U67" s="113">
        <f>E67</f>
        <v>2006</v>
      </c>
      <c r="V67" s="113">
        <f>F67</f>
        <v>2007</v>
      </c>
      <c r="W67" s="114">
        <f>G67</f>
        <v>2008</v>
      </c>
      <c r="X67" s="114">
        <f>+X9</f>
        <v>2009</v>
      </c>
      <c r="Y67" s="114">
        <f>+Y9</f>
        <v>2010</v>
      </c>
      <c r="Z67" s="114">
        <v>2011</v>
      </c>
      <c r="AA67" s="114">
        <v>2012</v>
      </c>
      <c r="AB67" s="114">
        <v>2013</v>
      </c>
      <c r="AC67" s="114">
        <v>2014</v>
      </c>
      <c r="AD67" s="114">
        <f>+AD9</f>
        <v>2015</v>
      </c>
      <c r="AE67" s="129" t="s">
        <v>3</v>
      </c>
      <c r="AG67" s="10"/>
      <c r="AH67" s="10"/>
    </row>
    <row r="68" spans="1:40" x14ac:dyDescent="0.2">
      <c r="A68" s="37" t="s">
        <v>28</v>
      </c>
      <c r="B68" s="66"/>
      <c r="C68" s="66"/>
      <c r="D68" s="37"/>
      <c r="E68" s="98"/>
      <c r="F68" s="98"/>
      <c r="G68" s="81"/>
      <c r="H68" s="81"/>
      <c r="I68" s="130"/>
      <c r="J68" s="81"/>
      <c r="K68" s="81"/>
      <c r="L68" s="81"/>
      <c r="M68" s="81"/>
      <c r="N68" s="130"/>
      <c r="O68" s="216"/>
      <c r="P68" s="3"/>
      <c r="Q68" s="37" t="s">
        <v>27</v>
      </c>
      <c r="R68" s="37"/>
      <c r="S68" s="37"/>
      <c r="T68" s="95"/>
      <c r="U68" s="95"/>
      <c r="V68" s="95"/>
      <c r="W68" s="94"/>
      <c r="X68" s="94"/>
      <c r="Y68" s="94"/>
      <c r="Z68" s="94"/>
      <c r="AA68" s="94"/>
      <c r="AB68" s="94"/>
      <c r="AC68" s="94"/>
      <c r="AD68" s="94"/>
      <c r="AG68" s="3"/>
      <c r="AH68" s="3"/>
    </row>
    <row r="69" spans="1:40" x14ac:dyDescent="0.2">
      <c r="A69" s="37" t="s">
        <v>99</v>
      </c>
      <c r="B69" s="137">
        <v>188462368</v>
      </c>
      <c r="C69" s="137">
        <v>202425173</v>
      </c>
      <c r="D69" s="137">
        <v>215084261</v>
      </c>
      <c r="E69" s="137">
        <v>221364353</v>
      </c>
      <c r="F69" s="137">
        <v>245695664</v>
      </c>
      <c r="G69" s="137">
        <v>270371704</v>
      </c>
      <c r="H69" s="139">
        <v>227807740</v>
      </c>
      <c r="I69" s="139">
        <v>233233865</v>
      </c>
      <c r="J69" s="139">
        <v>224701383</v>
      </c>
      <c r="K69" s="139">
        <v>217816123</v>
      </c>
      <c r="L69" s="139">
        <v>229485880</v>
      </c>
      <c r="M69" s="139">
        <v>231841595</v>
      </c>
      <c r="N69" s="139">
        <v>226929746</v>
      </c>
      <c r="O69" s="67">
        <f>RATE(4,,-J69,N69)</f>
        <v>2.4700822758143277E-3</v>
      </c>
      <c r="P69" s="3"/>
      <c r="Q69" s="37" t="str">
        <f>A69</f>
        <v>Operating Revenues</v>
      </c>
      <c r="R69" s="67">
        <f t="shared" ref="R69:W69" si="98">B69/B$71</f>
        <v>1</v>
      </c>
      <c r="S69" s="67">
        <f t="shared" si="98"/>
        <v>1</v>
      </c>
      <c r="T69" s="67">
        <f t="shared" si="98"/>
        <v>1</v>
      </c>
      <c r="U69" s="67">
        <f t="shared" si="98"/>
        <v>1</v>
      </c>
      <c r="V69" s="67">
        <f t="shared" si="98"/>
        <v>1</v>
      </c>
      <c r="W69" s="67">
        <f t="shared" si="98"/>
        <v>1</v>
      </c>
      <c r="X69" s="67">
        <f t="shared" ref="X69:Y71" si="99">H69/H$71</f>
        <v>1</v>
      </c>
      <c r="Y69" s="67">
        <f t="shared" si="99"/>
        <v>1</v>
      </c>
      <c r="Z69" s="67">
        <f t="shared" ref="Z69" si="100">J69/J$71</f>
        <v>1</v>
      </c>
      <c r="AA69" s="67">
        <f t="shared" ref="AA69" si="101">K69/K$71</f>
        <v>1</v>
      </c>
      <c r="AB69" s="67">
        <f t="shared" ref="AB69" si="102">L69/L$71</f>
        <v>1</v>
      </c>
      <c r="AC69" s="67">
        <f t="shared" ref="AC69" si="103">M69/M$71</f>
        <v>1</v>
      </c>
      <c r="AD69" s="67">
        <f t="shared" ref="AD69:AD71" si="104">N69/N$71</f>
        <v>1</v>
      </c>
      <c r="AE69" s="67">
        <f>SUM(J69:N69)/SUM(J$71:N$71)</f>
        <v>1</v>
      </c>
      <c r="AG69" s="3"/>
      <c r="AH69" s="3"/>
      <c r="AI69" s="162">
        <f>(+H69-G69)/G69</f>
        <v>-0.15742758347227045</v>
      </c>
    </row>
    <row r="70" spans="1:40" x14ac:dyDescent="0.2">
      <c r="B70" s="141"/>
      <c r="C70" s="141"/>
      <c r="D70" s="141"/>
      <c r="E70" s="141"/>
      <c r="F70" s="141"/>
      <c r="G70" s="141"/>
      <c r="H70" s="148"/>
      <c r="I70" s="148"/>
      <c r="J70" s="148"/>
      <c r="K70" s="148"/>
      <c r="L70" s="148"/>
      <c r="M70" s="148"/>
      <c r="N70" s="148"/>
      <c r="O70" s="220"/>
      <c r="P70" s="3"/>
      <c r="Q70" s="37"/>
      <c r="R70" s="93">
        <f>B70/B$71</f>
        <v>0</v>
      </c>
      <c r="S70" s="93">
        <f>C70/C$71</f>
        <v>0</v>
      </c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68"/>
      <c r="AG70" s="227">
        <f t="shared" ref="AG70:AL70" si="105">+S67</f>
        <v>2004</v>
      </c>
      <c r="AH70" s="227">
        <f t="shared" si="105"/>
        <v>2005</v>
      </c>
      <c r="AI70" s="227">
        <f t="shared" si="105"/>
        <v>2006</v>
      </c>
      <c r="AJ70" s="227">
        <f t="shared" si="105"/>
        <v>2007</v>
      </c>
      <c r="AK70" s="227">
        <f t="shared" si="105"/>
        <v>2008</v>
      </c>
      <c r="AL70" s="227">
        <f t="shared" si="105"/>
        <v>2009</v>
      </c>
      <c r="AM70" s="227">
        <f t="shared" ref="AM70" si="106">+AD67</f>
        <v>2015</v>
      </c>
    </row>
    <row r="71" spans="1:40" x14ac:dyDescent="0.2">
      <c r="A71" s="37" t="s">
        <v>61</v>
      </c>
      <c r="B71" s="137">
        <f t="shared" ref="B71:H71" si="107">SUM(B68:B70)</f>
        <v>188462368</v>
      </c>
      <c r="C71" s="137">
        <f t="shared" si="107"/>
        <v>202425173</v>
      </c>
      <c r="D71" s="137">
        <f t="shared" si="107"/>
        <v>215084261</v>
      </c>
      <c r="E71" s="137">
        <f t="shared" si="107"/>
        <v>221364353</v>
      </c>
      <c r="F71" s="137">
        <f t="shared" si="107"/>
        <v>245695664</v>
      </c>
      <c r="G71" s="137">
        <f t="shared" si="107"/>
        <v>270371704</v>
      </c>
      <c r="H71" s="139">
        <f t="shared" si="107"/>
        <v>227807740</v>
      </c>
      <c r="I71" s="139">
        <f>SUM(I68:I70)</f>
        <v>233233865</v>
      </c>
      <c r="J71" s="139">
        <f t="shared" ref="J71:M71" si="108">SUM(J68:J70)</f>
        <v>224701383</v>
      </c>
      <c r="K71" s="139">
        <f t="shared" si="108"/>
        <v>217816123</v>
      </c>
      <c r="L71" s="139">
        <f t="shared" si="108"/>
        <v>229485880</v>
      </c>
      <c r="M71" s="139">
        <f t="shared" si="108"/>
        <v>231841595</v>
      </c>
      <c r="N71" s="139">
        <f>SUM(N68:N70)</f>
        <v>226929746</v>
      </c>
      <c r="O71" s="67">
        <f>RATE(4,,-J71,N71)</f>
        <v>2.4700822758143277E-3</v>
      </c>
      <c r="P71" s="3"/>
      <c r="Q71" s="37" t="str">
        <f>A71</f>
        <v>Total Revenues</v>
      </c>
      <c r="R71" s="67">
        <f>B71/B$71</f>
        <v>1</v>
      </c>
      <c r="S71" s="67">
        <f>C71/C$71</f>
        <v>1</v>
      </c>
      <c r="T71" s="67">
        <f>D71/D$71</f>
        <v>1</v>
      </c>
      <c r="U71" s="67">
        <f>E71/E$71</f>
        <v>1</v>
      </c>
      <c r="V71" s="67">
        <f>F71/F$71</f>
        <v>1</v>
      </c>
      <c r="W71" s="67">
        <f>G71/G$71</f>
        <v>1</v>
      </c>
      <c r="X71" s="67">
        <f t="shared" si="99"/>
        <v>1</v>
      </c>
      <c r="Y71" s="67">
        <f t="shared" si="99"/>
        <v>1</v>
      </c>
      <c r="Z71" s="67">
        <f t="shared" ref="Z71" si="109">J71/J$71</f>
        <v>1</v>
      </c>
      <c r="AA71" s="67">
        <f t="shared" ref="AA71" si="110">K71/K$71</f>
        <v>1</v>
      </c>
      <c r="AB71" s="67">
        <f t="shared" ref="AB71" si="111">L71/L$71</f>
        <v>1</v>
      </c>
      <c r="AC71" s="67">
        <f t="shared" ref="AC71" si="112">M71/M$71</f>
        <v>1</v>
      </c>
      <c r="AD71" s="67">
        <f t="shared" si="104"/>
        <v>1</v>
      </c>
      <c r="AE71" s="67">
        <f>SUM(J71:N71)/SUM(J$71:N$71)</f>
        <v>1</v>
      </c>
      <c r="AG71" s="3"/>
      <c r="AH71" s="1">
        <f>+AH72-AG72</f>
        <v>1.0872027860311329E-2</v>
      </c>
      <c r="AI71" s="1">
        <f>+AI72-AH72</f>
        <v>4.0919946299975196E-2</v>
      </c>
      <c r="AJ71" s="1">
        <f t="shared" ref="AJ71:AM71" si="113">+AJ72-AI72</f>
        <v>5.193470140279749E-2</v>
      </c>
      <c r="AK71" s="1">
        <f t="shared" si="113"/>
        <v>-0.12002041843119127</v>
      </c>
      <c r="AL71" s="1">
        <f t="shared" si="113"/>
        <v>6.5087819088437082E-2</v>
      </c>
      <c r="AM71" s="1">
        <f t="shared" si="113"/>
        <v>-1.5246058967882559E-2</v>
      </c>
    </row>
    <row r="72" spans="1:40" x14ac:dyDescent="0.2">
      <c r="B72" s="137"/>
      <c r="C72" s="137"/>
      <c r="D72" s="137"/>
      <c r="E72" s="137"/>
      <c r="F72" s="137"/>
      <c r="G72" s="137"/>
      <c r="H72" s="139"/>
      <c r="I72" s="139"/>
      <c r="J72" s="139"/>
      <c r="K72" s="139"/>
      <c r="L72" s="139"/>
      <c r="M72" s="139"/>
      <c r="N72" s="139"/>
      <c r="O72" s="216"/>
      <c r="P72" s="3"/>
      <c r="Q72" s="3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G72" s="3">
        <f t="shared" ref="AG72:AL72" si="114">+S74+S75</f>
        <v>0.43735811948645342</v>
      </c>
      <c r="AH72" s="3">
        <f t="shared" si="114"/>
        <v>0.44823014734676475</v>
      </c>
      <c r="AI72" s="3">
        <f t="shared" si="114"/>
        <v>0.48915009364673995</v>
      </c>
      <c r="AJ72" s="3">
        <f t="shared" si="114"/>
        <v>0.54108479504953744</v>
      </c>
      <c r="AK72" s="3">
        <f t="shared" si="114"/>
        <v>0.42106437661834617</v>
      </c>
      <c r="AL72" s="3">
        <f t="shared" si="114"/>
        <v>0.48615219570678325</v>
      </c>
      <c r="AM72" s="3">
        <f t="shared" ref="AM72" si="115">+AD74+AD75</f>
        <v>0.47090613673890069</v>
      </c>
    </row>
    <row r="73" spans="1:40" x14ac:dyDescent="0.2">
      <c r="A73" s="37" t="s">
        <v>26</v>
      </c>
      <c r="B73" s="137"/>
      <c r="C73" s="137"/>
      <c r="D73" s="137"/>
      <c r="E73" s="137"/>
      <c r="F73" s="137"/>
      <c r="G73" s="137"/>
      <c r="H73" s="139"/>
      <c r="I73" s="139"/>
      <c r="J73" s="139"/>
      <c r="K73" s="139"/>
      <c r="L73" s="139"/>
      <c r="M73" s="139"/>
      <c r="N73" s="139"/>
      <c r="O73" s="216"/>
      <c r="P73" s="3"/>
      <c r="Q73" s="37" t="s">
        <v>26</v>
      </c>
      <c r="T73" s="67"/>
      <c r="U73" s="67"/>
      <c r="V73" s="216"/>
      <c r="W73" s="216"/>
      <c r="X73" s="216"/>
      <c r="Y73" s="216"/>
      <c r="Z73" s="216"/>
      <c r="AA73" s="216"/>
      <c r="AB73" s="216"/>
      <c r="AC73" s="216"/>
      <c r="AD73" s="216"/>
      <c r="AG73" s="3"/>
      <c r="AH73" s="3"/>
    </row>
    <row r="74" spans="1:40" x14ac:dyDescent="0.2">
      <c r="A74" s="83" t="s">
        <v>133</v>
      </c>
      <c r="B74" s="137">
        <v>70591242</v>
      </c>
      <c r="C74" s="137">
        <v>69611553</v>
      </c>
      <c r="D74" s="137">
        <v>70369709</v>
      </c>
      <c r="E74" s="137">
        <v>80318926</v>
      </c>
      <c r="F74" s="137">
        <v>93543876</v>
      </c>
      <c r="G74" s="139">
        <v>91021155</v>
      </c>
      <c r="H74" s="139">
        <v>77849123</v>
      </c>
      <c r="I74" s="139">
        <v>93442199</v>
      </c>
      <c r="J74" s="139">
        <v>91678804</v>
      </c>
      <c r="K74" s="139">
        <v>92556211</v>
      </c>
      <c r="L74" s="139">
        <v>104691201</v>
      </c>
      <c r="M74" s="139">
        <v>106975160</v>
      </c>
      <c r="N74" s="139">
        <v>76628853</v>
      </c>
      <c r="O74" s="67">
        <f t="shared" ref="O74:O84" si="116">RATE(4,,-J74,N74)</f>
        <v>-4.3839394509776905E-2</v>
      </c>
      <c r="P74" s="3"/>
      <c r="Q74" s="88" t="str">
        <f t="shared" ref="Q74:Q83" si="117">A74</f>
        <v>Fuel (5)</v>
      </c>
      <c r="R74" s="67">
        <f t="shared" ref="R74:W81" si="118">B74/B$71</f>
        <v>0.37456412518386695</v>
      </c>
      <c r="S74" s="67">
        <f t="shared" si="118"/>
        <v>0.34388782762705111</v>
      </c>
      <c r="T74" s="67">
        <f t="shared" si="118"/>
        <v>0.32717274928824291</v>
      </c>
      <c r="U74" s="67">
        <f t="shared" si="118"/>
        <v>0.36283586273712282</v>
      </c>
      <c r="V74" s="216">
        <f t="shared" si="118"/>
        <v>0.38073067500287672</v>
      </c>
      <c r="W74" s="216">
        <f t="shared" si="118"/>
        <v>0.33665192641608682</v>
      </c>
      <c r="X74" s="216">
        <f t="shared" ref="X74:Y84" si="119">H74/H$71</f>
        <v>0.34173168567494677</v>
      </c>
      <c r="Y74" s="216">
        <f t="shared" si="119"/>
        <v>0.40063735598601857</v>
      </c>
      <c r="Z74" s="216">
        <f t="shared" ref="Z74:Z81" si="120">J74/J$71</f>
        <v>0.40800284704967749</v>
      </c>
      <c r="AA74" s="216">
        <f t="shared" ref="AA74:AA81" si="121">K74/K$71</f>
        <v>0.42492819046274183</v>
      </c>
      <c r="AB74" s="216">
        <f t="shared" ref="AB74:AB81" si="122">L74/L$71</f>
        <v>0.45619887811833998</v>
      </c>
      <c r="AC74" s="216">
        <f t="shared" ref="AC74:AC81" si="123">M74/M$71</f>
        <v>0.4614148725124152</v>
      </c>
      <c r="AD74" s="216">
        <f t="shared" ref="AD74:AD84" si="124">N74/N$71</f>
        <v>0.33767654681991316</v>
      </c>
      <c r="AE74" s="67">
        <f t="shared" ref="AE74:AE81" si="125">SUM(J74:N74)/SUM(J$71:N$71)</f>
        <v>0.41788184482478269</v>
      </c>
      <c r="AG74" s="3">
        <f>+C74/(C74+C75)</f>
        <v>0.78628431096888007</v>
      </c>
      <c r="AH74" s="3">
        <f>+D74/(D74+D75)</f>
        <v>0.72992133890345379</v>
      </c>
      <c r="AI74" s="3">
        <f>+E74/(E74+E75)</f>
        <v>0.74176795108447791</v>
      </c>
      <c r="AJ74" s="3">
        <f>+F74/(F74+F75)</f>
        <v>0.70364327086297085</v>
      </c>
      <c r="AK74" s="3">
        <f>+G74/(G74+G75)</f>
        <v>0.79952602288468821</v>
      </c>
      <c r="AL74" s="3">
        <f t="shared" ref="AL74" si="126">+H74/(H74+H75)</f>
        <v>0.70293148666772254</v>
      </c>
      <c r="AM74" s="3">
        <f t="shared" ref="AM74" si="127">+N74/(N74+N75)</f>
        <v>0.71707824654479246</v>
      </c>
      <c r="AN74" s="1">
        <f>AVERAGE(AG74:AM74)</f>
        <v>0.74016466113099799</v>
      </c>
    </row>
    <row r="75" spans="1:40" x14ac:dyDescent="0.2">
      <c r="A75" s="83" t="s">
        <v>132</v>
      </c>
      <c r="B75" s="137">
        <f>95414998-B74</f>
        <v>24823756</v>
      </c>
      <c r="C75" s="137">
        <f>88532293-C74</f>
        <v>18920740</v>
      </c>
      <c r="D75" s="137">
        <f>96407250-D74</f>
        <v>26037541</v>
      </c>
      <c r="E75" s="137">
        <f>108280394-E74</f>
        <v>27961468</v>
      </c>
      <c r="F75" s="137">
        <f>132942188-F74</f>
        <v>39398312</v>
      </c>
      <c r="G75" s="139">
        <f>113843893-G74</f>
        <v>22822738</v>
      </c>
      <c r="H75" s="139">
        <f>110749233-H74</f>
        <v>32900110</v>
      </c>
      <c r="I75" s="139">
        <f>117011576-I74</f>
        <v>23569377</v>
      </c>
      <c r="J75" s="139">
        <f>123550082-J74</f>
        <v>31871278</v>
      </c>
      <c r="K75" s="139">
        <f>127586319-K74</f>
        <v>35030108</v>
      </c>
      <c r="L75" s="139">
        <f>128296841-L74</f>
        <v>23605640</v>
      </c>
      <c r="M75" s="139">
        <f>136197323-M74</f>
        <v>29222163</v>
      </c>
      <c r="N75" s="139">
        <f>106862610-N74</f>
        <v>30233757</v>
      </c>
      <c r="O75" s="67">
        <f t="shared" si="116"/>
        <v>-1.3099975137823242E-2</v>
      </c>
      <c r="P75" s="3"/>
      <c r="Q75" s="88" t="str">
        <f t="shared" si="117"/>
        <v>Power Production (21 - 5)</v>
      </c>
      <c r="R75" s="67">
        <f t="shared" si="118"/>
        <v>0.13171730920838265</v>
      </c>
      <c r="S75" s="67">
        <f t="shared" si="118"/>
        <v>9.3470291859402282E-2</v>
      </c>
      <c r="T75" s="67">
        <f t="shared" si="118"/>
        <v>0.12105739805852182</v>
      </c>
      <c r="U75" s="67">
        <f t="shared" si="118"/>
        <v>0.12631423090961713</v>
      </c>
      <c r="V75" s="216">
        <f t="shared" si="118"/>
        <v>0.16035412004666066</v>
      </c>
      <c r="W75" s="216">
        <f t="shared" si="118"/>
        <v>8.4412450202259334E-2</v>
      </c>
      <c r="X75" s="216">
        <f t="shared" ref="X75:X79" si="128">H75/H$71</f>
        <v>0.14442051003183651</v>
      </c>
      <c r="Y75" s="216">
        <f t="shared" si="119"/>
        <v>0.10105469460877819</v>
      </c>
      <c r="Z75" s="216">
        <f t="shared" si="120"/>
        <v>0.14183837043851216</v>
      </c>
      <c r="AA75" s="216">
        <f t="shared" si="121"/>
        <v>0.160824219610226</v>
      </c>
      <c r="AB75" s="216">
        <f t="shared" si="122"/>
        <v>0.10286314783288628</v>
      </c>
      <c r="AC75" s="216">
        <f t="shared" si="123"/>
        <v>0.12604365924932495</v>
      </c>
      <c r="AD75" s="216">
        <f t="shared" ref="AD75:AD79" si="129">N75/N$71</f>
        <v>0.13322958991898753</v>
      </c>
      <c r="AE75" s="67">
        <f t="shared" si="125"/>
        <v>0.13261964776826851</v>
      </c>
      <c r="AG75" s="3"/>
      <c r="AH75" s="3"/>
      <c r="AI75" s="3"/>
      <c r="AK75">
        <f>15692247-14152538+285555+173547</f>
        <v>1998811</v>
      </c>
    </row>
    <row r="76" spans="1:40" x14ac:dyDescent="0.2">
      <c r="A76" s="83" t="s">
        <v>134</v>
      </c>
      <c r="B76" s="137">
        <v>42496959</v>
      </c>
      <c r="C76" s="137">
        <v>54019327</v>
      </c>
      <c r="D76" s="137">
        <v>57667971</v>
      </c>
      <c r="E76" s="137">
        <v>51852157</v>
      </c>
      <c r="F76" s="137">
        <v>72983317</v>
      </c>
      <c r="G76" s="139">
        <v>83805104</v>
      </c>
      <c r="H76" s="139">
        <v>57188185</v>
      </c>
      <c r="I76" s="139">
        <v>53947271</v>
      </c>
      <c r="J76" s="139">
        <v>44719172</v>
      </c>
      <c r="K76" s="139">
        <v>34397839</v>
      </c>
      <c r="L76" s="139">
        <v>35717891</v>
      </c>
      <c r="M76" s="139">
        <v>33399581</v>
      </c>
      <c r="N76" s="139">
        <v>32159242</v>
      </c>
      <c r="O76" s="67">
        <f t="shared" si="116"/>
        <v>-7.9120060222587926E-2</v>
      </c>
      <c r="P76" s="3"/>
      <c r="Q76" s="88" t="str">
        <f t="shared" si="117"/>
        <v>Cost of Purchased Power (79)</v>
      </c>
      <c r="R76" s="67">
        <f t="shared" si="118"/>
        <v>0.2254930756255806</v>
      </c>
      <c r="S76" s="67">
        <f t="shared" si="118"/>
        <v>0.26686071796021138</v>
      </c>
      <c r="T76" s="67">
        <f t="shared" si="118"/>
        <v>0.26811804235178321</v>
      </c>
      <c r="U76" s="67">
        <f t="shared" si="118"/>
        <v>0.23423896529537436</v>
      </c>
      <c r="V76" s="216">
        <f t="shared" si="118"/>
        <v>0.29704763939179651</v>
      </c>
      <c r="W76" s="216">
        <f t="shared" si="118"/>
        <v>0.30996255436552633</v>
      </c>
      <c r="X76" s="216">
        <f t="shared" si="128"/>
        <v>0.2510370587057314</v>
      </c>
      <c r="Y76" s="216">
        <f t="shared" si="119"/>
        <v>0.23130119204601784</v>
      </c>
      <c r="Z76" s="216">
        <f t="shared" si="120"/>
        <v>0.1990160069464281</v>
      </c>
      <c r="AA76" s="216">
        <f t="shared" si="121"/>
        <v>0.15792145469415045</v>
      </c>
      <c r="AB76" s="216">
        <f t="shared" si="122"/>
        <v>0.15564308793203313</v>
      </c>
      <c r="AC76" s="216">
        <f t="shared" si="123"/>
        <v>0.1440620739345759</v>
      </c>
      <c r="AD76" s="216">
        <f t="shared" si="129"/>
        <v>0.14171452868942092</v>
      </c>
      <c r="AE76" s="67">
        <f t="shared" si="125"/>
        <v>0.1595310902274879</v>
      </c>
      <c r="AG76" s="3"/>
      <c r="AH76" s="3"/>
      <c r="AI76" s="3"/>
    </row>
    <row r="77" spans="1:40" x14ac:dyDescent="0.2">
      <c r="A77" s="83" t="s">
        <v>135</v>
      </c>
      <c r="B77" s="137">
        <f>6082480+611236</f>
        <v>6693716</v>
      </c>
      <c r="C77" s="137">
        <f>6139178+174751</f>
        <v>6313929</v>
      </c>
      <c r="D77" s="137">
        <v>8859648</v>
      </c>
      <c r="E77" s="137">
        <v>8200768</v>
      </c>
      <c r="F77" s="137">
        <v>9884814</v>
      </c>
      <c r="G77" s="139">
        <v>10740403</v>
      </c>
      <c r="H77" s="139">
        <v>10646809</v>
      </c>
      <c r="I77" s="139">
        <v>8599813</v>
      </c>
      <c r="J77" s="139">
        <v>7674856</v>
      </c>
      <c r="K77" s="139">
        <v>8133862</v>
      </c>
      <c r="L77" s="139">
        <v>9314000</v>
      </c>
      <c r="M77" s="139">
        <v>9127524</v>
      </c>
      <c r="N77" s="139">
        <v>9208687</v>
      </c>
      <c r="O77" s="67">
        <f t="shared" si="116"/>
        <v>4.6602743865906654E-2</v>
      </c>
      <c r="P77" s="3"/>
      <c r="Q77" s="88" t="str">
        <f t="shared" si="117"/>
        <v>Operations / Transmission (99)</v>
      </c>
      <c r="R77" s="67">
        <f t="shared" si="118"/>
        <v>3.551752039961633E-2</v>
      </c>
      <c r="S77" s="67">
        <f t="shared" si="118"/>
        <v>3.1191422027338468E-2</v>
      </c>
      <c r="T77" s="67">
        <f t="shared" si="118"/>
        <v>4.1191521679961512E-2</v>
      </c>
      <c r="U77" s="67">
        <f t="shared" si="118"/>
        <v>3.7046470621220573E-2</v>
      </c>
      <c r="V77" s="216">
        <f t="shared" si="118"/>
        <v>4.023194320596557E-2</v>
      </c>
      <c r="W77" s="216">
        <f t="shared" si="118"/>
        <v>3.9724582273594725E-2</v>
      </c>
      <c r="X77" s="216">
        <f t="shared" si="128"/>
        <v>4.6735940578665147E-2</v>
      </c>
      <c r="Y77" s="216">
        <f t="shared" si="119"/>
        <v>3.6872059724260026E-2</v>
      </c>
      <c r="Z77" s="216">
        <f t="shared" si="120"/>
        <v>3.4155802236428605E-2</v>
      </c>
      <c r="AA77" s="216">
        <f t="shared" si="121"/>
        <v>3.7342791194571026E-2</v>
      </c>
      <c r="AB77" s="216">
        <f t="shared" si="122"/>
        <v>4.0586375074579753E-2</v>
      </c>
      <c r="AC77" s="216">
        <f t="shared" si="123"/>
        <v>3.9369656683046886E-2</v>
      </c>
      <c r="AD77" s="216">
        <f t="shared" si="129"/>
        <v>4.0579461980272964E-2</v>
      </c>
      <c r="AE77" s="67">
        <f t="shared" si="125"/>
        <v>3.8432879655259572E-2</v>
      </c>
      <c r="AG77" s="3"/>
      <c r="AH77" s="3"/>
      <c r="AI77" s="3"/>
    </row>
    <row r="78" spans="1:40" x14ac:dyDescent="0.2">
      <c r="A78" s="83" t="s">
        <v>136</v>
      </c>
      <c r="B78" s="137">
        <f>1093648+4463</f>
        <v>1098111</v>
      </c>
      <c r="C78" s="137">
        <f>1206537</f>
        <v>1206537</v>
      </c>
      <c r="D78" s="137">
        <f>1612849+25768</f>
        <v>1638617</v>
      </c>
      <c r="E78" s="137">
        <f>1114128+15010</f>
        <v>1129138</v>
      </c>
      <c r="F78" s="137">
        <f>1270468+51165</f>
        <v>1321633</v>
      </c>
      <c r="G78" s="139">
        <f>1316287+21163</f>
        <v>1337450</v>
      </c>
      <c r="H78" s="139">
        <f>25768+1255775</f>
        <v>1281543</v>
      </c>
      <c r="I78" s="139">
        <f>1490658+12306</f>
        <v>1502964</v>
      </c>
      <c r="J78" s="139">
        <f>1997359+28108</f>
        <v>2025467</v>
      </c>
      <c r="K78" s="139">
        <f>2299865+20392</f>
        <v>2320257</v>
      </c>
      <c r="L78" s="139">
        <f>2150886+53810</f>
        <v>2204696</v>
      </c>
      <c r="M78" s="139">
        <f>2259322+32542</f>
        <v>2291864</v>
      </c>
      <c r="N78" s="139">
        <f>2198748+26302</f>
        <v>2225050</v>
      </c>
      <c r="O78" s="67">
        <f t="shared" si="116"/>
        <v>2.3772950500699965E-2</v>
      </c>
      <c r="P78" s="3"/>
      <c r="Q78" s="88" t="str">
        <f t="shared" si="117"/>
        <v>Maintenance (111+156)</v>
      </c>
      <c r="R78" s="67">
        <f t="shared" si="118"/>
        <v>5.826685781641033E-3</v>
      </c>
      <c r="S78" s="67">
        <f t="shared" si="118"/>
        <v>5.9604098745169405E-3</v>
      </c>
      <c r="T78" s="67">
        <f t="shared" si="118"/>
        <v>7.6184886443178661E-3</v>
      </c>
      <c r="U78" s="67">
        <f t="shared" si="118"/>
        <v>5.1008122342082783E-3</v>
      </c>
      <c r="V78" s="216">
        <f t="shared" si="118"/>
        <v>5.3791466177441375E-3</v>
      </c>
      <c r="W78" s="216">
        <f t="shared" si="118"/>
        <v>4.946708476564545E-3</v>
      </c>
      <c r="X78" s="216">
        <f t="shared" si="128"/>
        <v>5.6255463488641784E-3</v>
      </c>
      <c r="Y78" s="216">
        <f t="shared" si="119"/>
        <v>6.4440213259768257E-3</v>
      </c>
      <c r="Z78" s="216">
        <f t="shared" si="120"/>
        <v>9.0140388677536539E-3</v>
      </c>
      <c r="AA78" s="216">
        <f t="shared" si="121"/>
        <v>1.0652365711238006E-2</v>
      </c>
      <c r="AB78" s="216">
        <f t="shared" si="122"/>
        <v>9.6071095964597036E-3</v>
      </c>
      <c r="AC78" s="216">
        <f t="shared" si="123"/>
        <v>9.8854737433979444E-3</v>
      </c>
      <c r="AD78" s="216">
        <f t="shared" si="129"/>
        <v>9.8050169236077143E-3</v>
      </c>
      <c r="AE78" s="67">
        <f t="shared" si="125"/>
        <v>9.7873906585816371E-3</v>
      </c>
      <c r="AG78" s="3"/>
      <c r="AH78" s="3"/>
      <c r="AI78" s="3"/>
    </row>
    <row r="79" spans="1:40" x14ac:dyDescent="0.2">
      <c r="A79" s="83" t="s">
        <v>137</v>
      </c>
      <c r="B79" s="137">
        <f>47041+625754+13406158</f>
        <v>14078953</v>
      </c>
      <c r="C79" s="137">
        <f>74142+493401+15120539</f>
        <v>15688082</v>
      </c>
      <c r="D79" s="137">
        <f>48288+876746+8505967+11262</f>
        <v>9442263</v>
      </c>
      <c r="E79" s="137">
        <f>-3581082+1479038+12310881+1</f>
        <v>10208838</v>
      </c>
      <c r="F79" s="137">
        <f>35618+896828+11819640</f>
        <v>12752086</v>
      </c>
      <c r="G79" s="139">
        <f>42868+1324071+11190297</f>
        <v>12557236</v>
      </c>
      <c r="H79" s="139">
        <f>32425+1064819+15507822</f>
        <v>16605066</v>
      </c>
      <c r="I79" s="139">
        <f>38475+1104911+14052180</f>
        <v>15195566</v>
      </c>
      <c r="J79" s="139">
        <f>38989+1152666+14360748</f>
        <v>15552403</v>
      </c>
      <c r="K79" s="139">
        <f>50457+1015432+14913588</f>
        <v>15979477</v>
      </c>
      <c r="L79" s="139">
        <f>47714+1320478+21293026</f>
        <v>22661218</v>
      </c>
      <c r="M79" s="139">
        <f>53353+4625000+1366845+17003871</f>
        <v>23049069</v>
      </c>
      <c r="N79" s="139">
        <f>168572+835971+13203568</f>
        <v>14208111</v>
      </c>
      <c r="O79" s="67">
        <f t="shared" si="116"/>
        <v>-2.2347061397083475E-2</v>
      </c>
      <c r="P79" s="3"/>
      <c r="Q79" s="88" t="str">
        <f t="shared" si="117"/>
        <v>Sales General &amp; Admin(164, 178, 197)</v>
      </c>
      <c r="R79" s="67">
        <f t="shared" si="118"/>
        <v>7.4704319750455439E-2</v>
      </c>
      <c r="S79" s="67">
        <f t="shared" si="118"/>
        <v>7.7500647609672541E-2</v>
      </c>
      <c r="T79" s="67">
        <f t="shared" si="118"/>
        <v>4.3900297288605415E-2</v>
      </c>
      <c r="U79" s="67">
        <f t="shared" si="118"/>
        <v>4.6117804703632657E-2</v>
      </c>
      <c r="V79" s="216">
        <f t="shared" si="118"/>
        <v>5.1901957862797284E-2</v>
      </c>
      <c r="W79" s="216">
        <f t="shared" si="118"/>
        <v>4.6444342415358671E-2</v>
      </c>
      <c r="X79" s="216">
        <f t="shared" si="128"/>
        <v>7.2890701606538919E-2</v>
      </c>
      <c r="Y79" s="216">
        <f t="shared" si="119"/>
        <v>6.515162795934458E-2</v>
      </c>
      <c r="Z79" s="216">
        <f t="shared" si="120"/>
        <v>6.9213650545266112E-2</v>
      </c>
      <c r="AA79" s="216">
        <f t="shared" si="121"/>
        <v>7.3362232234755187E-2</v>
      </c>
      <c r="AB79" s="216">
        <f t="shared" si="122"/>
        <v>9.8747766093495601E-2</v>
      </c>
      <c r="AC79" s="216">
        <f t="shared" si="123"/>
        <v>9.9417315516656959E-2</v>
      </c>
      <c r="AD79" s="216">
        <f t="shared" si="129"/>
        <v>6.2610174516301617E-2</v>
      </c>
      <c r="AE79" s="67">
        <f t="shared" si="125"/>
        <v>8.087400241303766E-2</v>
      </c>
      <c r="AG79" s="3"/>
      <c r="AH79" s="3"/>
      <c r="AI79" s="3"/>
    </row>
    <row r="80" spans="1:40" x14ac:dyDescent="0.2">
      <c r="A80" s="84" t="s">
        <v>138</v>
      </c>
      <c r="B80" s="137">
        <f>12781839+330483</f>
        <v>13112322</v>
      </c>
      <c r="C80" s="137">
        <f>12940285+330483</f>
        <v>13270768</v>
      </c>
      <c r="D80" s="137">
        <f>12850783+330483</f>
        <v>13181266</v>
      </c>
      <c r="E80" s="137">
        <f>12979641+330483</f>
        <v>13310124</v>
      </c>
      <c r="F80" s="137">
        <f>13161290+330483</f>
        <v>13491773</v>
      </c>
      <c r="G80" s="139">
        <f>13232784+330483</f>
        <v>13563267</v>
      </c>
      <c r="H80" s="139">
        <f>13631162+592579</f>
        <v>14223741</v>
      </c>
      <c r="I80" s="139">
        <f>13727747+330483</f>
        <v>14058230</v>
      </c>
      <c r="J80" s="139">
        <f>13990400+330483</f>
        <v>14320883</v>
      </c>
      <c r="K80" s="139">
        <f>14135852+40446</f>
        <v>14176298</v>
      </c>
      <c r="L80" s="139">
        <f>13933890</f>
        <v>13933890</v>
      </c>
      <c r="M80" s="139">
        <v>13769011</v>
      </c>
      <c r="N80" s="139">
        <v>13806899</v>
      </c>
      <c r="O80" s="67">
        <f t="shared" si="116"/>
        <v>-9.0959856568626068E-3</v>
      </c>
      <c r="P80" s="3"/>
      <c r="Q80" s="88" t="str">
        <f t="shared" si="117"/>
        <v>Depreciation and Amortization (6, 9)</v>
      </c>
      <c r="R80" s="67">
        <f t="shared" si="118"/>
        <v>6.9575279877625226E-2</v>
      </c>
      <c r="S80" s="67">
        <f t="shared" si="118"/>
        <v>6.5558881849146308E-2</v>
      </c>
      <c r="T80" s="67">
        <f t="shared" si="118"/>
        <v>6.1284195964482958E-2</v>
      </c>
      <c r="U80" s="67">
        <f t="shared" si="118"/>
        <v>6.0127675570239625E-2</v>
      </c>
      <c r="V80" s="216">
        <f t="shared" si="118"/>
        <v>5.491254009268963E-2</v>
      </c>
      <c r="W80" s="216">
        <f t="shared" si="118"/>
        <v>5.0165260636889725E-2</v>
      </c>
      <c r="X80" s="216">
        <f t="shared" si="119"/>
        <v>6.2437479077752142E-2</v>
      </c>
      <c r="Y80" s="216">
        <f t="shared" si="119"/>
        <v>6.027525205226951E-2</v>
      </c>
      <c r="Z80" s="216">
        <f t="shared" si="120"/>
        <v>6.3732954416217361E-2</v>
      </c>
      <c r="AA80" s="216">
        <f t="shared" si="121"/>
        <v>6.5083786290696208E-2</v>
      </c>
      <c r="AB80" s="216">
        <f t="shared" si="122"/>
        <v>6.0717853316291183E-2</v>
      </c>
      <c r="AC80" s="216">
        <f t="shared" si="123"/>
        <v>5.9389735478657314E-2</v>
      </c>
      <c r="AD80" s="216">
        <f t="shared" si="124"/>
        <v>6.0842173594994463E-2</v>
      </c>
      <c r="AE80" s="67">
        <f t="shared" si="125"/>
        <v>6.1910634654642402E-2</v>
      </c>
      <c r="AG80" s="3"/>
      <c r="AH80" s="3">
        <f>(AD80+X80+U80+T80)/4</f>
        <v>6.1172881051867294E-2</v>
      </c>
    </row>
    <row r="81" spans="1:43" x14ac:dyDescent="0.2">
      <c r="A81" s="84" t="s">
        <v>190</v>
      </c>
      <c r="B81" s="137">
        <v>5162210</v>
      </c>
      <c r="C81" s="137">
        <v>5055621</v>
      </c>
      <c r="D81" s="243">
        <f>5127712+100</f>
        <v>5127812</v>
      </c>
      <c r="E81" s="243">
        <f>3926087+133407</f>
        <v>4059494</v>
      </c>
      <c r="F81" s="243">
        <f>3640016+27952</f>
        <v>3667968</v>
      </c>
      <c r="G81" s="243">
        <f>3352450+154840</f>
        <v>3507290</v>
      </c>
      <c r="H81" s="243">
        <f>3665294+100</f>
        <v>3665394</v>
      </c>
      <c r="I81" s="243">
        <f>3897839+88546</f>
        <v>3986385</v>
      </c>
      <c r="J81" s="243">
        <f>4027449+80670</f>
        <v>4108119</v>
      </c>
      <c r="K81" s="243">
        <f>3905767+238546</f>
        <v>4144313</v>
      </c>
      <c r="L81" s="243">
        <f>3922105+182424</f>
        <v>4104529</v>
      </c>
      <c r="M81" s="243">
        <f>3510605+357561</f>
        <v>3868166</v>
      </c>
      <c r="N81" s="243">
        <f>3580917+152553</f>
        <v>3733470</v>
      </c>
      <c r="O81" s="67">
        <f t="shared" si="116"/>
        <v>-2.3623287241924966E-2</v>
      </c>
      <c r="P81" s="3"/>
      <c r="Q81" s="88" t="str">
        <f t="shared" si="117"/>
        <v>Taxes, other than income taxes (14, 16, 17)</v>
      </c>
      <c r="R81" s="67">
        <f t="shared" si="118"/>
        <v>2.7391197801356289E-2</v>
      </c>
      <c r="S81" s="67">
        <f t="shared" si="118"/>
        <v>2.497525838844164E-2</v>
      </c>
      <c r="T81" s="67">
        <f t="shared" si="118"/>
        <v>2.3840944828594408E-2</v>
      </c>
      <c r="U81" s="67">
        <f t="shared" si="118"/>
        <v>1.8338517222779765E-2</v>
      </c>
      <c r="V81" s="216">
        <f t="shared" si="118"/>
        <v>1.4928908147113252E-2</v>
      </c>
      <c r="W81" s="216">
        <f t="shared" si="118"/>
        <v>1.2972104506912455E-2</v>
      </c>
      <c r="X81" s="216">
        <f t="shared" si="119"/>
        <v>1.6089857175177628E-2</v>
      </c>
      <c r="Y81" s="216">
        <f t="shared" si="119"/>
        <v>1.7091793252236333E-2</v>
      </c>
      <c r="Z81" s="216">
        <f t="shared" si="120"/>
        <v>1.8282571051198203E-2</v>
      </c>
      <c r="AA81" s="216">
        <f t="shared" si="121"/>
        <v>1.9026658554564393E-2</v>
      </c>
      <c r="AB81" s="216">
        <f t="shared" si="122"/>
        <v>1.7885758374327865E-2</v>
      </c>
      <c r="AC81" s="216">
        <f t="shared" si="123"/>
        <v>1.6684521170586324E-2</v>
      </c>
      <c r="AD81" s="216">
        <f t="shared" si="124"/>
        <v>1.6452096147853618E-2</v>
      </c>
      <c r="AE81" s="67">
        <f t="shared" si="125"/>
        <v>1.7650374140348115E-2</v>
      </c>
      <c r="AF81" s="166"/>
      <c r="AG81" s="3"/>
      <c r="AH81" s="3"/>
    </row>
    <row r="82" spans="1:43" x14ac:dyDescent="0.2">
      <c r="A82" s="84" t="s">
        <v>191</v>
      </c>
      <c r="B82" s="137"/>
      <c r="C82" s="137"/>
      <c r="D82" s="148">
        <v>-6233984</v>
      </c>
      <c r="E82" s="148">
        <v>2318619</v>
      </c>
      <c r="F82" s="148">
        <v>-2073361</v>
      </c>
      <c r="G82" s="148">
        <v>6265349</v>
      </c>
      <c r="H82" s="148">
        <v>1218103</v>
      </c>
      <c r="I82" s="148">
        <v>-1072887</v>
      </c>
      <c r="J82" s="148">
        <v>2548339</v>
      </c>
      <c r="K82" s="148">
        <v>5308876</v>
      </c>
      <c r="L82" s="148">
        <v>2657858</v>
      </c>
      <c r="M82" s="148">
        <v>-119165</v>
      </c>
      <c r="N82" s="148">
        <v>2135539</v>
      </c>
      <c r="O82" s="68">
        <f t="shared" si="116"/>
        <v>-4.321892469692902E-2</v>
      </c>
      <c r="P82" s="3"/>
      <c r="Q82" s="88" t="str">
        <f t="shared" si="117"/>
        <v>Provision for Deferred Income Taxes 17</v>
      </c>
      <c r="T82" s="67"/>
      <c r="U82" s="67"/>
      <c r="V82" s="216"/>
      <c r="W82" s="216"/>
      <c r="X82" s="216"/>
      <c r="Y82" s="216"/>
      <c r="Z82" s="216"/>
      <c r="AA82" s="216"/>
      <c r="AB82" s="216"/>
      <c r="AC82" s="216"/>
      <c r="AD82" s="216"/>
      <c r="AE82" s="68"/>
      <c r="AF82" s="166"/>
      <c r="AG82" s="3"/>
      <c r="AH82" s="3"/>
    </row>
    <row r="83" spans="1:43" x14ac:dyDescent="0.2">
      <c r="A83" s="37" t="s">
        <v>50</v>
      </c>
      <c r="B83" s="145">
        <f t="shared" ref="B83:C83" si="130">SUM(B73:B81)</f>
        <v>178057269</v>
      </c>
      <c r="C83" s="145">
        <f t="shared" si="130"/>
        <v>184086557</v>
      </c>
      <c r="D83" s="149">
        <f t="shared" ref="D83:H83" si="131">SUM(D73:D82)</f>
        <v>186090843</v>
      </c>
      <c r="E83" s="149">
        <f t="shared" si="131"/>
        <v>199359532</v>
      </c>
      <c r="F83" s="149">
        <f t="shared" si="131"/>
        <v>244970418</v>
      </c>
      <c r="G83" s="149">
        <f t="shared" si="131"/>
        <v>245619992</v>
      </c>
      <c r="H83" s="149">
        <f t="shared" si="131"/>
        <v>215578074</v>
      </c>
      <c r="I83" s="149">
        <f>SUM(I73:I82)</f>
        <v>213228918</v>
      </c>
      <c r="J83" s="149">
        <f t="shared" ref="J83:M83" si="132">SUM(J73:J82)</f>
        <v>214499321</v>
      </c>
      <c r="K83" s="149">
        <f t="shared" si="132"/>
        <v>212047241</v>
      </c>
      <c r="L83" s="149">
        <f t="shared" si="132"/>
        <v>218890923</v>
      </c>
      <c r="M83" s="149">
        <f t="shared" si="132"/>
        <v>221583373</v>
      </c>
      <c r="N83" s="149">
        <f>SUM(N73:N82)</f>
        <v>184339608</v>
      </c>
      <c r="O83" s="106">
        <f t="shared" si="116"/>
        <v>-3.7173168438761166E-2</v>
      </c>
      <c r="P83" s="3"/>
      <c r="Q83" s="88" t="str">
        <f t="shared" si="117"/>
        <v>Total Operating Expenses</v>
      </c>
      <c r="R83" s="95">
        <f t="shared" ref="R83:W84" si="133">B83/B$71</f>
        <v>0.94478951362852448</v>
      </c>
      <c r="S83" s="95">
        <f t="shared" si="133"/>
        <v>0.9094054571957807</v>
      </c>
      <c r="T83" s="95">
        <f t="shared" si="133"/>
        <v>0.865199722819328</v>
      </c>
      <c r="U83" s="95">
        <f t="shared" si="133"/>
        <v>0.90059455959469681</v>
      </c>
      <c r="V83" s="233">
        <f t="shared" si="133"/>
        <v>0.99704819373613363</v>
      </c>
      <c r="W83" s="233">
        <f t="shared" si="133"/>
        <v>0.90845302361966107</v>
      </c>
      <c r="X83" s="233">
        <f t="shared" si="119"/>
        <v>0.94631584510693101</v>
      </c>
      <c r="Y83" s="233">
        <f t="shared" si="119"/>
        <v>0.91422794884439273</v>
      </c>
      <c r="Z83" s="233">
        <f t="shared" ref="Z83:Z84" si="134">J83/J$71</f>
        <v>0.95459724429021431</v>
      </c>
      <c r="AA83" s="233">
        <f t="shared" ref="AA83:AA84" si="135">K83/K$71</f>
        <v>0.97351489907843047</v>
      </c>
      <c r="AB83" s="233">
        <f t="shared" ref="AB83:AB84" si="136">L83/L$71</f>
        <v>0.95383176951889148</v>
      </c>
      <c r="AC83" s="233">
        <f t="shared" ref="AC83:AC84" si="137">M83/M$71</f>
        <v>0.95575331510292616</v>
      </c>
      <c r="AD83" s="233">
        <f t="shared" si="124"/>
        <v>0.81232016185308731</v>
      </c>
      <c r="AE83" s="106">
        <f>SUM(J83:N83)/SUM(J$71:N$71)</f>
        <v>0.92977004251705386</v>
      </c>
      <c r="AG83" s="3"/>
      <c r="AH83" s="3"/>
    </row>
    <row r="84" spans="1:43" x14ac:dyDescent="0.2">
      <c r="A84" s="37" t="s">
        <v>14</v>
      </c>
      <c r="B84" s="137">
        <f t="shared" ref="B84:C84" si="138">B71-B83</f>
        <v>10405099</v>
      </c>
      <c r="C84" s="137">
        <f t="shared" si="138"/>
        <v>18338616</v>
      </c>
      <c r="D84" s="137">
        <f t="shared" ref="D84:N84" si="139">D71-D83</f>
        <v>28993418</v>
      </c>
      <c r="E84" s="137">
        <f t="shared" si="139"/>
        <v>22004821</v>
      </c>
      <c r="F84" s="137">
        <f t="shared" si="139"/>
        <v>725246</v>
      </c>
      <c r="G84" s="139">
        <f t="shared" si="139"/>
        <v>24751712</v>
      </c>
      <c r="H84" s="139">
        <f t="shared" si="139"/>
        <v>12229666</v>
      </c>
      <c r="I84" s="139">
        <f t="shared" ref="I84:M84" si="140">I71-I83</f>
        <v>20004947</v>
      </c>
      <c r="J84" s="139">
        <f t="shared" si="140"/>
        <v>10202062</v>
      </c>
      <c r="K84" s="139">
        <f t="shared" si="140"/>
        <v>5768882</v>
      </c>
      <c r="L84" s="139">
        <f t="shared" si="140"/>
        <v>10594957</v>
      </c>
      <c r="M84" s="139">
        <f t="shared" si="140"/>
        <v>10258222</v>
      </c>
      <c r="N84" s="139">
        <f t="shared" si="139"/>
        <v>42590138</v>
      </c>
      <c r="O84" s="67">
        <f t="shared" si="116"/>
        <v>0.42940491864179886</v>
      </c>
      <c r="P84" s="3"/>
      <c r="Q84" s="37" t="s">
        <v>14</v>
      </c>
      <c r="R84" s="95">
        <f t="shared" si="133"/>
        <v>5.5210486371475499E-2</v>
      </c>
      <c r="S84" s="95">
        <f t="shared" si="133"/>
        <v>9.0594542804219316E-2</v>
      </c>
      <c r="T84" s="95">
        <f t="shared" si="133"/>
        <v>0.134800277180672</v>
      </c>
      <c r="U84" s="95">
        <f t="shared" si="133"/>
        <v>9.9405440405303191E-2</v>
      </c>
      <c r="V84" s="233">
        <f t="shared" si="133"/>
        <v>2.9518062638663415E-3</v>
      </c>
      <c r="W84" s="233">
        <f t="shared" si="133"/>
        <v>9.1546976380338971E-2</v>
      </c>
      <c r="X84" s="233">
        <f t="shared" si="119"/>
        <v>5.368415489306904E-2</v>
      </c>
      <c r="Y84" s="233">
        <f t="shared" si="119"/>
        <v>8.5772051155607265E-2</v>
      </c>
      <c r="Z84" s="233">
        <f t="shared" si="134"/>
        <v>4.5402755709785726E-2</v>
      </c>
      <c r="AA84" s="233">
        <f t="shared" si="135"/>
        <v>2.648510092156952E-2</v>
      </c>
      <c r="AB84" s="233">
        <f t="shared" si="136"/>
        <v>4.616823048110847E-2</v>
      </c>
      <c r="AC84" s="233">
        <f t="shared" si="137"/>
        <v>4.4246684897073799E-2</v>
      </c>
      <c r="AD84" s="233">
        <f t="shared" si="124"/>
        <v>0.18767983814691266</v>
      </c>
      <c r="AE84" s="67">
        <f>SUM(J84:N84)/SUM(J$71:N$71)</f>
        <v>7.0229957482946109E-2</v>
      </c>
      <c r="AG84" s="3"/>
      <c r="AH84" s="3"/>
    </row>
    <row r="85" spans="1:43" x14ac:dyDescent="0.2">
      <c r="B85" s="137"/>
      <c r="C85" s="137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216"/>
      <c r="P85" s="3"/>
      <c r="Q85" s="37"/>
      <c r="T85" s="67"/>
      <c r="U85" s="67"/>
      <c r="V85" s="216"/>
      <c r="W85" s="216"/>
      <c r="X85" s="216"/>
      <c r="Y85" s="216"/>
      <c r="Z85" s="216"/>
      <c r="AA85" s="216"/>
      <c r="AB85" s="216"/>
      <c r="AC85" s="216"/>
      <c r="AD85" s="216"/>
      <c r="AG85" s="3"/>
      <c r="AH85" s="3"/>
    </row>
    <row r="86" spans="1:43" x14ac:dyDescent="0.2">
      <c r="A86" s="84" t="s">
        <v>189</v>
      </c>
      <c r="B86" s="137">
        <v>28984626</v>
      </c>
      <c r="C86" s="137">
        <v>31928177</v>
      </c>
      <c r="D86" s="137">
        <v>31993867</v>
      </c>
      <c r="E86" s="137">
        <v>32839149</v>
      </c>
      <c r="F86" s="137">
        <v>25785203</v>
      </c>
      <c r="G86" s="139">
        <v>25355130</v>
      </c>
      <c r="H86" s="139">
        <v>31029989</v>
      </c>
      <c r="I86" s="139">
        <v>32327019</v>
      </c>
      <c r="J86" s="139">
        <v>28552823</v>
      </c>
      <c r="K86" s="139">
        <v>30675863</v>
      </c>
      <c r="L86" s="139">
        <v>31226301</v>
      </c>
      <c r="M86" s="139">
        <v>33851058</v>
      </c>
      <c r="N86" s="139">
        <v>29737976</v>
      </c>
      <c r="O86" s="67">
        <f t="shared" ref="O86:O87" si="141">RATE(4,,-J86,N86)</f>
        <v>1.0219130249145196E-2</v>
      </c>
      <c r="P86" s="3"/>
      <c r="Q86" s="88" t="str">
        <f t="shared" ref="Q86:Q91" si="142">A86</f>
        <v xml:space="preserve">   Interest expense 70</v>
      </c>
      <c r="R86" s="94">
        <f t="shared" ref="R86:W88" si="143">B86/B$71</f>
        <v>0.15379529774347311</v>
      </c>
      <c r="S86" s="94">
        <f t="shared" si="143"/>
        <v>0.15772829301225297</v>
      </c>
      <c r="T86" s="169">
        <f t="shared" si="143"/>
        <v>0.14875038671472107</v>
      </c>
      <c r="U86" s="169">
        <f t="shared" si="143"/>
        <v>0.14834885813796767</v>
      </c>
      <c r="V86" s="169">
        <f t="shared" si="143"/>
        <v>0.10494773322495426</v>
      </c>
      <c r="W86" s="169">
        <f t="shared" si="143"/>
        <v>9.3778785371711831E-2</v>
      </c>
      <c r="X86" s="169">
        <f t="shared" ref="X86:Y91" si="144">H86/H$71</f>
        <v>0.13621130256592687</v>
      </c>
      <c r="Y86" s="169">
        <f t="shared" si="144"/>
        <v>0.13860345280476316</v>
      </c>
      <c r="Z86" s="169">
        <f t="shared" ref="Z86:Z91" si="145">J86/J$71</f>
        <v>0.12707008127315353</v>
      </c>
      <c r="AA86" s="169">
        <f t="shared" ref="AA86:AA91" si="146">K86/K$71</f>
        <v>0.14083375728802225</v>
      </c>
      <c r="AB86" s="169">
        <f t="shared" ref="AB86:AB91" si="147">L86/L$71</f>
        <v>0.13607068548182571</v>
      </c>
      <c r="AC86" s="169">
        <f t="shared" ref="AC86:AC91" si="148">M86/M$71</f>
        <v>0.14600942509906387</v>
      </c>
      <c r="AD86" s="169">
        <f t="shared" ref="AD86:AD91" si="149">N86/N$71</f>
        <v>0.13104485649933262</v>
      </c>
      <c r="AE86" s="67">
        <f t="shared" ref="AE86:AE89" si="150">SUM(J86:N86)/SUM(J$71:N$71)</f>
        <v>0.13622874417142858</v>
      </c>
      <c r="AG86" s="3"/>
      <c r="AH86" s="3">
        <f>(AD86+X86+U86+T86)/4</f>
        <v>0.14108885097948703</v>
      </c>
      <c r="AI86" s="1">
        <f>E86/(E45+E39)</f>
        <v>0.10315922118625147</v>
      </c>
      <c r="AJ86" s="1">
        <f>F86/(F45+F39)</f>
        <v>8.4042705548228569E-2</v>
      </c>
      <c r="AK86" s="1">
        <f>G86/(G45+G39)</f>
        <v>8.8764515812126243E-2</v>
      </c>
    </row>
    <row r="87" spans="1:43" x14ac:dyDescent="0.2">
      <c r="A87" s="85" t="s">
        <v>187</v>
      </c>
      <c r="B87" s="140">
        <v>-13466463</v>
      </c>
      <c r="C87" s="140">
        <v>-9639897</v>
      </c>
      <c r="D87" s="137">
        <v>-15490876</v>
      </c>
      <c r="E87" s="137">
        <v>-16706159</v>
      </c>
      <c r="F87" s="137">
        <v>-15858020</v>
      </c>
      <c r="G87" s="139">
        <f>-11551176+130984-740412</f>
        <v>-12160604</v>
      </c>
      <c r="H87" s="139">
        <v>-11928887</v>
      </c>
      <c r="I87" s="137">
        <v>-10268593</v>
      </c>
      <c r="J87" s="137">
        <v>-8294177</v>
      </c>
      <c r="K87" s="137">
        <v>-7068097</v>
      </c>
      <c r="L87" s="137">
        <v>-6080932</v>
      </c>
      <c r="M87" s="137">
        <v>-3859297</v>
      </c>
      <c r="N87" s="137">
        <v>-2232703</v>
      </c>
      <c r="O87" s="67">
        <f t="shared" si="141"/>
        <v>-0.27969834238817304</v>
      </c>
      <c r="P87" s="3"/>
      <c r="Q87" s="88" t="str">
        <f t="shared" si="142"/>
        <v xml:space="preserve">   Interest and Other (Income) 37</v>
      </c>
      <c r="R87" s="94">
        <f t="shared" si="143"/>
        <v>-7.1454387116689527E-2</v>
      </c>
      <c r="S87" s="94">
        <f t="shared" si="143"/>
        <v>-4.7622026732811538E-2</v>
      </c>
      <c r="T87" s="94">
        <f t="shared" si="143"/>
        <v>-7.2022359646296941E-2</v>
      </c>
      <c r="U87" s="94">
        <f t="shared" si="143"/>
        <v>-7.54690571159847E-2</v>
      </c>
      <c r="V87" s="169">
        <f t="shared" si="143"/>
        <v>-6.4543344973316263E-2</v>
      </c>
      <c r="W87" s="169">
        <f t="shared" si="143"/>
        <v>-4.4977354582933726E-2</v>
      </c>
      <c r="X87" s="169">
        <f t="shared" si="144"/>
        <v>-5.2363835399095747E-2</v>
      </c>
      <c r="Y87" s="169">
        <f t="shared" si="144"/>
        <v>-4.4027024120189405E-2</v>
      </c>
      <c r="Z87" s="169">
        <f t="shared" si="145"/>
        <v>-3.6911998000475149E-2</v>
      </c>
      <c r="AA87" s="169">
        <f t="shared" si="146"/>
        <v>-3.2449833844485423E-2</v>
      </c>
      <c r="AB87" s="169">
        <f t="shared" si="147"/>
        <v>-2.6498066024802921E-2</v>
      </c>
      <c r="AC87" s="169">
        <f t="shared" si="148"/>
        <v>-1.6646266602850106E-2</v>
      </c>
      <c r="AD87" s="169">
        <f t="shared" si="149"/>
        <v>-9.8387410172309456E-3</v>
      </c>
      <c r="AE87" s="67">
        <f t="shared" si="150"/>
        <v>-2.4350744089454698E-2</v>
      </c>
      <c r="AG87" s="3"/>
      <c r="AH87" s="3"/>
    </row>
    <row r="88" spans="1:43" x14ac:dyDescent="0.2">
      <c r="A88" s="84" t="s">
        <v>192</v>
      </c>
      <c r="B88" s="137">
        <v>1984</v>
      </c>
      <c r="C88" s="137">
        <f>-5400+26968</f>
        <v>21568</v>
      </c>
      <c r="D88" s="139">
        <v>-4620</v>
      </c>
      <c r="E88" s="139">
        <v>-15314</v>
      </c>
      <c r="F88" s="139">
        <v>-3816</v>
      </c>
      <c r="G88" s="139">
        <v>-130984</v>
      </c>
      <c r="H88" s="139">
        <f>346297-14354</f>
        <v>331943</v>
      </c>
      <c r="I88" s="137">
        <f>151285-6685</f>
        <v>144600</v>
      </c>
      <c r="J88" s="137">
        <f>15089-17632</f>
        <v>-2543</v>
      </c>
      <c r="K88" s="137">
        <f>-1502485+26685</f>
        <v>-1475800</v>
      </c>
      <c r="L88" s="137">
        <f>-25377+412</f>
        <v>-24965</v>
      </c>
      <c r="M88" s="137">
        <f>-662363+141851</f>
        <v>-520512</v>
      </c>
      <c r="N88" s="137">
        <v>-20400</v>
      </c>
      <c r="P88" s="3"/>
      <c r="Q88" s="88" t="str">
        <f t="shared" si="142"/>
        <v xml:space="preserve">   Loss (Gain) on Sale of Assets 40</v>
      </c>
      <c r="R88" s="94">
        <f t="shared" si="143"/>
        <v>1.0527300601465434E-5</v>
      </c>
      <c r="S88" s="94">
        <f t="shared" si="143"/>
        <v>1.065480131762071E-4</v>
      </c>
      <c r="T88" s="94">
        <f t="shared" si="143"/>
        <v>-2.1479953849342792E-5</v>
      </c>
      <c r="U88" s="94">
        <f t="shared" si="143"/>
        <v>-6.918006351275537E-5</v>
      </c>
      <c r="V88" s="169">
        <f t="shared" si="143"/>
        <v>-1.5531409622271558E-5</v>
      </c>
      <c r="W88" s="169">
        <f t="shared" si="143"/>
        <v>-4.8445898021932059E-4</v>
      </c>
      <c r="X88" s="169">
        <f t="shared" si="144"/>
        <v>1.4571190601337777E-3</v>
      </c>
      <c r="Y88" s="169">
        <f t="shared" si="144"/>
        <v>6.1997857815373428E-4</v>
      </c>
      <c r="Z88" s="169">
        <f t="shared" si="145"/>
        <v>-1.131724231532656E-5</v>
      </c>
      <c r="AA88" s="169">
        <f t="shared" si="146"/>
        <v>-6.7754396675217656E-3</v>
      </c>
      <c r="AB88" s="169">
        <f t="shared" si="147"/>
        <v>-1.0878664953155288E-4</v>
      </c>
      <c r="AC88" s="169">
        <f t="shared" si="148"/>
        <v>-2.2451191297230334E-3</v>
      </c>
      <c r="AD88" s="169">
        <f t="shared" si="149"/>
        <v>-8.9895663127389215E-5</v>
      </c>
      <c r="AE88" s="67">
        <f t="shared" si="150"/>
        <v>-1.8078048184039402E-3</v>
      </c>
      <c r="AG88" s="3"/>
      <c r="AH88" s="3"/>
      <c r="AI88" s="2">
        <f>AVERAGE(E88,F88)</f>
        <v>-9565</v>
      </c>
    </row>
    <row r="89" spans="1:43" x14ac:dyDescent="0.2">
      <c r="A89" s="84" t="s">
        <v>188</v>
      </c>
      <c r="B89" s="137"/>
      <c r="C89" s="137"/>
      <c r="D89" s="139">
        <v>6610517</v>
      </c>
      <c r="E89" s="139">
        <v>-737687</v>
      </c>
      <c r="F89" s="137">
        <v>323485</v>
      </c>
      <c r="G89" s="139">
        <v>740412</v>
      </c>
      <c r="H89" s="139">
        <v>1722011</v>
      </c>
      <c r="I89" s="137">
        <v>-7036824</v>
      </c>
      <c r="J89" s="137">
        <v>-5632235</v>
      </c>
      <c r="K89" s="137">
        <v>-6784596</v>
      </c>
      <c r="L89" s="137">
        <v>-5007792</v>
      </c>
      <c r="M89" s="137">
        <v>-17566111</v>
      </c>
      <c r="N89" s="137">
        <v>4949307</v>
      </c>
      <c r="P89" s="3"/>
      <c r="Q89" s="88" t="str">
        <f t="shared" si="142"/>
        <v xml:space="preserve">   Equity in Earnings of Subsidiary Co 36</v>
      </c>
      <c r="R89" s="94"/>
      <c r="S89" s="94"/>
      <c r="T89" s="94">
        <f t="shared" ref="T89:W91" si="151">D89/D$71</f>
        <v>3.0734545471925535E-2</v>
      </c>
      <c r="U89" s="94">
        <f t="shared" si="151"/>
        <v>-3.3324561520526297E-3</v>
      </c>
      <c r="V89" s="169">
        <f t="shared" si="151"/>
        <v>1.3166085014833637E-3</v>
      </c>
      <c r="W89" s="169">
        <f t="shared" si="151"/>
        <v>2.7384966290703262E-3</v>
      </c>
      <c r="X89" s="169">
        <f t="shared" si="144"/>
        <v>7.5590539636625166E-3</v>
      </c>
      <c r="Y89" s="169"/>
      <c r="Z89" s="169">
        <f t="shared" si="145"/>
        <v>-2.5065422049494017E-2</v>
      </c>
      <c r="AA89" s="169">
        <f t="shared" si="146"/>
        <v>-3.11482727107396E-2</v>
      </c>
      <c r="AB89" s="169">
        <f t="shared" si="147"/>
        <v>-2.1821787031080082E-2</v>
      </c>
      <c r="AC89" s="169">
        <f t="shared" si="148"/>
        <v>-7.5767728392310274E-2</v>
      </c>
      <c r="AD89" s="169"/>
      <c r="AE89" s="67">
        <f t="shared" si="150"/>
        <v>-2.6567119234881875E-2</v>
      </c>
      <c r="AG89" s="3"/>
      <c r="AH89" s="3"/>
      <c r="AI89" s="2"/>
    </row>
    <row r="90" spans="1:43" x14ac:dyDescent="0.2">
      <c r="A90" s="86" t="s">
        <v>109</v>
      </c>
      <c r="B90" s="152"/>
      <c r="C90" s="152"/>
      <c r="D90" s="148">
        <f>10892951-50562</f>
        <v>10842389</v>
      </c>
      <c r="E90" s="148">
        <f>-4010059-195014</f>
        <v>-4205073</v>
      </c>
      <c r="F90" s="148">
        <v>221985</v>
      </c>
      <c r="G90" s="148">
        <v>3131499</v>
      </c>
      <c r="H90" s="148">
        <v>-229119</v>
      </c>
      <c r="I90" s="141">
        <v>-226746</v>
      </c>
      <c r="J90" s="141">
        <v>-220837</v>
      </c>
      <c r="K90" s="141">
        <v>-742929</v>
      </c>
      <c r="L90" s="141">
        <v>-230302</v>
      </c>
      <c r="M90" s="141">
        <v>-383951</v>
      </c>
      <c r="N90" s="141">
        <v>-226532</v>
      </c>
      <c r="O90" s="68">
        <f t="shared" ref="O90:O91" si="152">RATE(4,,-J90,N90)</f>
        <v>6.3856374191160687E-3</v>
      </c>
      <c r="P90" s="3"/>
      <c r="Q90" s="88" t="str">
        <f t="shared" si="142"/>
        <v xml:space="preserve">   Other (Income) Expense</v>
      </c>
      <c r="R90" s="93">
        <f>B90/B$71</f>
        <v>0</v>
      </c>
      <c r="S90" s="93">
        <f>C90/C$71</f>
        <v>0</v>
      </c>
      <c r="T90" s="93">
        <f t="shared" si="151"/>
        <v>5.0409960029571856E-2</v>
      </c>
      <c r="U90" s="93">
        <f t="shared" si="151"/>
        <v>-1.8996161500311661E-2</v>
      </c>
      <c r="V90" s="232">
        <f t="shared" si="151"/>
        <v>9.034957979559623E-4</v>
      </c>
      <c r="W90" s="232">
        <f t="shared" si="151"/>
        <v>1.1582199444953752E-2</v>
      </c>
      <c r="X90" s="232">
        <f t="shared" si="144"/>
        <v>-1.0057559940676291E-3</v>
      </c>
      <c r="Y90" s="232">
        <f t="shared" si="144"/>
        <v>-9.7218300609990752E-4</v>
      </c>
      <c r="Z90" s="232">
        <f t="shared" si="145"/>
        <v>-9.828021396735239E-4</v>
      </c>
      <c r="AA90" s="232">
        <f t="shared" si="146"/>
        <v>-3.4108081154304633E-3</v>
      </c>
      <c r="AB90" s="232">
        <f t="shared" si="147"/>
        <v>-1.0035562972327535E-3</v>
      </c>
      <c r="AC90" s="232">
        <f t="shared" si="148"/>
        <v>-1.6560919536461954E-3</v>
      </c>
      <c r="AD90" s="232">
        <f t="shared" si="149"/>
        <v>-9.9824727252812427E-4</v>
      </c>
      <c r="AE90" s="68">
        <f>SUM(J90:N90)/SUM(J$71:N$71)</f>
        <v>-1.5958536717455307E-3</v>
      </c>
      <c r="AG90" s="3"/>
      <c r="AH90" s="3"/>
      <c r="AI90" s="2">
        <f>AVERAGE(E90,H90)</f>
        <v>-2217096</v>
      </c>
    </row>
    <row r="91" spans="1:43" x14ac:dyDescent="0.2">
      <c r="A91" s="37" t="s">
        <v>59</v>
      </c>
      <c r="B91" s="137">
        <f t="shared" ref="B91:N91" si="153">SUM(B86:B90)</f>
        <v>15520147</v>
      </c>
      <c r="C91" s="137">
        <f t="shared" si="153"/>
        <v>22309848</v>
      </c>
      <c r="D91" s="137">
        <f t="shared" si="153"/>
        <v>33951277</v>
      </c>
      <c r="E91" s="137">
        <f t="shared" si="153"/>
        <v>11174916</v>
      </c>
      <c r="F91" s="137">
        <f t="shared" si="153"/>
        <v>10468837</v>
      </c>
      <c r="G91" s="137">
        <f t="shared" si="153"/>
        <v>16935453</v>
      </c>
      <c r="H91" s="137">
        <f t="shared" si="153"/>
        <v>20925937</v>
      </c>
      <c r="I91" s="137">
        <f t="shared" ref="I91:M91" si="154">SUM(I86:I90)</f>
        <v>14939456</v>
      </c>
      <c r="J91" s="137">
        <f t="shared" si="154"/>
        <v>14403031</v>
      </c>
      <c r="K91" s="137">
        <f t="shared" si="154"/>
        <v>14604441</v>
      </c>
      <c r="L91" s="137">
        <f t="shared" si="154"/>
        <v>19882310</v>
      </c>
      <c r="M91" s="137">
        <f t="shared" si="154"/>
        <v>11521187</v>
      </c>
      <c r="N91" s="137">
        <f t="shared" si="153"/>
        <v>32207648</v>
      </c>
      <c r="O91" s="67">
        <f t="shared" si="152"/>
        <v>0.22285870351080955</v>
      </c>
      <c r="P91" s="3"/>
      <c r="Q91" s="88" t="str">
        <f t="shared" si="142"/>
        <v>Total Other Income/Expense</v>
      </c>
      <c r="R91" s="94">
        <f>B91/B$71</f>
        <v>8.2351437927385057E-2</v>
      </c>
      <c r="S91" s="94">
        <f>C91/C$71</f>
        <v>0.11021281429261764</v>
      </c>
      <c r="T91" s="94">
        <f t="shared" si="151"/>
        <v>0.15785105261607218</v>
      </c>
      <c r="U91" s="94">
        <f t="shared" si="151"/>
        <v>5.048200330610593E-2</v>
      </c>
      <c r="V91" s="169">
        <f t="shared" si="151"/>
        <v>4.2608961141455064E-2</v>
      </c>
      <c r="W91" s="169">
        <f t="shared" si="151"/>
        <v>6.2637667882582862E-2</v>
      </c>
      <c r="X91" s="169">
        <f t="shared" si="144"/>
        <v>9.1857884196559783E-2</v>
      </c>
      <c r="Y91" s="169">
        <f t="shared" si="144"/>
        <v>6.4053545568950723E-2</v>
      </c>
      <c r="Z91" s="169">
        <f t="shared" si="145"/>
        <v>6.4098541841195525E-2</v>
      </c>
      <c r="AA91" s="169">
        <f t="shared" si="146"/>
        <v>6.7049402949844988E-2</v>
      </c>
      <c r="AB91" s="169">
        <f t="shared" si="147"/>
        <v>8.6638489479178418E-2</v>
      </c>
      <c r="AC91" s="169">
        <f t="shared" si="148"/>
        <v>4.969421902053426E-2</v>
      </c>
      <c r="AD91" s="169">
        <f t="shared" si="149"/>
        <v>0.14192783699674172</v>
      </c>
      <c r="AE91" s="67">
        <f>SUM(J91:N91)/SUM(J$71:N$71)</f>
        <v>8.1907222356942547E-2</v>
      </c>
      <c r="AG91" s="3"/>
      <c r="AH91" s="3"/>
    </row>
    <row r="92" spans="1:43" ht="7.5" customHeight="1" x14ac:dyDescent="0.2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216"/>
      <c r="P92" s="3"/>
      <c r="Q92" s="88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G92" s="3"/>
      <c r="AH92" s="3"/>
    </row>
    <row r="93" spans="1:43" x14ac:dyDescent="0.2">
      <c r="A93" s="37" t="s">
        <v>13</v>
      </c>
      <c r="B93" s="139">
        <f t="shared" ref="B93:N93" si="155">B84-B91</f>
        <v>-5115048</v>
      </c>
      <c r="C93" s="139">
        <f t="shared" si="155"/>
        <v>-3971232</v>
      </c>
      <c r="D93" s="139">
        <f t="shared" si="155"/>
        <v>-4957859</v>
      </c>
      <c r="E93" s="139">
        <f t="shared" si="155"/>
        <v>10829905</v>
      </c>
      <c r="F93" s="139">
        <f t="shared" si="155"/>
        <v>-9743591</v>
      </c>
      <c r="G93" s="139">
        <f t="shared" si="155"/>
        <v>7816259</v>
      </c>
      <c r="H93" s="139">
        <f t="shared" si="155"/>
        <v>-8696271</v>
      </c>
      <c r="I93" s="139">
        <f t="shared" ref="I93:M93" si="156">I84-I91</f>
        <v>5065491</v>
      </c>
      <c r="J93" s="139">
        <f t="shared" si="156"/>
        <v>-4200969</v>
      </c>
      <c r="K93" s="139">
        <f t="shared" si="156"/>
        <v>-8835559</v>
      </c>
      <c r="L93" s="139">
        <f t="shared" si="156"/>
        <v>-9287353</v>
      </c>
      <c r="M93" s="139">
        <f t="shared" si="156"/>
        <v>-1262965</v>
      </c>
      <c r="N93" s="139">
        <f t="shared" si="155"/>
        <v>10382490</v>
      </c>
      <c r="P93" s="3"/>
      <c r="Q93" s="88" t="str">
        <f>A93</f>
        <v>Earnings Before Taxes</v>
      </c>
      <c r="R93" s="67">
        <f t="shared" ref="R93:W96" si="157">B93/B$71</f>
        <v>-2.7140951555909558E-2</v>
      </c>
      <c r="S93" s="67">
        <f t="shared" si="157"/>
        <v>-1.9618271488398332E-2</v>
      </c>
      <c r="T93" s="67">
        <f t="shared" si="157"/>
        <v>-2.3050775435400177E-2</v>
      </c>
      <c r="U93" s="67">
        <f t="shared" si="157"/>
        <v>4.8923437099197269E-2</v>
      </c>
      <c r="V93" s="67">
        <f t="shared" si="157"/>
        <v>-3.9657154877588724E-2</v>
      </c>
      <c r="W93" s="67">
        <f t="shared" si="157"/>
        <v>2.8909308497756112E-2</v>
      </c>
      <c r="X93" s="67">
        <f t="shared" ref="X93:Y96" si="158">H93/H$71</f>
        <v>-3.8173729303490743E-2</v>
      </c>
      <c r="Y93" s="67">
        <f t="shared" si="158"/>
        <v>2.1718505586656552E-2</v>
      </c>
      <c r="Z93" s="67">
        <f t="shared" ref="Z93:Z96" si="159">J93/J$71</f>
        <v>-1.8695786131409792E-2</v>
      </c>
      <c r="AA93" s="67">
        <f t="shared" ref="AA93:AA96" si="160">K93/K$71</f>
        <v>-4.0564302028275476E-2</v>
      </c>
      <c r="AB93" s="67">
        <f t="shared" ref="AB93:AB96" si="161">L93/L$71</f>
        <v>-4.0470258998069948E-2</v>
      </c>
      <c r="AC93" s="67">
        <f t="shared" ref="AC93:AC96" si="162">M93/M$71</f>
        <v>-5.4475341234604601E-3</v>
      </c>
      <c r="AD93" s="67">
        <f t="shared" ref="AD93:AD96" si="163">N93/N$71</f>
        <v>4.5752001150170946E-2</v>
      </c>
      <c r="AE93" s="67">
        <f t="shared" ref="AE93:AE94" si="164">SUM(J93:N93)/SUM(J$71:N$71)</f>
        <v>-1.1677264873996427E-2</v>
      </c>
      <c r="AG93" s="3"/>
      <c r="AH93" s="3"/>
    </row>
    <row r="94" spans="1:43" x14ac:dyDescent="0.2">
      <c r="A94" s="37" t="s">
        <v>60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216"/>
      <c r="P94" s="3"/>
      <c r="Q94" s="88" t="str">
        <f>A94</f>
        <v>Extraordinary Items</v>
      </c>
      <c r="R94" s="67">
        <f t="shared" si="157"/>
        <v>0</v>
      </c>
      <c r="S94" s="67">
        <f t="shared" si="157"/>
        <v>0</v>
      </c>
      <c r="T94" s="67">
        <f t="shared" si="157"/>
        <v>0</v>
      </c>
      <c r="U94" s="67">
        <f t="shared" si="157"/>
        <v>0</v>
      </c>
      <c r="V94" s="67">
        <f t="shared" si="157"/>
        <v>0</v>
      </c>
      <c r="W94" s="67">
        <f t="shared" si="157"/>
        <v>0</v>
      </c>
      <c r="X94" s="67">
        <f t="shared" si="158"/>
        <v>0</v>
      </c>
      <c r="Y94" s="67">
        <f t="shared" si="158"/>
        <v>0</v>
      </c>
      <c r="Z94" s="67">
        <f t="shared" si="159"/>
        <v>0</v>
      </c>
      <c r="AA94" s="67">
        <f t="shared" si="160"/>
        <v>0</v>
      </c>
      <c r="AB94" s="67">
        <f t="shared" si="161"/>
        <v>0</v>
      </c>
      <c r="AC94" s="67">
        <f t="shared" si="162"/>
        <v>0</v>
      </c>
      <c r="AD94" s="67">
        <f t="shared" si="163"/>
        <v>0</v>
      </c>
      <c r="AE94" s="67">
        <f t="shared" si="164"/>
        <v>0</v>
      </c>
      <c r="AG94" s="3"/>
      <c r="AH94" s="3"/>
    </row>
    <row r="95" spans="1:43" x14ac:dyDescent="0.2">
      <c r="A95" s="37" t="s">
        <v>19</v>
      </c>
      <c r="B95" s="139">
        <f>617561</f>
        <v>617561</v>
      </c>
      <c r="C95" s="139">
        <f>-2310477+100</f>
        <v>-2310377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220"/>
      <c r="P95" s="3"/>
      <c r="Q95" s="88" t="str">
        <f>A95</f>
        <v>Income Taxes</v>
      </c>
      <c r="R95" s="93">
        <f t="shared" si="157"/>
        <v>3.2768398622689491E-3</v>
      </c>
      <c r="S95" s="93">
        <f t="shared" si="157"/>
        <v>-1.1413486602281427E-2</v>
      </c>
      <c r="T95" s="93">
        <f t="shared" si="157"/>
        <v>0</v>
      </c>
      <c r="U95" s="93">
        <f t="shared" si="157"/>
        <v>0</v>
      </c>
      <c r="V95" s="93">
        <f t="shared" si="157"/>
        <v>0</v>
      </c>
      <c r="W95" s="93">
        <f t="shared" si="157"/>
        <v>0</v>
      </c>
      <c r="X95" s="93">
        <f t="shared" si="158"/>
        <v>0</v>
      </c>
      <c r="Y95" s="93">
        <f t="shared" si="158"/>
        <v>0</v>
      </c>
      <c r="Z95" s="93">
        <f t="shared" si="159"/>
        <v>0</v>
      </c>
      <c r="AA95" s="93">
        <f t="shared" si="160"/>
        <v>0</v>
      </c>
      <c r="AB95" s="93">
        <f t="shared" si="161"/>
        <v>0</v>
      </c>
      <c r="AC95" s="93">
        <f t="shared" si="162"/>
        <v>0</v>
      </c>
      <c r="AD95" s="93">
        <f t="shared" si="163"/>
        <v>0</v>
      </c>
      <c r="AE95" s="68">
        <f>SUM(J95:N95)/SUM(J$71:N$71)</f>
        <v>0</v>
      </c>
      <c r="AG95" s="3"/>
      <c r="AH95" s="3"/>
      <c r="AI95" s="1">
        <f>F95/F93</f>
        <v>0</v>
      </c>
      <c r="AM95" s="37" t="s">
        <v>18</v>
      </c>
    </row>
    <row r="96" spans="1:43" ht="13.5" thickBot="1" x14ac:dyDescent="0.25">
      <c r="A96" s="37" t="s">
        <v>22</v>
      </c>
      <c r="B96" s="154">
        <f t="shared" ref="B96:N96" si="165">B93+B94-B95</f>
        <v>-5732609</v>
      </c>
      <c r="C96" s="154">
        <f t="shared" si="165"/>
        <v>-1660855</v>
      </c>
      <c r="D96" s="154">
        <f>D93+D94-D95</f>
        <v>-4957859</v>
      </c>
      <c r="E96" s="154">
        <f t="shared" si="165"/>
        <v>10829905</v>
      </c>
      <c r="F96" s="154">
        <f t="shared" si="165"/>
        <v>-9743591</v>
      </c>
      <c r="G96" s="154">
        <f t="shared" si="165"/>
        <v>7816259</v>
      </c>
      <c r="H96" s="154">
        <f t="shared" si="165"/>
        <v>-8696271</v>
      </c>
      <c r="I96" s="154">
        <f t="shared" ref="I96:M96" si="166">I93+I94-I95</f>
        <v>5065491</v>
      </c>
      <c r="J96" s="154">
        <f t="shared" si="166"/>
        <v>-4200969</v>
      </c>
      <c r="K96" s="154">
        <f t="shared" si="166"/>
        <v>-8835559</v>
      </c>
      <c r="L96" s="154">
        <f t="shared" si="166"/>
        <v>-9287353</v>
      </c>
      <c r="M96" s="154">
        <f t="shared" si="166"/>
        <v>-1262965</v>
      </c>
      <c r="N96" s="154">
        <f t="shared" si="165"/>
        <v>10382490</v>
      </c>
      <c r="O96" s="96"/>
      <c r="P96" s="3"/>
      <c r="Q96" s="88" t="str">
        <f>A96</f>
        <v>Net Income</v>
      </c>
      <c r="R96" s="97">
        <f t="shared" si="157"/>
        <v>-3.0417791418178509E-2</v>
      </c>
      <c r="S96" s="97">
        <f t="shared" si="157"/>
        <v>-8.2047848861169052E-3</v>
      </c>
      <c r="T96" s="97">
        <f t="shared" si="157"/>
        <v>-2.3050775435400177E-2</v>
      </c>
      <c r="U96" s="97">
        <f t="shared" si="157"/>
        <v>4.8923437099197269E-2</v>
      </c>
      <c r="V96" s="97">
        <f t="shared" si="157"/>
        <v>-3.9657154877588724E-2</v>
      </c>
      <c r="W96" s="97">
        <f t="shared" si="157"/>
        <v>2.8909308497756112E-2</v>
      </c>
      <c r="X96" s="97">
        <f t="shared" si="158"/>
        <v>-3.8173729303490743E-2</v>
      </c>
      <c r="Y96" s="97">
        <f t="shared" si="158"/>
        <v>2.1718505586656552E-2</v>
      </c>
      <c r="Z96" s="97">
        <f t="shared" si="159"/>
        <v>-1.8695786131409792E-2</v>
      </c>
      <c r="AA96" s="97">
        <f t="shared" si="160"/>
        <v>-4.0564302028275476E-2</v>
      </c>
      <c r="AB96" s="97">
        <f t="shared" si="161"/>
        <v>-4.0470258998069948E-2</v>
      </c>
      <c r="AC96" s="97">
        <f t="shared" si="162"/>
        <v>-5.4475341234604601E-3</v>
      </c>
      <c r="AD96" s="97">
        <f t="shared" si="163"/>
        <v>4.5752001150170946E-2</v>
      </c>
      <c r="AE96" s="96">
        <f>SUM(J96:N96)/SUM(J$71:N$71)</f>
        <v>-1.1677264873996427E-2</v>
      </c>
      <c r="AG96" s="3"/>
      <c r="AH96" s="3"/>
      <c r="AI96" s="1">
        <f>AM53/E96</f>
        <v>1</v>
      </c>
      <c r="AJ96" s="1">
        <f>AN53/F96</f>
        <v>1.0769736742849736</v>
      </c>
      <c r="AK96" s="1">
        <f>1-AVERAGE(AI96:AJ96)</f>
        <v>-3.8486837142486685E-2</v>
      </c>
      <c r="AM96" s="36">
        <f>D95/D93</f>
        <v>0</v>
      </c>
      <c r="AN96" s="36">
        <f>E95/E93</f>
        <v>0</v>
      </c>
      <c r="AO96" s="36">
        <f>F95/F93</f>
        <v>0</v>
      </c>
      <c r="AP96" s="36">
        <f>G95/G93</f>
        <v>0</v>
      </c>
      <c r="AQ96" s="1">
        <f>AVERAGE(AM96:AP96)</f>
        <v>0</v>
      </c>
    </row>
    <row r="97" spans="1:39" ht="13.5" thickTop="1" x14ac:dyDescent="0.2">
      <c r="B97" s="137"/>
      <c r="C97" s="137"/>
      <c r="D97" s="139">
        <f>-4957859-D96</f>
        <v>0</v>
      </c>
      <c r="E97" s="139">
        <f>10829905-E96</f>
        <v>0</v>
      </c>
      <c r="F97" s="139">
        <f>-9743591-F96</f>
        <v>0</v>
      </c>
      <c r="G97" s="139">
        <f>7816259-G96</f>
        <v>0</v>
      </c>
      <c r="H97" s="139">
        <f>-8696271-H96</f>
        <v>0</v>
      </c>
      <c r="I97" s="139">
        <f>5065491-I96</f>
        <v>0</v>
      </c>
      <c r="J97" s="139">
        <f>-4200969-J96</f>
        <v>0</v>
      </c>
      <c r="K97" s="139">
        <f>-8835559-K96</f>
        <v>0</v>
      </c>
      <c r="L97" s="139">
        <f>-9287353-L96</f>
        <v>0</v>
      </c>
      <c r="M97" s="139">
        <f>-1262965-M96</f>
        <v>0</v>
      </c>
      <c r="N97" s="139">
        <f>10382490-N96</f>
        <v>0</v>
      </c>
      <c r="O97" s="216"/>
      <c r="P97" s="3"/>
      <c r="Q97" s="8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G97" s="3"/>
      <c r="AH97" s="3"/>
      <c r="AI97" s="1">
        <f>AM53/E55</f>
        <v>0.11169194295727959</v>
      </c>
      <c r="AJ97" s="1">
        <f>AN53/F55</f>
        <v>-0.12135712483658101</v>
      </c>
      <c r="AK97" s="1">
        <f>AVERAGE(AI97:AJ97)</f>
        <v>-4.8325909396507091E-3</v>
      </c>
    </row>
    <row r="98" spans="1:39" x14ac:dyDescent="0.2">
      <c r="A98" s="37" t="s">
        <v>63</v>
      </c>
      <c r="B98" s="137"/>
      <c r="C98" s="137"/>
      <c r="D98" s="231"/>
      <c r="E98" s="231"/>
      <c r="F98" s="231"/>
      <c r="G98" s="231"/>
      <c r="H98" s="231"/>
      <c r="I98" s="139"/>
      <c r="J98" s="231"/>
      <c r="K98" s="231"/>
      <c r="L98" s="231"/>
      <c r="M98" s="231"/>
      <c r="N98" s="139"/>
      <c r="O98" s="216"/>
      <c r="P98" s="3"/>
      <c r="Q98" s="88" t="str">
        <f>A98</f>
        <v>Preferred Stock Dividends</v>
      </c>
      <c r="R98" s="67">
        <f>B98/B$96</f>
        <v>0</v>
      </c>
      <c r="S98" s="67">
        <f>C98/C$96</f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G98" s="3"/>
      <c r="AH98" s="3"/>
    </row>
    <row r="99" spans="1:39" x14ac:dyDescent="0.2">
      <c r="A99" s="79" t="s">
        <v>111</v>
      </c>
      <c r="B99" s="140">
        <v>326054</v>
      </c>
      <c r="C99" s="140">
        <v>1249868</v>
      </c>
      <c r="D99" s="139">
        <v>0</v>
      </c>
      <c r="E99" s="139">
        <v>0</v>
      </c>
      <c r="F99" s="139">
        <v>750000</v>
      </c>
      <c r="G99" s="139">
        <v>1000000</v>
      </c>
      <c r="H99" s="139">
        <v>1500000</v>
      </c>
      <c r="I99" s="139">
        <v>1000000</v>
      </c>
      <c r="J99" s="139">
        <v>2000000</v>
      </c>
      <c r="K99" s="139">
        <v>1000000</v>
      </c>
      <c r="L99" s="139">
        <v>1000000</v>
      </c>
      <c r="M99" s="139">
        <v>0</v>
      </c>
      <c r="N99" s="139">
        <v>2000000</v>
      </c>
      <c r="O99" s="67">
        <f>RATE(4,,-J99,N99)</f>
        <v>4.10516967448087E-17</v>
      </c>
      <c r="P99" s="3"/>
      <c r="Q99" s="88" t="str">
        <f>A99</f>
        <v>Return of Patrons Capital</v>
      </c>
      <c r="R99" s="67">
        <f>B99/B$96</f>
        <v>-5.6877069411152933E-2</v>
      </c>
      <c r="S99" s="67">
        <f>C99/C$96</f>
        <v>-0.75254492415051288</v>
      </c>
      <c r="T99" s="67">
        <f>D99/D$96</f>
        <v>0</v>
      </c>
      <c r="U99" s="67">
        <f>E99/E$96</f>
        <v>0</v>
      </c>
      <c r="V99" s="67">
        <f>F99/F$96</f>
        <v>-7.6973674284973578E-2</v>
      </c>
      <c r="W99" s="67">
        <f>G99/G$96</f>
        <v>0.12793844216267655</v>
      </c>
      <c r="X99" s="67">
        <f>H99/H$96</f>
        <v>-0.17248772491105671</v>
      </c>
      <c r="Y99" s="67">
        <f t="shared" ref="Y99:AC99" si="167">I99/I$96</f>
        <v>0.19741422894641408</v>
      </c>
      <c r="Z99" s="67">
        <f t="shared" si="167"/>
        <v>-0.47608063758623309</v>
      </c>
      <c r="AA99" s="67">
        <f t="shared" si="167"/>
        <v>-0.1131790303250762</v>
      </c>
      <c r="AB99" s="67">
        <f t="shared" si="167"/>
        <v>-0.10767330583859577</v>
      </c>
      <c r="AC99" s="67">
        <f t="shared" si="167"/>
        <v>0</v>
      </c>
      <c r="AD99" s="67">
        <f t="shared" ref="AD99" si="168">N99/N$96</f>
        <v>0.19263201794559878</v>
      </c>
      <c r="AE99" s="67">
        <f t="shared" ref="AE99" si="169">SUM(J99:N99)/SUM(J$71:N$71)</f>
        <v>5.3060966581012026E-3</v>
      </c>
      <c r="AG99" s="3"/>
      <c r="AH99" s="3"/>
      <c r="AI99" s="1">
        <f>D99/D55</f>
        <v>0</v>
      </c>
      <c r="AJ99" s="1">
        <f>E99/E55</f>
        <v>0</v>
      </c>
      <c r="AK99" s="1">
        <f>F99/F55</f>
        <v>8.6736602967883696E-3</v>
      </c>
      <c r="AL99" s="1">
        <f>G99/G55</f>
        <v>1.0719843493715341E-2</v>
      </c>
      <c r="AM99" s="1"/>
    </row>
    <row r="100" spans="1:39" x14ac:dyDescent="0.2">
      <c r="A100" s="79"/>
      <c r="B100" s="132"/>
      <c r="C100" s="132"/>
      <c r="D100" s="100"/>
      <c r="E100" s="101"/>
      <c r="F100" s="101"/>
      <c r="G100" s="101"/>
      <c r="H100" s="101"/>
      <c r="I100" s="101"/>
      <c r="J100" s="101"/>
      <c r="K100" s="101"/>
      <c r="L100" s="101"/>
      <c r="M100" s="101"/>
      <c r="N100" s="99"/>
      <c r="P100" s="3"/>
      <c r="Q100" s="88"/>
      <c r="R100" s="88"/>
      <c r="S100" s="88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G100" s="3"/>
      <c r="AH100" s="3"/>
      <c r="AI100" s="1"/>
      <c r="AJ100" s="1"/>
      <c r="AK100" s="1"/>
      <c r="AL100" s="1"/>
      <c r="AM100" s="1"/>
    </row>
    <row r="101" spans="1:39" x14ac:dyDescent="0.2"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P101" s="15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G101" s="3"/>
      <c r="AH101" s="3"/>
    </row>
    <row r="102" spans="1:39" x14ac:dyDescent="0.2">
      <c r="D102" s="11"/>
      <c r="E102" s="11"/>
      <c r="F102" s="11"/>
      <c r="G102" s="66"/>
      <c r="H102" s="66"/>
      <c r="I102" s="66"/>
      <c r="J102" s="66"/>
      <c r="K102" s="66"/>
      <c r="L102" s="66"/>
      <c r="M102" s="66"/>
      <c r="N102" s="11"/>
      <c r="O102" s="71" t="str">
        <f>AE59</f>
        <v>Exhibit 1</v>
      </c>
      <c r="P102" s="15"/>
    </row>
    <row r="103" spans="1:39" x14ac:dyDescent="0.2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72" t="s">
        <v>176</v>
      </c>
      <c r="P103" s="50"/>
      <c r="Q103" s="70"/>
      <c r="R103" s="70"/>
      <c r="S103" s="70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70"/>
      <c r="AF103" s="132"/>
      <c r="AG103" s="24"/>
      <c r="AH103" s="24"/>
    </row>
    <row r="104" spans="1:39" ht="18" x14ac:dyDescent="0.25">
      <c r="A104" s="269" t="str">
        <f>A3</f>
        <v>Deseret Generation &amp; Transmission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48"/>
      <c r="Q104" s="69"/>
      <c r="R104" s="69"/>
      <c r="S104" s="69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69"/>
      <c r="AG104" s="48"/>
      <c r="AH104" s="48"/>
    </row>
    <row r="105" spans="1:39" ht="15.75" x14ac:dyDescent="0.25">
      <c r="A105" s="270" t="s">
        <v>58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49"/>
      <c r="Q105" s="76"/>
      <c r="R105" s="76"/>
      <c r="S105" s="76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76"/>
      <c r="AG105" s="49"/>
      <c r="AH105" s="49"/>
    </row>
    <row r="106" spans="1:39" ht="15.75" x14ac:dyDescent="0.25">
      <c r="A106" s="271" t="str">
        <f>A5</f>
        <v>Years Ended December 31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49"/>
      <c r="Q106" s="76"/>
      <c r="R106" s="76"/>
      <c r="S106" s="76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76"/>
      <c r="AG106" s="49"/>
      <c r="AH106" s="49"/>
    </row>
    <row r="107" spans="1:39" ht="15.75" x14ac:dyDescent="0.25">
      <c r="A107" s="87"/>
      <c r="B107" s="87"/>
      <c r="C107" s="8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76"/>
      <c r="P107" s="49"/>
      <c r="Q107" s="76"/>
      <c r="R107" s="76"/>
      <c r="S107" s="76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76"/>
      <c r="AG107" s="49"/>
      <c r="AH107" s="49"/>
    </row>
    <row r="108" spans="1:39" x14ac:dyDescent="0.2"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P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G108" s="3"/>
      <c r="AH108" s="3"/>
    </row>
    <row r="109" spans="1:39" x14ac:dyDescent="0.2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7"/>
      <c r="O109" s="128" t="str">
        <f>O7</f>
        <v>2011 to 2015</v>
      </c>
      <c r="P109" s="7"/>
      <c r="Q109" s="71"/>
      <c r="R109" s="71"/>
      <c r="S109" s="71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1"/>
      <c r="AG109" s="7"/>
      <c r="AH109" s="7"/>
    </row>
    <row r="110" spans="1:39" x14ac:dyDescent="0.2">
      <c r="A110" s="118" t="s">
        <v>33</v>
      </c>
      <c r="B110" s="120">
        <f>+C110-1</f>
        <v>2003</v>
      </c>
      <c r="C110" s="120">
        <f>+D110-1</f>
        <v>2004</v>
      </c>
      <c r="D110" s="119">
        <f>T67</f>
        <v>2005</v>
      </c>
      <c r="E110" s="119">
        <f>U67</f>
        <v>2006</v>
      </c>
      <c r="F110" s="119">
        <f>V67</f>
        <v>2007</v>
      </c>
      <c r="G110" s="120">
        <f>W67</f>
        <v>2008</v>
      </c>
      <c r="H110" s="120">
        <f>+H67</f>
        <v>2009</v>
      </c>
      <c r="I110" s="120">
        <f>+I67</f>
        <v>2010</v>
      </c>
      <c r="J110" s="120">
        <v>2011</v>
      </c>
      <c r="K110" s="120">
        <v>2012</v>
      </c>
      <c r="L110" s="120">
        <v>2013</v>
      </c>
      <c r="M110" s="120">
        <v>2014</v>
      </c>
      <c r="N110" s="120">
        <f>+N67</f>
        <v>2015</v>
      </c>
      <c r="O110" s="129" t="s">
        <v>3</v>
      </c>
      <c r="P110" s="10"/>
      <c r="Q110" s="89"/>
      <c r="R110" s="89"/>
      <c r="S110" s="89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89"/>
      <c r="AG110" s="10"/>
      <c r="AH110" s="10"/>
    </row>
    <row r="111" spans="1:39" ht="7.5" customHeight="1" x14ac:dyDescent="0.2">
      <c r="A111" s="81"/>
      <c r="B111" s="81"/>
      <c r="C111" s="81"/>
      <c r="D111" s="102"/>
      <c r="E111" s="102"/>
      <c r="F111" s="102"/>
      <c r="G111" s="92"/>
      <c r="H111" s="92"/>
      <c r="I111" s="92"/>
      <c r="J111" s="92"/>
      <c r="K111" s="92"/>
      <c r="L111" s="92"/>
      <c r="M111" s="92"/>
      <c r="N111" s="92"/>
      <c r="O111" s="89"/>
      <c r="P111" s="10"/>
      <c r="Q111" s="89"/>
      <c r="R111" s="89"/>
      <c r="S111" s="89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89"/>
      <c r="AG111" s="10"/>
      <c r="AH111" s="10"/>
    </row>
    <row r="112" spans="1:39" x14ac:dyDescent="0.2">
      <c r="A112" s="131" t="s">
        <v>41</v>
      </c>
      <c r="B112" s="78"/>
      <c r="C112" s="78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P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G112" s="3"/>
      <c r="AH112" s="3"/>
    </row>
    <row r="113" spans="1:34" x14ac:dyDescent="0.2">
      <c r="A113" s="37" t="s">
        <v>6</v>
      </c>
      <c r="B113" s="90">
        <f t="shared" ref="B113:N113" si="170">B18/B43</f>
        <v>2.8317638361772373</v>
      </c>
      <c r="C113" s="90">
        <f t="shared" si="170"/>
        <v>2.9139278624877942</v>
      </c>
      <c r="D113" s="90">
        <f t="shared" si="170"/>
        <v>2.8390556004444694</v>
      </c>
      <c r="E113" s="90">
        <f t="shared" si="170"/>
        <v>4.3183911595132809</v>
      </c>
      <c r="F113" s="90">
        <f t="shared" si="170"/>
        <v>3.975271090985931</v>
      </c>
      <c r="G113" s="90">
        <f t="shared" si="170"/>
        <v>4.0236742596407025</v>
      </c>
      <c r="H113" s="90">
        <f t="shared" si="170"/>
        <v>3.6330758008764228</v>
      </c>
      <c r="I113" s="90">
        <f t="shared" ref="I113:M113" si="171">I18/I43</f>
        <v>3.1568287536968507</v>
      </c>
      <c r="J113" s="90">
        <f t="shared" si="171"/>
        <v>4.1851942566385327</v>
      </c>
      <c r="K113" s="90">
        <f t="shared" si="171"/>
        <v>5.457425424226801</v>
      </c>
      <c r="L113" s="90">
        <f t="shared" si="171"/>
        <v>3.4733078328239717</v>
      </c>
      <c r="M113" s="90">
        <f t="shared" si="171"/>
        <v>3.0296248712981235</v>
      </c>
      <c r="N113" s="90">
        <f t="shared" si="170"/>
        <v>3.9311276654777654</v>
      </c>
      <c r="O113" s="90">
        <f>AVERAGE(J113:N113)</f>
        <v>4.0153360100930389</v>
      </c>
      <c r="P113" s="4"/>
      <c r="Q113" s="90"/>
      <c r="R113" s="90"/>
      <c r="S113" s="90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90"/>
      <c r="AG113" s="4"/>
      <c r="AH113" s="4"/>
    </row>
    <row r="114" spans="1:34" x14ac:dyDescent="0.2">
      <c r="A114" s="37" t="s">
        <v>32</v>
      </c>
      <c r="B114" s="90">
        <f t="shared" ref="B114:N114" si="172">(B12+B14)/B43</f>
        <v>1.9598743844027797</v>
      </c>
      <c r="C114" s="90">
        <f t="shared" si="172"/>
        <v>1.6349856027592622</v>
      </c>
      <c r="D114" s="90">
        <f t="shared" si="172"/>
        <v>1.3547598854134741</v>
      </c>
      <c r="E114" s="90">
        <f t="shared" si="172"/>
        <v>1.5902136689693529</v>
      </c>
      <c r="F114" s="90">
        <f t="shared" si="172"/>
        <v>1.6968123048956132</v>
      </c>
      <c r="G114" s="90">
        <f t="shared" si="172"/>
        <v>1.2881796303031627</v>
      </c>
      <c r="H114" s="90">
        <f>(H12+H14)/H43</f>
        <v>1.1525932552454008</v>
      </c>
      <c r="I114" s="90">
        <f t="shared" ref="I114:M114" si="173">(I12+I14)/I43</f>
        <v>0.99990651055297153</v>
      </c>
      <c r="J114" s="90">
        <f t="shared" si="173"/>
        <v>1.3410492360340975</v>
      </c>
      <c r="K114" s="90">
        <f t="shared" si="173"/>
        <v>1.6360581099841689</v>
      </c>
      <c r="L114" s="90">
        <f t="shared" si="173"/>
        <v>1.2519914588831884</v>
      </c>
      <c r="M114" s="90">
        <f t="shared" si="173"/>
        <v>0.92860205707946553</v>
      </c>
      <c r="N114" s="90">
        <f t="shared" si="172"/>
        <v>1.2826594179879287</v>
      </c>
      <c r="O114" s="90">
        <f t="shared" ref="O114:O115" si="174">AVERAGE(J114:N114)</f>
        <v>1.2880720559937697</v>
      </c>
      <c r="P114" s="4"/>
      <c r="Q114" s="90"/>
      <c r="R114" s="90"/>
      <c r="S114" s="90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90"/>
      <c r="AG114" s="4"/>
      <c r="AH114" s="4"/>
    </row>
    <row r="115" spans="1:34" x14ac:dyDescent="0.2">
      <c r="A115" s="37" t="s">
        <v>9</v>
      </c>
      <c r="B115" s="90"/>
      <c r="C115" s="90">
        <f t="shared" ref="C115:G115" si="175">365*(((B14+C14)/2)/((B71+C71)/2))</f>
        <v>49.944921907858919</v>
      </c>
      <c r="D115" s="90">
        <f t="shared" si="175"/>
        <v>49.432826289142014</v>
      </c>
      <c r="E115" s="90">
        <f t="shared" si="175"/>
        <v>51.984126589527904</v>
      </c>
      <c r="F115" s="90">
        <f t="shared" si="175"/>
        <v>52.250875779846517</v>
      </c>
      <c r="G115" s="90">
        <f t="shared" si="175"/>
        <v>43.552507024625513</v>
      </c>
      <c r="H115" s="90">
        <f>365*(((G14+H14)/2)/((G71+H71)/2))</f>
        <v>37.160643996784415</v>
      </c>
      <c r="I115" s="90">
        <f>365*(((G14+I14)/2)/((G71+I71)/2))</f>
        <v>42.226329411381073</v>
      </c>
      <c r="J115" s="90">
        <f t="shared" ref="J115:M115" si="176">365*(((C14+J14)/2)/((C71+J71)/2))</f>
        <v>48.402098311583323</v>
      </c>
      <c r="K115" s="90">
        <f t="shared" si="176"/>
        <v>53.628826557012253</v>
      </c>
      <c r="L115" s="90">
        <f t="shared" si="176"/>
        <v>52.972527464569367</v>
      </c>
      <c r="M115" s="90">
        <f t="shared" si="176"/>
        <v>49.839380522557299</v>
      </c>
      <c r="N115" s="90">
        <f>365*(((G14+N14)/2)/((G71+N71)/2))</f>
        <v>38.886988083384836</v>
      </c>
      <c r="O115" s="90">
        <f t="shared" si="174"/>
        <v>48.745964187821414</v>
      </c>
      <c r="P115" s="4"/>
      <c r="Q115" s="90"/>
      <c r="R115" s="90"/>
      <c r="S115" s="90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90"/>
      <c r="AG115" s="4"/>
      <c r="AH115" s="4"/>
    </row>
    <row r="116" spans="1:34" x14ac:dyDescent="0.2"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4"/>
      <c r="Q116" s="90"/>
      <c r="R116" s="90"/>
      <c r="S116" s="90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90"/>
      <c r="AG116" s="4"/>
      <c r="AH116" s="4"/>
    </row>
    <row r="117" spans="1:34" x14ac:dyDescent="0.2">
      <c r="A117" s="131" t="s">
        <v>21</v>
      </c>
      <c r="B117" s="78"/>
      <c r="C117" s="78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4"/>
      <c r="Q117" s="90"/>
      <c r="R117" s="90"/>
      <c r="S117" s="90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90"/>
      <c r="AG117" s="4"/>
      <c r="AH117" s="4"/>
    </row>
    <row r="118" spans="1:34" x14ac:dyDescent="0.2">
      <c r="A118" s="37" t="s">
        <v>25</v>
      </c>
      <c r="B118" s="90">
        <f t="shared" ref="B118:C118" si="177">B55/B50</f>
        <v>0.22295042591133449</v>
      </c>
      <c r="C118" s="90">
        <f t="shared" si="177"/>
        <v>0.222247876319451</v>
      </c>
      <c r="D118" s="90">
        <f t="shared" ref="D118:N118" si="178">D55/D50</f>
        <v>0.20402169870806394</v>
      </c>
      <c r="E118" s="90">
        <f t="shared" si="178"/>
        <v>0.24045894639294998</v>
      </c>
      <c r="F118" s="90">
        <f t="shared" si="178"/>
        <v>0.2202167063650648</v>
      </c>
      <c r="G118" s="90">
        <f t="shared" si="178"/>
        <v>0.24881369395003747</v>
      </c>
      <c r="H118" s="90">
        <f t="shared" si="178"/>
        <v>0.22034418799800118</v>
      </c>
      <c r="I118" s="90">
        <f t="shared" ref="I118:M118" si="179">I55/I50</f>
        <v>0.23355264160161937</v>
      </c>
      <c r="J118" s="90">
        <f t="shared" si="179"/>
        <v>0.23243325424904099</v>
      </c>
      <c r="K118" s="90">
        <f t="shared" si="179"/>
        <v>0.21618852601977601</v>
      </c>
      <c r="L118" s="90">
        <f t="shared" si="179"/>
        <v>0.18792240290980006</v>
      </c>
      <c r="M118" s="90">
        <f t="shared" si="179"/>
        <v>0.20828283418465826</v>
      </c>
      <c r="N118" s="90">
        <f t="shared" si="178"/>
        <v>0.24932537114626963</v>
      </c>
      <c r="O118" s="90">
        <f t="shared" ref="O118:O121" si="180">AVERAGE(J118:N118)</f>
        <v>0.21883047770190894</v>
      </c>
      <c r="P118" s="4"/>
      <c r="Q118" s="90"/>
      <c r="R118" s="90"/>
      <c r="S118" s="90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90"/>
      <c r="AG118" s="4"/>
      <c r="AH118" s="4"/>
    </row>
    <row r="119" spans="1:34" x14ac:dyDescent="0.2">
      <c r="A119" s="37" t="s">
        <v>24</v>
      </c>
      <c r="B119" s="90">
        <f t="shared" ref="B119:C119" si="181">B55/B48</f>
        <v>0.23653061736758849</v>
      </c>
      <c r="C119" s="90">
        <f t="shared" si="181"/>
        <v>0.23659663525321184</v>
      </c>
      <c r="D119" s="90">
        <f t="shared" ref="D119:N119" si="182">D55/D48</f>
        <v>0.22143302718144259</v>
      </c>
      <c r="E119" s="90">
        <f t="shared" si="182"/>
        <v>0.25756431790673595</v>
      </c>
      <c r="F119" s="90">
        <f t="shared" si="182"/>
        <v>0.23693032177153231</v>
      </c>
      <c r="G119" s="90">
        <f t="shared" si="182"/>
        <v>0.27138880740334564</v>
      </c>
      <c r="H119" s="90">
        <f t="shared" si="182"/>
        <v>0.24422725393529682</v>
      </c>
      <c r="I119" s="90">
        <f t="shared" ref="I119:M119" si="183">I55/I48</f>
        <v>0.26642943097779959</v>
      </c>
      <c r="J119" s="90">
        <f t="shared" si="183"/>
        <v>0.2565332300320004</v>
      </c>
      <c r="K119" s="90">
        <f t="shared" si="183"/>
        <v>0.2341652725297145</v>
      </c>
      <c r="L119" s="90">
        <f t="shared" si="183"/>
        <v>0.21308766883335967</v>
      </c>
      <c r="M119" s="90">
        <f t="shared" si="183"/>
        <v>0.23809041448064214</v>
      </c>
      <c r="N119" s="90">
        <f t="shared" si="182"/>
        <v>0.2814256256722395</v>
      </c>
      <c r="O119" s="90">
        <f t="shared" si="180"/>
        <v>0.24466044230959128</v>
      </c>
      <c r="P119" s="4"/>
      <c r="Q119" s="90"/>
      <c r="R119" s="90"/>
      <c r="S119" s="90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90"/>
      <c r="AG119" s="4"/>
      <c r="AH119" s="4"/>
    </row>
    <row r="120" spans="1:34" x14ac:dyDescent="0.2">
      <c r="A120" s="37" t="s">
        <v>23</v>
      </c>
      <c r="B120" s="90">
        <f t="shared" ref="B120:N120" si="184">B55/B28</f>
        <v>0.36663819260293712</v>
      </c>
      <c r="C120" s="90">
        <f t="shared" si="184"/>
        <v>0.3702644470020407</v>
      </c>
      <c r="D120" s="90">
        <f t="shared" si="184"/>
        <v>0.36360829177503745</v>
      </c>
      <c r="E120" s="90">
        <f t="shared" si="184"/>
        <v>0.42520562776784726</v>
      </c>
      <c r="F120" s="90">
        <f t="shared" si="184"/>
        <v>0.39784112305553404</v>
      </c>
      <c r="G120" s="90">
        <f t="shared" si="184"/>
        <v>0.44105053577424341</v>
      </c>
      <c r="H120" s="90">
        <f t="shared" si="184"/>
        <v>0.4058194798112183</v>
      </c>
      <c r="I120" s="90">
        <f t="shared" ref="I120:M120" si="185">I55/I28</f>
        <v>0.43168367632879467</v>
      </c>
      <c r="J120" s="90">
        <f t="shared" si="185"/>
        <v>0.41742347920153683</v>
      </c>
      <c r="K120" s="90">
        <f t="shared" si="185"/>
        <v>0.39279663565342415</v>
      </c>
      <c r="L120" s="90">
        <f t="shared" si="185"/>
        <v>0.33867595366039244</v>
      </c>
      <c r="M120" s="90">
        <f t="shared" si="185"/>
        <v>0.35424302829975624</v>
      </c>
      <c r="N120" s="90">
        <f t="shared" si="184"/>
        <v>0.42487769318432278</v>
      </c>
      <c r="O120" s="90">
        <f t="shared" si="180"/>
        <v>0.38560335799988649</v>
      </c>
      <c r="P120" s="4"/>
      <c r="Q120" s="90"/>
      <c r="R120" s="90"/>
      <c r="S120" s="9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90"/>
      <c r="AG120" s="4"/>
      <c r="AH120" s="4"/>
    </row>
    <row r="121" spans="1:34" x14ac:dyDescent="0.2">
      <c r="A121" s="37" t="s">
        <v>43</v>
      </c>
      <c r="B121" s="90">
        <f t="shared" ref="B121:C121" si="186">(B93+B86)/B86</f>
        <v>0.82352547864512726</v>
      </c>
      <c r="C121" s="90">
        <f t="shared" si="186"/>
        <v>0.8756198326011535</v>
      </c>
      <c r="D121" s="90">
        <f>(D93+D86)/D86</f>
        <v>0.84503720666213933</v>
      </c>
      <c r="E121" s="90">
        <f t="shared" ref="E121:N121" si="187">(E93+E86)/E86</f>
        <v>1.3297864082896911</v>
      </c>
      <c r="F121" s="90">
        <f t="shared" si="187"/>
        <v>0.62212471237864597</v>
      </c>
      <c r="G121" s="90">
        <f t="shared" si="187"/>
        <v>1.3082713044658023</v>
      </c>
      <c r="H121" s="90">
        <f t="shared" si="187"/>
        <v>0.71974624290069844</v>
      </c>
      <c r="I121" s="90">
        <f t="shared" ref="I121:M121" si="188">(I93+I86)/I86</f>
        <v>1.1566952709125453</v>
      </c>
      <c r="J121" s="90">
        <f t="shared" si="188"/>
        <v>0.85287027485863653</v>
      </c>
      <c r="K121" s="90">
        <f t="shared" si="188"/>
        <v>0.71197032011780725</v>
      </c>
      <c r="L121" s="90">
        <f t="shared" si="188"/>
        <v>0.70257914954448175</v>
      </c>
      <c r="M121" s="90">
        <f t="shared" si="188"/>
        <v>0.96269053097247359</v>
      </c>
      <c r="N121" s="90">
        <f t="shared" si="187"/>
        <v>1.3491323686588488</v>
      </c>
      <c r="O121" s="90">
        <f t="shared" si="180"/>
        <v>0.91584852883044976</v>
      </c>
      <c r="P121" s="4"/>
      <c r="Q121" s="90"/>
      <c r="R121" s="90"/>
      <c r="S121" s="90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90"/>
      <c r="AG121" s="4"/>
      <c r="AH121" s="4"/>
    </row>
    <row r="122" spans="1:34" x14ac:dyDescent="0.2"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4"/>
      <c r="Q122" s="90"/>
      <c r="R122" s="90"/>
      <c r="S122" s="90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90"/>
      <c r="AG122" s="4"/>
      <c r="AH122" s="4"/>
    </row>
    <row r="123" spans="1:34" x14ac:dyDescent="0.2">
      <c r="A123" s="131" t="s">
        <v>74</v>
      </c>
      <c r="B123" s="78"/>
      <c r="C123" s="78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4"/>
      <c r="Q123" s="90"/>
      <c r="R123" s="90"/>
      <c r="S123" s="90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90"/>
      <c r="AG123" s="4"/>
      <c r="AH123" s="4"/>
    </row>
    <row r="124" spans="1:34" x14ac:dyDescent="0.2">
      <c r="A124" s="37" t="s">
        <v>130</v>
      </c>
      <c r="B124" s="104">
        <f t="shared" ref="B124:C124" si="189">+B84/B71</f>
        <v>5.5210486371475499E-2</v>
      </c>
      <c r="C124" s="104">
        <f t="shared" si="189"/>
        <v>9.0594542804219316E-2</v>
      </c>
      <c r="D124" s="104">
        <f t="shared" ref="D124:N124" si="190">+D84/D71</f>
        <v>0.134800277180672</v>
      </c>
      <c r="E124" s="104">
        <f t="shared" si="190"/>
        <v>9.9405440405303191E-2</v>
      </c>
      <c r="F124" s="104">
        <f t="shared" si="190"/>
        <v>2.9518062638663415E-3</v>
      </c>
      <c r="G124" s="104">
        <f t="shared" si="190"/>
        <v>9.1546976380338971E-2</v>
      </c>
      <c r="H124" s="104">
        <f t="shared" si="190"/>
        <v>5.368415489306904E-2</v>
      </c>
      <c r="I124" s="104">
        <f t="shared" ref="I124:M124" si="191">+I84/I71</f>
        <v>8.5772051155607265E-2</v>
      </c>
      <c r="J124" s="104">
        <f t="shared" si="191"/>
        <v>4.5402755709785726E-2</v>
      </c>
      <c r="K124" s="104">
        <f t="shared" si="191"/>
        <v>2.648510092156952E-2</v>
      </c>
      <c r="L124" s="104">
        <f t="shared" si="191"/>
        <v>4.616823048110847E-2</v>
      </c>
      <c r="M124" s="104">
        <f t="shared" si="191"/>
        <v>4.4246684897073799E-2</v>
      </c>
      <c r="N124" s="104">
        <f t="shared" si="190"/>
        <v>0.18767983814691266</v>
      </c>
      <c r="O124" s="104">
        <f>AVERAGE(J124:N124)</f>
        <v>6.9996522031290032E-2</v>
      </c>
      <c r="P124" s="4"/>
      <c r="Q124" s="90"/>
      <c r="R124" s="90"/>
      <c r="S124" s="90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90"/>
      <c r="AG124" s="4"/>
      <c r="AH124" s="4"/>
    </row>
    <row r="125" spans="1:34" x14ac:dyDescent="0.2">
      <c r="A125" s="37" t="s">
        <v>131</v>
      </c>
      <c r="B125" s="104">
        <f t="shared" ref="B125:C125" si="192">+B96/B71</f>
        <v>-3.0417791418178509E-2</v>
      </c>
      <c r="C125" s="104">
        <f t="shared" si="192"/>
        <v>-8.2047848861169052E-3</v>
      </c>
      <c r="D125" s="104">
        <f t="shared" ref="D125:N125" si="193">+D96/D71</f>
        <v>-2.3050775435400177E-2</v>
      </c>
      <c r="E125" s="104">
        <f t="shared" si="193"/>
        <v>4.8923437099197269E-2</v>
      </c>
      <c r="F125" s="104">
        <f t="shared" si="193"/>
        <v>-3.9657154877588724E-2</v>
      </c>
      <c r="G125" s="104">
        <f t="shared" si="193"/>
        <v>2.8909308497756112E-2</v>
      </c>
      <c r="H125" s="104">
        <f t="shared" si="193"/>
        <v>-3.8173729303490743E-2</v>
      </c>
      <c r="I125" s="104">
        <f t="shared" ref="I125:M125" si="194">+I96/I71</f>
        <v>2.1718505586656552E-2</v>
      </c>
      <c r="J125" s="104">
        <f t="shared" si="194"/>
        <v>-1.8695786131409792E-2</v>
      </c>
      <c r="K125" s="104">
        <f t="shared" si="194"/>
        <v>-4.0564302028275476E-2</v>
      </c>
      <c r="L125" s="104">
        <f t="shared" si="194"/>
        <v>-4.0470258998069948E-2</v>
      </c>
      <c r="M125" s="104">
        <f t="shared" si="194"/>
        <v>-5.4475341234604601E-3</v>
      </c>
      <c r="N125" s="104">
        <f t="shared" si="193"/>
        <v>4.5752001150170946E-2</v>
      </c>
      <c r="O125" s="104">
        <f t="shared" ref="O125:O128" si="195">AVERAGE(J125:N125)</f>
        <v>-1.1885176026208946E-2</v>
      </c>
      <c r="P125" s="4"/>
      <c r="Q125" s="90"/>
      <c r="R125" s="90"/>
      <c r="S125" s="90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90"/>
      <c r="AG125" s="4"/>
      <c r="AH125" s="4"/>
    </row>
    <row r="126" spans="1:34" x14ac:dyDescent="0.2">
      <c r="A126" s="37" t="s">
        <v>35</v>
      </c>
      <c r="B126" s="67"/>
      <c r="C126" s="67">
        <f t="shared" ref="C126:G126" si="196">(C96+(C86*(1-(C95/C93))))/((B36+C36)/2)</f>
        <v>2.3043716490906276E-2</v>
      </c>
      <c r="D126" s="67">
        <f t="shared" si="196"/>
        <v>5.3576225573186427E-2</v>
      </c>
      <c r="E126" s="67">
        <f>(E96+(E86*(1-(E95/E93))))/((D36+E36)/2)</f>
        <v>8.6601507876366071E-2</v>
      </c>
      <c r="F126" s="67">
        <f t="shared" si="196"/>
        <v>3.2760647221783561E-2</v>
      </c>
      <c r="G126" s="67">
        <f t="shared" si="196"/>
        <v>7.0031684220550991E-2</v>
      </c>
      <c r="H126" s="67">
        <f>(H96+(H86*(1-(H95/H93))))/((G36+H36)/2)</f>
        <v>4.8113399151315371E-2</v>
      </c>
      <c r="I126" s="67">
        <f>(I96+(I86*(1-(I95/I93))))/((G36+I36)/2)</f>
        <v>8.0541734687806038E-2</v>
      </c>
      <c r="J126" s="67">
        <f t="shared" ref="J126:M126" si="197">(J96+(J86*(1-(J95/J93))))/((C36+J36)/2)</f>
        <v>5.2358998880349894E-2</v>
      </c>
      <c r="K126" s="67">
        <f t="shared" si="197"/>
        <v>4.8086071266636651E-2</v>
      </c>
      <c r="L126" s="67">
        <f t="shared" si="197"/>
        <v>4.9594680752056572E-2</v>
      </c>
      <c r="M126" s="67">
        <f t="shared" si="197"/>
        <v>7.9031982239438844E-2</v>
      </c>
      <c r="N126" s="67">
        <f>(N96+(N86*(1-(N95/N93))))/((G36+N36)/2)</f>
        <v>9.9223563856623176E-2</v>
      </c>
      <c r="O126" s="104">
        <f t="shared" si="195"/>
        <v>6.565905939902103E-2</v>
      </c>
      <c r="P126" s="4"/>
      <c r="Q126" s="90"/>
      <c r="R126" s="90"/>
      <c r="S126" s="90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90"/>
      <c r="AG126" s="4"/>
      <c r="AH126" s="4"/>
    </row>
    <row r="127" spans="1:34" x14ac:dyDescent="0.2">
      <c r="A127" s="37" t="s">
        <v>73</v>
      </c>
      <c r="B127" s="67"/>
      <c r="C127" s="67">
        <f t="shared" ref="C127" si="198">(C96+(C86*(1-(C95/C93))))/((B45+C45+B55+C55)/2)</f>
        <v>2.8963815415434527E-2</v>
      </c>
      <c r="D127" s="67">
        <f>(D96+(D86*(1-(D95/D93))))/((C45+D45+C55+D55)/2)</f>
        <v>6.6790298430395717E-2</v>
      </c>
      <c r="E127" s="67">
        <f>(E96+(E86*(1-(E95/E93))))/((D45+E45+D55+E55)/2)</f>
        <v>0.10550926049555841</v>
      </c>
      <c r="F127" s="67">
        <f t="shared" ref="F127:G127" si="199">(F96+(F86*(1-(F95/F93))))/((E45+F45+E55+F55)/2)</f>
        <v>3.9678661015180881E-2</v>
      </c>
      <c r="G127" s="67">
        <f t="shared" si="199"/>
        <v>8.59129559619939E-2</v>
      </c>
      <c r="H127" s="67">
        <f>(H96+(H86*(1-(H95/H93))))/((G45+H45+G55+H55)/2)</f>
        <v>5.97206585075373E-2</v>
      </c>
      <c r="I127" s="67">
        <f>(I96+(I86*(1-(I95/I93))))/((H45+I45+H55+I55)/2)</f>
        <v>0.1022099999222201</v>
      </c>
      <c r="J127" s="67">
        <f t="shared" ref="J127:M127" si="200">(J96+(J86*(1-(J95/J93))))/((D45+J45+D55+J55)/2)</f>
        <v>6.4319068484842645E-2</v>
      </c>
      <c r="K127" s="67">
        <f t="shared" si="200"/>
        <v>5.9132400566181062E-2</v>
      </c>
      <c r="L127" s="67">
        <f t="shared" si="200"/>
        <v>6.4948326658452751E-2</v>
      </c>
      <c r="M127" s="67">
        <f t="shared" si="200"/>
        <v>0.10437071858445372</v>
      </c>
      <c r="N127" s="67">
        <f>(N96+(N86*(1-(N95/N93))))/((H45+N45+H55+N55)/2)</f>
        <v>0.13057862034393358</v>
      </c>
      <c r="O127" s="104">
        <f t="shared" si="195"/>
        <v>8.4669826927572758E-2</v>
      </c>
      <c r="P127" s="4"/>
      <c r="Q127" s="90"/>
      <c r="R127" s="90"/>
      <c r="S127" s="90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90"/>
      <c r="AG127" s="4"/>
      <c r="AH127" s="4"/>
    </row>
    <row r="128" spans="1:34" x14ac:dyDescent="0.2">
      <c r="A128" s="37" t="s">
        <v>72</v>
      </c>
      <c r="B128" s="67">
        <v>6.7734997943316805E-2</v>
      </c>
      <c r="C128" s="67">
        <v>6.7734997943316805E-2</v>
      </c>
      <c r="D128" s="67">
        <v>6.7734997943316805E-2</v>
      </c>
      <c r="E128" s="67">
        <v>6.7734997943316805E-2</v>
      </c>
      <c r="F128" s="67">
        <f>(F96-F98)/((F55+E55)/2)</f>
        <v>-0.10623714717386232</v>
      </c>
      <c r="G128" s="67">
        <f>(G96-G98)/((G55+F55)/2)</f>
        <v>8.6966355488711719E-2</v>
      </c>
      <c r="H128" s="67">
        <f>(H96-H98)/((H55+G55)/2)</f>
        <v>-9.8611925614702334E-2</v>
      </c>
      <c r="I128" s="67">
        <f>(I96-I98)/((I55+G55)/2)</f>
        <v>5.6146264832198881E-2</v>
      </c>
      <c r="J128" s="67">
        <f t="shared" ref="J128:M128" si="201">(J96-J98)/((J55+C55)/2)</f>
        <v>-4.8836147036714711E-2</v>
      </c>
      <c r="K128" s="67">
        <f t="shared" si="201"/>
        <v>-0.11237594483780179</v>
      </c>
      <c r="L128" s="67">
        <f t="shared" si="201"/>
        <v>-0.11771598177832961</v>
      </c>
      <c r="M128" s="67">
        <f t="shared" si="201"/>
        <v>-1.729662525272364E-2</v>
      </c>
      <c r="N128" s="67">
        <f>(N96-N98)/((N55+G55)/2)</f>
        <v>0.12878724884810969</v>
      </c>
      <c r="O128" s="104">
        <f t="shared" si="195"/>
        <v>-3.348749001149201E-2</v>
      </c>
      <c r="P128" s="4"/>
      <c r="Q128" s="90"/>
      <c r="R128" s="90"/>
      <c r="S128" s="90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90"/>
      <c r="AG128" s="4"/>
      <c r="AH128" s="4"/>
    </row>
    <row r="129" spans="1:34" x14ac:dyDescent="0.2"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4"/>
      <c r="Q129" s="90"/>
      <c r="R129" s="90"/>
      <c r="S129" s="90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90"/>
      <c r="AG129" s="4"/>
      <c r="AH129" s="4"/>
    </row>
    <row r="130" spans="1:34" x14ac:dyDescent="0.2">
      <c r="A130" s="131" t="s">
        <v>2</v>
      </c>
      <c r="B130" s="78"/>
      <c r="C130" s="78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4"/>
      <c r="Q130" s="90"/>
      <c r="R130" s="90"/>
      <c r="S130" s="9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90"/>
      <c r="AG130" s="4"/>
      <c r="AH130" s="4"/>
    </row>
    <row r="131" spans="1:34" x14ac:dyDescent="0.2">
      <c r="A131" s="37" t="s">
        <v>37</v>
      </c>
      <c r="B131" s="90"/>
      <c r="C131" s="90">
        <f t="shared" ref="C131:G131" si="202">C71/((B12+C12)/2)</f>
        <v>11.758293205547888</v>
      </c>
      <c r="D131" s="90">
        <f>D71/((C12+D12)/2)</f>
        <v>14.798859833326912</v>
      </c>
      <c r="E131" s="90">
        <f t="shared" si="202"/>
        <v>17.431840430609022</v>
      </c>
      <c r="F131" s="90">
        <f t="shared" si="202"/>
        <v>21.624297126430484</v>
      </c>
      <c r="G131" s="90">
        <f t="shared" si="202"/>
        <v>21.126223211514965</v>
      </c>
      <c r="H131" s="90">
        <f>H71/((G12+H12)/2)</f>
        <v>14.25702802071079</v>
      </c>
      <c r="I131" s="90">
        <f>I71/((G12+I12)/2)</f>
        <v>16.685258872083601</v>
      </c>
      <c r="J131" s="90">
        <f t="shared" ref="J131:M131" si="203">J71/((C12+J12)/2)</f>
        <v>16.12029229561665</v>
      </c>
      <c r="K131" s="90">
        <f t="shared" si="203"/>
        <v>19.204418681941718</v>
      </c>
      <c r="L131" s="90">
        <f t="shared" si="203"/>
        <v>18.347717923137601</v>
      </c>
      <c r="M131" s="90">
        <f t="shared" si="203"/>
        <v>30.826455522500105</v>
      </c>
      <c r="N131" s="90">
        <f>N71/((G12+N12)/2)</f>
        <v>16.769128275920266</v>
      </c>
      <c r="O131" s="90">
        <f t="shared" ref="O131:O135" si="204">AVERAGE(J131:N131)</f>
        <v>20.25360253982327</v>
      </c>
      <c r="P131" s="4"/>
      <c r="Q131" s="90"/>
      <c r="R131" s="90"/>
      <c r="S131" s="90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90"/>
      <c r="AG131" s="4"/>
      <c r="AH131" s="4"/>
    </row>
    <row r="132" spans="1:34" x14ac:dyDescent="0.2">
      <c r="A132" s="37" t="s">
        <v>36</v>
      </c>
      <c r="B132" s="90"/>
      <c r="C132" s="90">
        <f t="shared" ref="C132:G132" si="205">C71/((B14+C14)/2)</f>
        <v>7.5690994718106115</v>
      </c>
      <c r="D132" s="90">
        <f t="shared" si="205"/>
        <v>7.6076365603927751</v>
      </c>
      <c r="E132" s="90">
        <f t="shared" si="205"/>
        <v>7.1224051801801798</v>
      </c>
      <c r="F132" s="90">
        <f t="shared" si="205"/>
        <v>7.349437270548508</v>
      </c>
      <c r="G132" s="90">
        <f t="shared" si="205"/>
        <v>8.7814157740801537</v>
      </c>
      <c r="H132" s="90">
        <f>H71/((G14+H14)/2)</f>
        <v>8.983018629804576</v>
      </c>
      <c r="I132" s="90">
        <f>I71/((G14+I14)/2)</f>
        <v>8.0064613952872072</v>
      </c>
      <c r="J132" s="90">
        <f t="shared" ref="J132:M132" si="206">J71/((C14+J14)/2)</f>
        <v>7.9342858384268373</v>
      </c>
      <c r="K132" s="90">
        <f t="shared" si="206"/>
        <v>6.8489913594326408</v>
      </c>
      <c r="L132" s="90">
        <f t="shared" si="206"/>
        <v>7.0144857278526906</v>
      </c>
      <c r="M132" s="90">
        <f t="shared" si="206"/>
        <v>7.1110595922723032</v>
      </c>
      <c r="N132" s="90">
        <f>N71/((G14+N14)/2)</f>
        <v>8.5662403309298654</v>
      </c>
      <c r="O132" s="90">
        <f t="shared" si="204"/>
        <v>7.495012569782868</v>
      </c>
      <c r="P132" s="4"/>
      <c r="Q132" s="90"/>
      <c r="R132" s="90"/>
      <c r="S132" s="90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90"/>
      <c r="AG132" s="4"/>
      <c r="AH132" s="4"/>
    </row>
    <row r="133" spans="1:34" x14ac:dyDescent="0.2">
      <c r="A133" s="37" t="s">
        <v>40</v>
      </c>
      <c r="B133" s="90"/>
      <c r="C133" s="90">
        <f t="shared" ref="C133:G133" si="207">C71/((B18+C18-B43-C43)/2)</f>
        <v>4.4119894941013493</v>
      </c>
      <c r="D133" s="90">
        <f t="shared" si="207"/>
        <v>3.9602351693806606</v>
      </c>
      <c r="E133" s="90">
        <f t="shared" si="207"/>
        <v>2.9532071487793261</v>
      </c>
      <c r="F133" s="90">
        <f t="shared" si="207"/>
        <v>2.8689848691481603</v>
      </c>
      <c r="G133" s="90">
        <f t="shared" si="207"/>
        <v>3.0600500796103733</v>
      </c>
      <c r="H133" s="90">
        <f>H71/((G18+H18-G43-H43)/2)</f>
        <v>2.380494709347396</v>
      </c>
      <c r="I133" s="90">
        <f>I71/((G18+I18-G43-I43)/2)</f>
        <v>2.4092254918256324</v>
      </c>
      <c r="J133" s="90">
        <f t="shared" ref="J133:M133" si="208">J71/((C18+J18-C43-J43)/2)</f>
        <v>2.9606485585538103</v>
      </c>
      <c r="K133" s="90">
        <f t="shared" si="208"/>
        <v>2.5091560193727989</v>
      </c>
      <c r="L133" s="90">
        <f t="shared" si="208"/>
        <v>2.5023489179035772</v>
      </c>
      <c r="M133" s="90">
        <f t="shared" si="208"/>
        <v>2.9899430647645726</v>
      </c>
      <c r="N133" s="90">
        <f>N71/((G18+N18-G43-N43)/2)</f>
        <v>2.4477758620488803</v>
      </c>
      <c r="O133" s="90">
        <f t="shared" si="204"/>
        <v>2.6819744845287277</v>
      </c>
      <c r="P133" s="4"/>
      <c r="Q133" s="90"/>
      <c r="R133" s="90"/>
      <c r="S133" s="90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90"/>
      <c r="AG133" s="4"/>
      <c r="AH133" s="4"/>
    </row>
    <row r="134" spans="1:34" x14ac:dyDescent="0.2">
      <c r="A134" s="37" t="s">
        <v>38</v>
      </c>
      <c r="B134" s="90"/>
      <c r="C134" s="90">
        <f>C71/((B28+C28)/2)</f>
        <v>0.80726143371785219</v>
      </c>
      <c r="D134" s="90">
        <f>D71/((C28+D28)/2)</f>
        <v>0.89080933483835489</v>
      </c>
      <c r="E134" s="90">
        <f>E71/((D28+E28)/2)</f>
        <v>0.95227163122531577</v>
      </c>
      <c r="F134" s="90">
        <f>F71/((D28+F28)/2)</f>
        <v>1.0818186747834764</v>
      </c>
      <c r="G134" s="90">
        <f>G71/((E28+G28)/2)</f>
        <v>1.2302416051742935</v>
      </c>
      <c r="H134" s="90">
        <f>H71/((F28+H28)/2)</f>
        <v>1.0794332001659854</v>
      </c>
      <c r="I134" s="90">
        <f>I71/((F28+I28)/2)</f>
        <v>1.1126552022558414</v>
      </c>
      <c r="J134" s="90">
        <f t="shared" ref="J134:M134" si="209">J71/((B28+J28)/2)</f>
        <v>0.99993439278140639</v>
      </c>
      <c r="K134" s="90">
        <f t="shared" si="209"/>
        <v>1.0200522152677705</v>
      </c>
      <c r="L134" s="90">
        <f t="shared" si="209"/>
        <v>1.1019879383288358</v>
      </c>
      <c r="M134" s="90">
        <f t="shared" si="209"/>
        <v>1.1703555619878225</v>
      </c>
      <c r="N134" s="90">
        <f>N71/((F28+N28)/2)</f>
        <v>1.2030011915492838</v>
      </c>
      <c r="O134" s="90">
        <f t="shared" si="204"/>
        <v>1.0990662599830237</v>
      </c>
      <c r="P134" s="4"/>
      <c r="Q134" s="90"/>
      <c r="R134" s="90"/>
      <c r="S134" s="90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90"/>
      <c r="AG134" s="4"/>
      <c r="AH134" s="4"/>
    </row>
    <row r="135" spans="1:34" x14ac:dyDescent="0.2">
      <c r="A135" s="37" t="s">
        <v>39</v>
      </c>
      <c r="B135" s="90"/>
      <c r="C135" s="90">
        <f t="shared" ref="C135:G135" si="210">C71/((B36+C36)/2)</f>
        <v>0.39895220665539122</v>
      </c>
      <c r="D135" s="90">
        <f t="shared" si="210"/>
        <v>0.42622427410800084</v>
      </c>
      <c r="E135" s="90">
        <f t="shared" si="210"/>
        <v>0.43899478014513843</v>
      </c>
      <c r="F135" s="90">
        <f t="shared" si="210"/>
        <v>0.50176684065328769</v>
      </c>
      <c r="G135" s="90">
        <f t="shared" si="210"/>
        <v>0.57081076094523153</v>
      </c>
      <c r="H135" s="90">
        <f>H71/((G36+H36)/2)</f>
        <v>0.49076489299180154</v>
      </c>
      <c r="I135" s="90">
        <f>I71/((B36+I36)/2)</f>
        <v>0.47884275149009492</v>
      </c>
      <c r="J135" s="90">
        <f t="shared" ref="J135:M135" si="211">J71/((C36+J36)/2)</f>
        <v>0.48313115957865355</v>
      </c>
      <c r="K135" s="90">
        <f t="shared" si="211"/>
        <v>0.47956849014558106</v>
      </c>
      <c r="L135" s="90">
        <f t="shared" si="211"/>
        <v>0.51877049691283117</v>
      </c>
      <c r="M135" s="90">
        <f t="shared" si="211"/>
        <v>0.56225753432099179</v>
      </c>
      <c r="N135" s="90">
        <f>N71/((G36+N36)/2)</f>
        <v>0.56122922757672555</v>
      </c>
      <c r="O135" s="90">
        <f t="shared" si="204"/>
        <v>0.52099138170695658</v>
      </c>
      <c r="P135" s="4"/>
      <c r="Q135" s="90"/>
      <c r="R135" s="90"/>
      <c r="S135" s="90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90"/>
      <c r="AG135" s="4"/>
      <c r="AH135" s="4"/>
    </row>
    <row r="136" spans="1:34" x14ac:dyDescent="0.2"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90"/>
      <c r="P136" s="4"/>
      <c r="Q136" s="90"/>
      <c r="R136" s="90"/>
      <c r="S136" s="90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90"/>
      <c r="AG136" s="4"/>
      <c r="AH136" s="4"/>
    </row>
    <row r="137" spans="1:34" hidden="1" x14ac:dyDescent="0.2">
      <c r="A137" s="78" t="s">
        <v>75</v>
      </c>
      <c r="B137" s="78"/>
      <c r="C137" s="78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90"/>
      <c r="P137" s="4"/>
      <c r="Q137" s="90"/>
      <c r="R137" s="90"/>
      <c r="S137" s="90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90"/>
      <c r="AG137" s="4"/>
      <c r="AH137" s="4"/>
    </row>
    <row r="138" spans="1:34" hidden="1" x14ac:dyDescent="0.2">
      <c r="A138" s="37" t="s">
        <v>76</v>
      </c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0"/>
      <c r="P138" s="4"/>
      <c r="Q138" s="90"/>
      <c r="R138" s="90"/>
      <c r="S138" s="90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90"/>
      <c r="AG138" s="4"/>
      <c r="AH138" s="4"/>
    </row>
    <row r="139" spans="1:34" hidden="1" x14ac:dyDescent="0.2">
      <c r="A139" s="37" t="s">
        <v>78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90"/>
      <c r="P139" s="4"/>
      <c r="Q139" s="90"/>
      <c r="R139" s="90"/>
      <c r="S139" s="90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90"/>
      <c r="AG139" s="4"/>
      <c r="AH139" s="4"/>
    </row>
    <row r="140" spans="1:34" hidden="1" x14ac:dyDescent="0.2">
      <c r="A140" s="37" t="s">
        <v>77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90"/>
      <c r="P140" s="4"/>
      <c r="Q140" s="90"/>
      <c r="R140" s="90"/>
      <c r="S140" s="9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90"/>
      <c r="AG140" s="4"/>
      <c r="AH140" s="4"/>
    </row>
    <row r="141" spans="1:34" hidden="1" x14ac:dyDescent="0.2"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90"/>
      <c r="P141" s="4"/>
      <c r="Q141" s="90"/>
      <c r="R141" s="90"/>
      <c r="S141" s="90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90"/>
      <c r="AG141" s="4"/>
      <c r="AH141" s="4"/>
    </row>
    <row r="142" spans="1:34" x14ac:dyDescent="0.2">
      <c r="A142" s="131" t="s">
        <v>91</v>
      </c>
      <c r="B142" s="78"/>
      <c r="C142" s="78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90"/>
      <c r="P142" s="4"/>
      <c r="Q142" s="90"/>
      <c r="R142" s="90"/>
      <c r="S142" s="90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90"/>
      <c r="AG142" s="4"/>
      <c r="AH142" s="4"/>
    </row>
    <row r="143" spans="1:34" x14ac:dyDescent="0.2">
      <c r="A143" s="37" t="s">
        <v>67</v>
      </c>
      <c r="B143" s="67">
        <f t="shared" ref="B143:C143" si="212">B45/(B$45+B$55)</f>
        <v>0.77167322753917522</v>
      </c>
      <c r="C143" s="67">
        <f t="shared" si="212"/>
        <v>0.77061081297643563</v>
      </c>
      <c r="D143" s="67">
        <f t="shared" ref="D143:N143" si="213">D45/(D$45+D$55)</f>
        <v>0.79118404317236035</v>
      </c>
      <c r="E143" s="67">
        <f t="shared" si="213"/>
        <v>0.76652298021642695</v>
      </c>
      <c r="F143" s="67">
        <f t="shared" si="213"/>
        <v>0.78013421526611593</v>
      </c>
      <c r="G143" s="67">
        <f t="shared" si="213"/>
        <v>0.75382000408888372</v>
      </c>
      <c r="H143" s="67">
        <f t="shared" si="213"/>
        <v>0.77483330976213161</v>
      </c>
      <c r="I143" s="67">
        <f t="shared" ref="I143:M143" si="214">I45/(I$45+I$55)</f>
        <v>0.75968771969927662</v>
      </c>
      <c r="J143" s="67">
        <f t="shared" si="214"/>
        <v>0.76517644905592819</v>
      </c>
      <c r="K143" s="67">
        <f t="shared" si="214"/>
        <v>0.78009031284940367</v>
      </c>
      <c r="L143" s="67">
        <f t="shared" si="214"/>
        <v>0.78452070545006947</v>
      </c>
      <c r="M143" s="67">
        <f t="shared" si="214"/>
        <v>0.75740110444527575</v>
      </c>
      <c r="N143" s="67">
        <f t="shared" si="213"/>
        <v>0.72321106464773244</v>
      </c>
      <c r="O143" s="104">
        <f t="shared" ref="O143:O144" si="215">AVERAGE(J143:N143)</f>
        <v>0.76207992728968199</v>
      </c>
      <c r="P143" s="4"/>
      <c r="Q143" s="90"/>
      <c r="R143" s="90"/>
      <c r="S143" s="90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90"/>
      <c r="AG143" s="4"/>
      <c r="AH143" s="4"/>
    </row>
    <row r="144" spans="1:34" x14ac:dyDescent="0.2">
      <c r="A144" s="37" t="s">
        <v>92</v>
      </c>
      <c r="B144" s="67">
        <f t="shared" ref="B144:C144" si="216">B55/(B$45+B$55)</f>
        <v>0.22832677246082472</v>
      </c>
      <c r="C144" s="67">
        <f t="shared" si="216"/>
        <v>0.22938918702356442</v>
      </c>
      <c r="D144" s="67">
        <f t="shared" ref="D144:N144" si="217">D55/(D$45+D$55)</f>
        <v>0.20881595682763962</v>
      </c>
      <c r="E144" s="67">
        <f t="shared" si="217"/>
        <v>0.23347701978357305</v>
      </c>
      <c r="F144" s="67">
        <f t="shared" si="217"/>
        <v>0.21986578473388405</v>
      </c>
      <c r="G144" s="67">
        <f t="shared" si="217"/>
        <v>0.24617999591111631</v>
      </c>
      <c r="H144" s="67">
        <f t="shared" si="217"/>
        <v>0.22516669023786839</v>
      </c>
      <c r="I144" s="67">
        <f t="shared" ref="I144:M144" si="218">I55/(I$45+I$55)</f>
        <v>0.24031228030072335</v>
      </c>
      <c r="J144" s="67">
        <f t="shared" si="218"/>
        <v>0.23482355094407178</v>
      </c>
      <c r="K144" s="67">
        <f t="shared" si="218"/>
        <v>0.21990968715059631</v>
      </c>
      <c r="L144" s="67">
        <f t="shared" si="218"/>
        <v>0.21547929454993056</v>
      </c>
      <c r="M144" s="67">
        <f t="shared" si="218"/>
        <v>0.24259889555472419</v>
      </c>
      <c r="N144" s="67">
        <f t="shared" si="217"/>
        <v>0.27678893535226756</v>
      </c>
      <c r="O144" s="104">
        <f t="shared" si="215"/>
        <v>0.23792007271031812</v>
      </c>
      <c r="Q144" s="4"/>
      <c r="R144" s="90"/>
      <c r="S144" s="90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90"/>
      <c r="AG144" s="4"/>
      <c r="AH144" s="4"/>
    </row>
    <row r="145" spans="1:34" x14ac:dyDescent="0.2"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P145" s="4"/>
      <c r="Q145" s="90"/>
      <c r="R145" s="90"/>
      <c r="S145" s="90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90"/>
      <c r="AG145" s="4"/>
      <c r="AH145" s="4"/>
    </row>
    <row r="146" spans="1:34" x14ac:dyDescent="0.2">
      <c r="A146" s="131" t="s">
        <v>93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P146" s="4"/>
      <c r="Q146" s="90"/>
      <c r="R146" s="90"/>
      <c r="S146" s="90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90"/>
      <c r="AG146" s="4"/>
      <c r="AH146" s="4"/>
    </row>
    <row r="147" spans="1:34" x14ac:dyDescent="0.2">
      <c r="A147" s="37" t="s">
        <v>94</v>
      </c>
      <c r="B147" s="67">
        <f t="shared" ref="B147:N147" si="219">B$39/(B$39+B$45+B$55)</f>
        <v>0</v>
      </c>
      <c r="C147" s="67">
        <f t="shared" si="219"/>
        <v>0</v>
      </c>
      <c r="D147" s="67">
        <f t="shared" si="219"/>
        <v>0</v>
      </c>
      <c r="E147" s="67">
        <f t="shared" si="219"/>
        <v>0</v>
      </c>
      <c r="F147" s="67">
        <f t="shared" si="219"/>
        <v>0</v>
      </c>
      <c r="G147" s="67">
        <f t="shared" si="219"/>
        <v>0</v>
      </c>
      <c r="H147" s="67">
        <f t="shared" si="219"/>
        <v>0</v>
      </c>
      <c r="I147" s="67">
        <f t="shared" si="219"/>
        <v>0</v>
      </c>
      <c r="J147" s="67">
        <f t="shared" si="219"/>
        <v>0</v>
      </c>
      <c r="K147" s="67">
        <f t="shared" si="219"/>
        <v>0</v>
      </c>
      <c r="L147" s="67">
        <f t="shared" si="219"/>
        <v>0</v>
      </c>
      <c r="M147" s="67">
        <f t="shared" si="219"/>
        <v>0</v>
      </c>
      <c r="N147" s="67">
        <f t="shared" si="219"/>
        <v>0</v>
      </c>
      <c r="O147" s="104">
        <f t="shared" ref="O147:O149" si="220">AVERAGE(J147:N147)</f>
        <v>0</v>
      </c>
      <c r="P147" s="4"/>
      <c r="Q147" s="90"/>
      <c r="R147" s="90"/>
      <c r="S147" s="90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90"/>
      <c r="AG147" s="4"/>
      <c r="AH147" s="4"/>
    </row>
    <row r="148" spans="1:34" x14ac:dyDescent="0.2">
      <c r="A148" s="37" t="s">
        <v>67</v>
      </c>
      <c r="B148" s="67">
        <f t="shared" ref="B148:N148" si="221">B$45/(B$39+B$45+B$55)</f>
        <v>0.77167322753917522</v>
      </c>
      <c r="C148" s="67">
        <f t="shared" si="221"/>
        <v>0.77061081297643563</v>
      </c>
      <c r="D148" s="67">
        <f t="shared" si="221"/>
        <v>0.79118404317236035</v>
      </c>
      <c r="E148" s="67">
        <f t="shared" si="221"/>
        <v>0.76652298021642695</v>
      </c>
      <c r="F148" s="67">
        <f t="shared" si="221"/>
        <v>0.78013421526611593</v>
      </c>
      <c r="G148" s="67">
        <f t="shared" si="221"/>
        <v>0.75382000408888372</v>
      </c>
      <c r="H148" s="67">
        <f t="shared" si="221"/>
        <v>0.77483330976213161</v>
      </c>
      <c r="I148" s="67">
        <f t="shared" si="221"/>
        <v>0.75968771969927662</v>
      </c>
      <c r="J148" s="67">
        <f t="shared" si="221"/>
        <v>0.76517644905592819</v>
      </c>
      <c r="K148" s="67">
        <f t="shared" si="221"/>
        <v>0.78009031284940367</v>
      </c>
      <c r="L148" s="67">
        <f t="shared" si="221"/>
        <v>0.78452070545006947</v>
      </c>
      <c r="M148" s="67">
        <f t="shared" si="221"/>
        <v>0.75740110444527575</v>
      </c>
      <c r="N148" s="67">
        <f t="shared" si="221"/>
        <v>0.72321106464773244</v>
      </c>
      <c r="O148" s="104">
        <f t="shared" si="220"/>
        <v>0.76207992728968199</v>
      </c>
      <c r="P148" s="4"/>
      <c r="Q148" s="90"/>
      <c r="R148" s="90"/>
      <c r="S148" s="90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90"/>
      <c r="AG148" s="4"/>
      <c r="AH148" s="4"/>
    </row>
    <row r="149" spans="1:34" x14ac:dyDescent="0.2">
      <c r="A149" s="37" t="s">
        <v>5</v>
      </c>
      <c r="B149" s="67">
        <f t="shared" ref="B149:N149" si="222">B$55/(B$39+B$45+B$55)</f>
        <v>0.22832677246082472</v>
      </c>
      <c r="C149" s="67">
        <f t="shared" si="222"/>
        <v>0.22938918702356442</v>
      </c>
      <c r="D149" s="67">
        <f t="shared" si="222"/>
        <v>0.20881595682763962</v>
      </c>
      <c r="E149" s="67">
        <f t="shared" si="222"/>
        <v>0.23347701978357305</v>
      </c>
      <c r="F149" s="67">
        <f t="shared" si="222"/>
        <v>0.21986578473388405</v>
      </c>
      <c r="G149" s="67">
        <f t="shared" si="222"/>
        <v>0.24617999591111631</v>
      </c>
      <c r="H149" s="67">
        <f t="shared" si="222"/>
        <v>0.22516669023786839</v>
      </c>
      <c r="I149" s="67">
        <f t="shared" si="222"/>
        <v>0.24031228030072335</v>
      </c>
      <c r="J149" s="67">
        <f t="shared" si="222"/>
        <v>0.23482355094407178</v>
      </c>
      <c r="K149" s="67">
        <f t="shared" si="222"/>
        <v>0.21990968715059631</v>
      </c>
      <c r="L149" s="67">
        <f t="shared" si="222"/>
        <v>0.21547929454993056</v>
      </c>
      <c r="M149" s="67">
        <f t="shared" si="222"/>
        <v>0.24259889555472419</v>
      </c>
      <c r="N149" s="67">
        <f t="shared" si="222"/>
        <v>0.27678893535226756</v>
      </c>
      <c r="O149" s="104">
        <f t="shared" si="220"/>
        <v>0.23792007271031812</v>
      </c>
      <c r="P149" s="4"/>
      <c r="Q149" s="90"/>
      <c r="R149" s="90"/>
      <c r="S149" s="90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90"/>
      <c r="AG149" s="4"/>
      <c r="AH149" s="4"/>
    </row>
    <row r="150" spans="1:34" x14ac:dyDescent="0.2"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90"/>
      <c r="P150" s="4"/>
      <c r="Q150" s="90"/>
      <c r="R150" s="90"/>
      <c r="S150" s="9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90"/>
      <c r="AG150" s="4"/>
      <c r="AH150" s="4"/>
    </row>
    <row r="151" spans="1:34" x14ac:dyDescent="0.2"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P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G151" s="3"/>
      <c r="AH151" s="3"/>
    </row>
    <row r="152" spans="1:34" x14ac:dyDescent="0.2"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P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G152" s="15"/>
      <c r="AH152" s="15"/>
    </row>
    <row r="154" spans="1:34" x14ac:dyDescent="0.2">
      <c r="A154" s="37" t="s">
        <v>182</v>
      </c>
      <c r="D154" s="162">
        <f>(D86+C86)/(D45+C45)</f>
        <v>0.10108548726026516</v>
      </c>
      <c r="E154" s="162">
        <f>(E86+D86)/(E45+D45)</f>
        <v>0.10056587614851847</v>
      </c>
      <c r="F154" s="162">
        <f t="shared" ref="F154:G154" si="223">(F86+E86)/(F45+E45)</f>
        <v>9.3777159485267589E-2</v>
      </c>
      <c r="G154" s="162">
        <f t="shared" si="223"/>
        <v>8.6319265919816451E-2</v>
      </c>
      <c r="H154" s="162">
        <f>(H86+G86)/(H45+G45)</f>
        <v>9.865026307337392E-2</v>
      </c>
      <c r="I154" s="104">
        <f t="shared" ref="I154:N154" si="224">(I86)/(I45+H45)</f>
        <v>5.7579043746818978E-2</v>
      </c>
      <c r="J154" s="104">
        <f t="shared" si="224"/>
        <v>5.294387378342557E-2</v>
      </c>
      <c r="K154" s="104">
        <f t="shared" si="224"/>
        <v>5.9441924722461494E-2</v>
      </c>
      <c r="L154" s="104">
        <f t="shared" si="224"/>
        <v>6.5913170533607165E-2</v>
      </c>
      <c r="M154" s="104">
        <f t="shared" si="224"/>
        <v>8.3081721597287356E-2</v>
      </c>
      <c r="N154" s="104">
        <f t="shared" si="224"/>
        <v>8.1806876075676146E-2</v>
      </c>
      <c r="O154" s="104">
        <f>AVERAGE(J154:N154)</f>
        <v>6.8637513342491546E-2</v>
      </c>
    </row>
    <row r="155" spans="1:34" x14ac:dyDescent="0.2">
      <c r="A155" s="37" t="s">
        <v>183</v>
      </c>
      <c r="D155" s="66">
        <f>+D45-C45</f>
        <v>20338631</v>
      </c>
      <c r="E155" s="66">
        <f>+E45-D45</f>
        <v>-8012866</v>
      </c>
      <c r="F155" s="66">
        <f t="shared" ref="F155:G155" si="225">+F45-E45</f>
        <v>-11523876</v>
      </c>
      <c r="G155" s="66">
        <f t="shared" si="225"/>
        <v>-21165834</v>
      </c>
      <c r="H155" s="66">
        <f>+H45-G45</f>
        <v>276053</v>
      </c>
      <c r="I155" s="66">
        <f>+I45-H45</f>
        <v>-10404645</v>
      </c>
      <c r="J155" s="66">
        <f t="shared" ref="J155:M155" si="226">+J45-I45</f>
        <v>-11728964</v>
      </c>
      <c r="K155" s="66">
        <f t="shared" si="226"/>
        <v>-11510230</v>
      </c>
      <c r="L155" s="66">
        <f t="shared" si="226"/>
        <v>-30805164</v>
      </c>
      <c r="M155" s="66">
        <f t="shared" si="226"/>
        <v>-35500967</v>
      </c>
      <c r="N155" s="66">
        <f>+N45-M45</f>
        <v>-8427556</v>
      </c>
      <c r="O155" s="66">
        <f>AVERAGE(J155:N155)</f>
        <v>-19594576.199999999</v>
      </c>
    </row>
  </sheetData>
  <mergeCells count="15">
    <mergeCell ref="A104:O104"/>
    <mergeCell ref="A105:O105"/>
    <mergeCell ref="A106:O106"/>
    <mergeCell ref="Q3:AE3"/>
    <mergeCell ref="Q4:AE4"/>
    <mergeCell ref="Q5:AE5"/>
    <mergeCell ref="Q61:AE61"/>
    <mergeCell ref="Q62:AE62"/>
    <mergeCell ref="Q63:AE63"/>
    <mergeCell ref="A3:O3"/>
    <mergeCell ref="A4:O4"/>
    <mergeCell ref="A5:O5"/>
    <mergeCell ref="A61:O61"/>
    <mergeCell ref="A62:O62"/>
    <mergeCell ref="A63:O63"/>
  </mergeCells>
  <phoneticPr fontId="4" type="noConversion"/>
  <printOptions horizontalCentered="1"/>
  <pageMargins left="0.67" right="0.7" top="0.75" bottom="0.75" header="0.28999999999999998" footer="0.3"/>
  <pageSetup scale="79" orientation="portrait" r:id="rId1"/>
  <headerFooter alignWithMargins="0"/>
  <rowBreaks count="2" manualBreakCount="2">
    <brk id="58" max="30" man="1"/>
    <brk id="101" max="8" man="1"/>
  </rowBreaks>
  <colBreaks count="1" manualBreakCount="1">
    <brk id="15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showGridLines="0" tabSelected="1" zoomScaleNormal="100" workbookViewId="0">
      <selection activeCell="P10" sqref="P10"/>
    </sheetView>
  </sheetViews>
  <sheetFormatPr defaultRowHeight="12.75" x14ac:dyDescent="0.2"/>
  <cols>
    <col min="1" max="1" width="32.7109375" customWidth="1"/>
    <col min="2" max="9" width="11.7109375" hidden="1" customWidth="1"/>
    <col min="10" max="14" width="11.7109375" customWidth="1"/>
    <col min="15" max="19" width="12.7109375" customWidth="1"/>
  </cols>
  <sheetData>
    <row r="1" spans="1:14" x14ac:dyDescent="0.2">
      <c r="A1" s="37"/>
      <c r="B1" s="37"/>
      <c r="C1" s="37"/>
      <c r="D1" s="11"/>
      <c r="E1" s="11"/>
      <c r="F1" s="11"/>
      <c r="G1" s="11"/>
      <c r="H1" s="11"/>
      <c r="I1" s="11"/>
      <c r="J1" s="11"/>
      <c r="K1" s="11"/>
      <c r="L1" s="11"/>
      <c r="M1" s="11"/>
      <c r="N1" s="71" t="s">
        <v>88</v>
      </c>
    </row>
    <row r="2" spans="1:14" x14ac:dyDescent="0.2">
      <c r="A2" s="37"/>
      <c r="B2" s="37"/>
      <c r="C2" s="37"/>
      <c r="D2" s="11"/>
      <c r="E2" s="11"/>
      <c r="F2" s="11"/>
      <c r="G2" s="11"/>
      <c r="H2" s="11"/>
      <c r="I2" s="11"/>
      <c r="J2" s="11"/>
      <c r="K2" s="11"/>
      <c r="L2" s="11"/>
      <c r="M2" s="11"/>
      <c r="N2" s="72" t="s">
        <v>172</v>
      </c>
    </row>
    <row r="3" spans="1:14" ht="18" x14ac:dyDescent="0.25">
      <c r="A3" s="269" t="str">
        <f>Assumptions!D3</f>
        <v>Deseret Generation &amp; Transmission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 x14ac:dyDescent="0.25">
      <c r="A4" s="270" t="s">
        <v>140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15.75" x14ac:dyDescent="0.25">
      <c r="A5" s="271" t="s">
        <v>86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15.75" x14ac:dyDescent="0.25">
      <c r="A6" s="77"/>
      <c r="B6" s="77"/>
      <c r="C6" s="7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2">
      <c r="A7" s="107"/>
      <c r="B7" s="107"/>
      <c r="C7" s="107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x14ac:dyDescent="0.2">
      <c r="A8" s="107"/>
      <c r="B8" s="107"/>
      <c r="C8" s="107"/>
      <c r="D8" s="110"/>
      <c r="E8" s="110"/>
      <c r="F8" s="122"/>
      <c r="G8" s="122"/>
      <c r="H8" s="122"/>
      <c r="I8" s="122"/>
      <c r="J8" s="122"/>
      <c r="K8" s="122"/>
      <c r="L8" s="122"/>
      <c r="M8" s="122"/>
      <c r="N8" s="123"/>
    </row>
    <row r="9" spans="1:14" x14ac:dyDescent="0.2">
      <c r="A9" s="108" t="s">
        <v>0</v>
      </c>
      <c r="B9" s="108">
        <v>2003</v>
      </c>
      <c r="C9" s="108">
        <v>2004</v>
      </c>
      <c r="D9" s="124">
        <v>2005</v>
      </c>
      <c r="E9" s="124">
        <f>D9+1</f>
        <v>2006</v>
      </c>
      <c r="F9" s="120">
        <f>E9+1</f>
        <v>2007</v>
      </c>
      <c r="G9" s="120">
        <f>F9+1</f>
        <v>2008</v>
      </c>
      <c r="H9" s="120">
        <f>G9+1</f>
        <v>2009</v>
      </c>
      <c r="I9" s="120">
        <f>H9+1</f>
        <v>2010</v>
      </c>
      <c r="J9" s="120">
        <v>2011</v>
      </c>
      <c r="K9" s="120">
        <v>2012</v>
      </c>
      <c r="L9" s="120">
        <v>2013</v>
      </c>
      <c r="M9" s="120">
        <v>2014</v>
      </c>
      <c r="N9" s="120">
        <v>2015</v>
      </c>
    </row>
    <row r="11" spans="1:14" x14ac:dyDescent="0.2">
      <c r="A11" t="s">
        <v>22</v>
      </c>
      <c r="B11" s="137">
        <f>+'Exhibit 1'!B96</f>
        <v>-5732609</v>
      </c>
      <c r="C11" s="137">
        <f>+'Exhibit 1'!C96</f>
        <v>-1660855</v>
      </c>
      <c r="D11" s="137">
        <f>+'Exhibit 1'!D96</f>
        <v>-4957859</v>
      </c>
      <c r="E11" s="137">
        <f>+'Exhibit 1'!E96</f>
        <v>10829905</v>
      </c>
      <c r="F11" s="137">
        <f>+'Exhibit 1'!F96</f>
        <v>-9743591</v>
      </c>
      <c r="G11" s="137">
        <f>+'Exhibit 1'!G96</f>
        <v>7816259</v>
      </c>
      <c r="H11" s="137">
        <f>+'Exhibit 1'!H96</f>
        <v>-8696271</v>
      </c>
      <c r="I11" s="137">
        <f>+'Exhibit 1'!N96</f>
        <v>10382490</v>
      </c>
      <c r="J11" s="137">
        <f>+'Exhibit 1'!J96</f>
        <v>-4200969</v>
      </c>
      <c r="K11" s="137">
        <f>+'Exhibit 1'!K96</f>
        <v>-8835559</v>
      </c>
      <c r="L11" s="137">
        <f>+'Exhibit 1'!L96</f>
        <v>-9287353</v>
      </c>
      <c r="M11" s="137">
        <f>+'Exhibit 1'!M96</f>
        <v>-1262965</v>
      </c>
      <c r="N11" s="137">
        <f>+'Exhibit 1'!N96</f>
        <v>10382490</v>
      </c>
    </row>
    <row r="12" spans="1:14" x14ac:dyDescent="0.2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2">
      <c r="A13" s="78" t="s">
        <v>141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x14ac:dyDescent="0.2">
      <c r="A14" t="s">
        <v>142</v>
      </c>
      <c r="B14" s="137">
        <f>12781839+22786+330483</f>
        <v>13135108</v>
      </c>
      <c r="C14" s="137">
        <f>12940285+330483</f>
        <v>13270768</v>
      </c>
      <c r="D14" s="137">
        <f>12850783+330483</f>
        <v>13181266</v>
      </c>
      <c r="E14" s="137">
        <f>12979641+330483</f>
        <v>13310124</v>
      </c>
      <c r="F14" s="137">
        <f>13161290+330483</f>
        <v>13491773</v>
      </c>
      <c r="G14" s="137">
        <f>13232784+330483</f>
        <v>13563267</v>
      </c>
      <c r="H14" s="137">
        <f>13631162+592579</f>
        <v>14223741</v>
      </c>
      <c r="I14" s="137">
        <f>13727747+330483</f>
        <v>14058230</v>
      </c>
      <c r="J14" s="137">
        <f>13990400+330483</f>
        <v>14320883</v>
      </c>
      <c r="K14" s="137">
        <f>14135852+40446</f>
        <v>14176298</v>
      </c>
      <c r="L14" s="137">
        <v>13933890</v>
      </c>
      <c r="M14" s="137">
        <v>13769011</v>
      </c>
      <c r="N14" s="137">
        <v>13806899</v>
      </c>
    </row>
    <row r="15" spans="1:14" x14ac:dyDescent="0.2">
      <c r="A15" s="37" t="s">
        <v>145</v>
      </c>
      <c r="B15" s="137">
        <v>7456831</v>
      </c>
      <c r="C15" s="137">
        <v>9441925</v>
      </c>
      <c r="D15" s="137">
        <v>9441925</v>
      </c>
      <c r="E15" s="137">
        <v>966926</v>
      </c>
      <c r="F15" s="137">
        <v>1190249</v>
      </c>
      <c r="G15" s="137">
        <f>31511-87769</f>
        <v>-56258</v>
      </c>
      <c r="H15" s="137">
        <f>-28138-64629</f>
        <v>-92767</v>
      </c>
      <c r="I15" s="137">
        <v>-237566</v>
      </c>
      <c r="J15" s="137">
        <f>-32475+10000</f>
        <v>-22475</v>
      </c>
      <c r="K15" s="137">
        <v>70832</v>
      </c>
      <c r="L15" s="137">
        <v>35391</v>
      </c>
      <c r="M15" s="137">
        <v>37097</v>
      </c>
      <c r="N15" s="137">
        <v>19287</v>
      </c>
    </row>
    <row r="16" spans="1:14" x14ac:dyDescent="0.2">
      <c r="A16" s="37" t="s">
        <v>143</v>
      </c>
      <c r="B16" s="150">
        <v>617461</v>
      </c>
      <c r="C16" s="150">
        <v>-2310477</v>
      </c>
      <c r="D16" s="139">
        <v>-6233984</v>
      </c>
      <c r="E16" s="139">
        <v>2318619</v>
      </c>
      <c r="F16" s="139">
        <v>-2073361</v>
      </c>
      <c r="G16" s="139">
        <v>6265349</v>
      </c>
      <c r="H16" s="139">
        <v>1218103</v>
      </c>
      <c r="I16" s="139">
        <v>-1072888</v>
      </c>
      <c r="J16" s="139">
        <v>2548340</v>
      </c>
      <c r="K16" s="139">
        <v>5308875</v>
      </c>
      <c r="L16" s="139">
        <v>2657858</v>
      </c>
      <c r="M16" s="139">
        <v>-119165</v>
      </c>
      <c r="N16" s="139">
        <v>2135539</v>
      </c>
    </row>
    <row r="17" spans="1:14" x14ac:dyDescent="0.2">
      <c r="A17" s="37" t="s">
        <v>146</v>
      </c>
      <c r="B17" s="137">
        <v>-6964304</v>
      </c>
      <c r="C17" s="137">
        <v>1274898</v>
      </c>
      <c r="D17" s="137">
        <v>-8103591</v>
      </c>
      <c r="E17" s="137">
        <v>-1229810</v>
      </c>
      <c r="F17" s="137">
        <v>-1797779</v>
      </c>
      <c r="G17" s="137">
        <v>9159734</v>
      </c>
      <c r="H17" s="137">
        <v>3807862</v>
      </c>
      <c r="I17" s="137">
        <v>-7541769</v>
      </c>
      <c r="J17" s="137">
        <v>1288032</v>
      </c>
      <c r="K17" s="137">
        <v>-2632758</v>
      </c>
      <c r="L17" s="137">
        <v>-542930</v>
      </c>
      <c r="M17" s="137">
        <v>3643403</v>
      </c>
      <c r="N17" s="137">
        <v>3523320</v>
      </c>
    </row>
    <row r="18" spans="1:14" x14ac:dyDescent="0.2">
      <c r="A18" s="37" t="s">
        <v>147</v>
      </c>
      <c r="B18" s="137">
        <v>-3178852</v>
      </c>
      <c r="C18" s="137">
        <v>-9626810</v>
      </c>
      <c r="D18" s="137">
        <v>-4695179</v>
      </c>
      <c r="E18" s="137">
        <v>1285508</v>
      </c>
      <c r="F18" s="137">
        <v>4500303</v>
      </c>
      <c r="G18" s="137">
        <v>-2687293</v>
      </c>
      <c r="H18" s="137">
        <v>-10503465</v>
      </c>
      <c r="I18" s="137">
        <v>385950</v>
      </c>
      <c r="J18" s="137">
        <v>-6444703</v>
      </c>
      <c r="K18" s="137">
        <v>-1746232</v>
      </c>
      <c r="L18" s="137">
        <v>3599227</v>
      </c>
      <c r="M18" s="137">
        <v>1111799</v>
      </c>
      <c r="N18" s="137">
        <v>-5076659</v>
      </c>
    </row>
    <row r="19" spans="1:14" x14ac:dyDescent="0.2">
      <c r="A19" s="37" t="s">
        <v>148</v>
      </c>
      <c r="B19" s="137">
        <v>8911723</v>
      </c>
      <c r="C19" s="137">
        <v>-1265223</v>
      </c>
      <c r="D19" s="137">
        <v>8413756</v>
      </c>
      <c r="E19" s="137">
        <v>-5870264</v>
      </c>
      <c r="F19" s="137">
        <v>913313</v>
      </c>
      <c r="G19" s="137">
        <v>-496148</v>
      </c>
      <c r="H19" s="137">
        <v>35904</v>
      </c>
      <c r="I19" s="137">
        <v>-535688</v>
      </c>
      <c r="J19" s="137">
        <v>-6996690</v>
      </c>
      <c r="K19" s="137">
        <v>-6956323</v>
      </c>
      <c r="L19" s="137">
        <v>-5846042</v>
      </c>
      <c r="M19" s="137">
        <v>-2698704</v>
      </c>
      <c r="N19" s="137">
        <v>-3550903</v>
      </c>
    </row>
    <row r="20" spans="1:14" x14ac:dyDescent="0.2">
      <c r="A20" s="37" t="s">
        <v>149</v>
      </c>
      <c r="B20" s="137">
        <v>2445961</v>
      </c>
      <c r="C20" s="137">
        <v>6146966</v>
      </c>
      <c r="D20" s="137">
        <v>6610518</v>
      </c>
      <c r="E20" s="137">
        <v>-737687</v>
      </c>
      <c r="F20" s="137">
        <v>323484</v>
      </c>
      <c r="G20" s="137">
        <v>740413</v>
      </c>
      <c r="H20" s="137">
        <v>1722011</v>
      </c>
      <c r="I20" s="137">
        <v>-7036823</v>
      </c>
      <c r="J20" s="137">
        <v>-5632235</v>
      </c>
      <c r="K20" s="137">
        <v>-6784596</v>
      </c>
      <c r="L20" s="137">
        <v>-5007792</v>
      </c>
      <c r="M20" s="137">
        <v>-17566111</v>
      </c>
      <c r="N20" s="137">
        <v>4949307</v>
      </c>
    </row>
    <row r="21" spans="1:14" x14ac:dyDescent="0.2">
      <c r="A21" s="37" t="s">
        <v>170</v>
      </c>
      <c r="B21" s="137">
        <v>-459450</v>
      </c>
      <c r="C21" s="137">
        <v>1074278</v>
      </c>
      <c r="D21" s="137">
        <f>269387-74729</f>
        <v>194658</v>
      </c>
      <c r="E21" s="137">
        <f>786816-545379</f>
        <v>241437</v>
      </c>
      <c r="F21" s="137">
        <v>-22126</v>
      </c>
      <c r="G21" s="137">
        <v>413467</v>
      </c>
      <c r="H21" s="137">
        <v>23639</v>
      </c>
      <c r="I21" s="137">
        <v>-134742</v>
      </c>
      <c r="J21" s="137">
        <v>390038</v>
      </c>
      <c r="K21" s="137">
        <v>383078</v>
      </c>
      <c r="L21" s="137">
        <v>-558541</v>
      </c>
      <c r="M21" s="137">
        <v>27059</v>
      </c>
      <c r="N21" s="137">
        <v>900494</v>
      </c>
    </row>
    <row r="22" spans="1:14" x14ac:dyDescent="0.2">
      <c r="A22" s="37" t="s">
        <v>150</v>
      </c>
      <c r="B22" s="137">
        <v>-1393639</v>
      </c>
      <c r="C22" s="137">
        <v>6187227</v>
      </c>
      <c r="D22" s="137">
        <v>-254205</v>
      </c>
      <c r="E22" s="137">
        <v>13444741</v>
      </c>
      <c r="F22" s="137">
        <v>12561369</v>
      </c>
      <c r="G22" s="137">
        <v>14081471</v>
      </c>
      <c r="H22" s="137">
        <v>11737412</v>
      </c>
      <c r="I22" s="137">
        <v>16000420</v>
      </c>
      <c r="J22" s="137">
        <v>17881417</v>
      </c>
      <c r="K22" s="137">
        <v>18351888</v>
      </c>
      <c r="L22" s="137">
        <v>17038964</v>
      </c>
      <c r="M22" s="137">
        <v>16223341</v>
      </c>
      <c r="N22" s="137">
        <v>770191</v>
      </c>
    </row>
    <row r="23" spans="1:14" x14ac:dyDescent="0.2">
      <c r="A23" s="37" t="s">
        <v>151</v>
      </c>
      <c r="B23" s="137">
        <v>-2635539</v>
      </c>
      <c r="C23" s="137">
        <v>-1750195</v>
      </c>
      <c r="D23" s="137">
        <v>-8261718</v>
      </c>
      <c r="E23" s="137">
        <v>-2655277</v>
      </c>
      <c r="F23" s="137">
        <v>-3550377</v>
      </c>
      <c r="G23" s="137">
        <v>-3809360</v>
      </c>
      <c r="H23" s="137">
        <v>-3285961</v>
      </c>
      <c r="I23" s="137">
        <v>-295694</v>
      </c>
      <c r="J23" s="137">
        <v>165875</v>
      </c>
      <c r="K23" s="137">
        <v>-287832</v>
      </c>
      <c r="L23" s="137">
        <v>12106034</v>
      </c>
      <c r="M23" s="137">
        <v>852067</v>
      </c>
      <c r="N23" s="137">
        <v>973174</v>
      </c>
    </row>
    <row r="24" spans="1:14" x14ac:dyDescent="0.2">
      <c r="A24" s="37" t="s">
        <v>197</v>
      </c>
      <c r="B24" s="137"/>
      <c r="C24" s="137"/>
      <c r="D24" s="137"/>
      <c r="E24" s="137"/>
      <c r="F24" s="137"/>
      <c r="G24" s="137">
        <v>1142831</v>
      </c>
      <c r="H24" s="137">
        <v>-1119681</v>
      </c>
      <c r="I24" s="141"/>
      <c r="J24" s="141">
        <v>0</v>
      </c>
      <c r="K24" s="141">
        <v>-1390654</v>
      </c>
      <c r="L24" s="141">
        <v>-28542</v>
      </c>
      <c r="M24" s="141">
        <v>-532764</v>
      </c>
      <c r="N24" s="141">
        <v>-962</v>
      </c>
    </row>
    <row r="25" spans="1:14" x14ac:dyDescent="0.2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x14ac:dyDescent="0.2">
      <c r="A26" s="37" t="s">
        <v>144</v>
      </c>
      <c r="B26" s="137">
        <f t="shared" ref="B26:F26" si="0">SUM(B11:B25)</f>
        <v>12202691</v>
      </c>
      <c r="C26" s="137">
        <f t="shared" si="0"/>
        <v>20782502</v>
      </c>
      <c r="D26" s="137">
        <f t="shared" si="0"/>
        <v>5335587</v>
      </c>
      <c r="E26" s="137">
        <f t="shared" si="0"/>
        <v>31904222</v>
      </c>
      <c r="F26" s="137">
        <f t="shared" si="0"/>
        <v>15793257</v>
      </c>
      <c r="G26" s="137">
        <f>SUM(G11:G25)</f>
        <v>46133732</v>
      </c>
      <c r="H26" s="137">
        <f>SUM(H11:H25)</f>
        <v>9070527</v>
      </c>
      <c r="I26" s="137">
        <f>SUM(I11:I25)</f>
        <v>23971920</v>
      </c>
      <c r="J26" s="137">
        <f t="shared" ref="J26:N26" si="1">SUM(J11:J25)</f>
        <v>13297513</v>
      </c>
      <c r="K26" s="137">
        <f t="shared" si="1"/>
        <v>9657017</v>
      </c>
      <c r="L26" s="137">
        <f t="shared" si="1"/>
        <v>28100164</v>
      </c>
      <c r="M26" s="137">
        <f t="shared" si="1"/>
        <v>13484068</v>
      </c>
      <c r="N26" s="137">
        <f t="shared" si="1"/>
        <v>28832177</v>
      </c>
    </row>
    <row r="27" spans="1:14" x14ac:dyDescent="0.2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2">
      <c r="A28" s="78" t="s">
        <v>154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x14ac:dyDescent="0.2">
      <c r="A29" s="37" t="s">
        <v>155</v>
      </c>
      <c r="B29" s="137">
        <v>-3385469</v>
      </c>
      <c r="C29" s="137">
        <v>-3787909</v>
      </c>
      <c r="D29" s="137">
        <v>-4049591</v>
      </c>
      <c r="E29" s="137">
        <v>-4481109</v>
      </c>
      <c r="F29" s="137">
        <v>-2800336</v>
      </c>
      <c r="G29" s="139">
        <v>-7724751</v>
      </c>
      <c r="H29" s="137">
        <v>-571110</v>
      </c>
      <c r="I29" s="139">
        <v>-974254</v>
      </c>
      <c r="J29" s="137">
        <v>-14288631</v>
      </c>
      <c r="K29" s="137">
        <v>-1233377</v>
      </c>
      <c r="L29" s="137">
        <v>-542434</v>
      </c>
      <c r="M29" s="137">
        <v>-2914768</v>
      </c>
      <c r="N29" s="137">
        <v>-2968257</v>
      </c>
    </row>
    <row r="30" spans="1:14" x14ac:dyDescent="0.2">
      <c r="A30" s="37" t="s">
        <v>157</v>
      </c>
      <c r="B30" s="137">
        <f>3142640-2131274</f>
        <v>1011366</v>
      </c>
      <c r="C30" s="137">
        <f>-1696676+586087</f>
        <v>-1110589</v>
      </c>
      <c r="D30" s="137">
        <v>1891057</v>
      </c>
      <c r="E30" s="137">
        <v>2872939</v>
      </c>
      <c r="F30" s="137">
        <v>-2325361</v>
      </c>
      <c r="G30" s="137">
        <v>247253</v>
      </c>
      <c r="H30" s="137">
        <v>16605</v>
      </c>
      <c r="I30" s="137">
        <v>6685</v>
      </c>
      <c r="J30" s="137">
        <v>93566</v>
      </c>
      <c r="K30" s="137">
        <v>1502485</v>
      </c>
      <c r="L30" s="137">
        <v>40846</v>
      </c>
      <c r="M30" s="137">
        <v>1136757</v>
      </c>
      <c r="N30" s="137">
        <v>19500</v>
      </c>
    </row>
    <row r="31" spans="1:14" x14ac:dyDescent="0.2">
      <c r="A31" s="37" t="s">
        <v>171</v>
      </c>
      <c r="B31" s="137">
        <v>26230</v>
      </c>
      <c r="C31" s="137">
        <v>27516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x14ac:dyDescent="0.2">
      <c r="A32" s="37" t="s">
        <v>158</v>
      </c>
      <c r="B32" s="137"/>
      <c r="C32" s="137"/>
      <c r="D32" s="139"/>
      <c r="E32" s="139"/>
      <c r="F32" s="139"/>
      <c r="G32" s="139">
        <v>5288055</v>
      </c>
      <c r="H32" s="139">
        <v>2200000</v>
      </c>
      <c r="I32" s="137"/>
      <c r="J32" s="139"/>
      <c r="K32" s="139"/>
      <c r="L32" s="139"/>
      <c r="M32" s="139"/>
      <c r="N32" s="139"/>
    </row>
    <row r="33" spans="1:14" x14ac:dyDescent="0.2">
      <c r="A33" s="37" t="s">
        <v>159</v>
      </c>
      <c r="B33" s="137">
        <v>-42147</v>
      </c>
      <c r="C33" s="137"/>
      <c r="D33" s="139">
        <v>-4597720</v>
      </c>
      <c r="E33" s="139">
        <v>743502</v>
      </c>
      <c r="F33" s="139">
        <v>-44581</v>
      </c>
      <c r="G33" s="139">
        <v>-39028</v>
      </c>
      <c r="H33" s="139">
        <f>-10000000+667271</f>
        <v>-9332729</v>
      </c>
      <c r="I33" s="137">
        <v>-346147</v>
      </c>
      <c r="J33" s="139">
        <v>-190903</v>
      </c>
      <c r="K33" s="139">
        <v>-261108</v>
      </c>
      <c r="L33" s="139">
        <v>-245054</v>
      </c>
      <c r="M33" s="139">
        <v>1331542</v>
      </c>
      <c r="N33" s="139">
        <v>-146670</v>
      </c>
    </row>
    <row r="34" spans="1:14" x14ac:dyDescent="0.2">
      <c r="A34" s="37" t="s">
        <v>198</v>
      </c>
      <c r="B34" s="137"/>
      <c r="C34" s="137"/>
      <c r="D34" s="139"/>
      <c r="E34" s="139"/>
      <c r="F34" s="139"/>
      <c r="G34" s="139"/>
      <c r="H34" s="139"/>
      <c r="I34" s="137"/>
      <c r="J34" s="139"/>
      <c r="K34" s="139">
        <v>-52759563</v>
      </c>
      <c r="L34" s="139">
        <v>-65994290</v>
      </c>
      <c r="M34" s="139">
        <v>-49668260</v>
      </c>
      <c r="N34" s="139">
        <v>-32578268</v>
      </c>
    </row>
    <row r="35" spans="1:14" x14ac:dyDescent="0.2">
      <c r="A35" s="37" t="s">
        <v>199</v>
      </c>
      <c r="B35" s="137"/>
      <c r="C35" s="137"/>
      <c r="D35" s="139"/>
      <c r="E35" s="139"/>
      <c r="F35" s="139"/>
      <c r="G35" s="139"/>
      <c r="H35" s="139"/>
      <c r="I35" s="137"/>
      <c r="J35" s="139"/>
      <c r="K35" s="139">
        <v>43741973</v>
      </c>
      <c r="L35" s="139">
        <v>64872286</v>
      </c>
      <c r="M35" s="139">
        <v>63241752</v>
      </c>
      <c r="N35" s="139">
        <v>34127753</v>
      </c>
    </row>
    <row r="36" spans="1:14" x14ac:dyDescent="0.2">
      <c r="A36" s="37" t="s">
        <v>160</v>
      </c>
      <c r="B36" s="137"/>
      <c r="C36" s="137"/>
      <c r="D36" s="139"/>
      <c r="E36" s="139">
        <v>-14484825</v>
      </c>
      <c r="F36" s="139">
        <v>3837457</v>
      </c>
      <c r="G36" s="139">
        <v>-19863936</v>
      </c>
      <c r="H36" s="139">
        <v>4326579</v>
      </c>
      <c r="I36" s="141">
        <v>-9936938</v>
      </c>
      <c r="J36" s="148">
        <v>12950445</v>
      </c>
      <c r="K36" s="148">
        <v>7668684</v>
      </c>
      <c r="L36" s="148">
        <v>10574860</v>
      </c>
      <c r="M36" s="148">
        <v>-2079901</v>
      </c>
      <c r="N36" s="148">
        <v>-5402686</v>
      </c>
    </row>
    <row r="37" spans="1:14" x14ac:dyDescent="0.2">
      <c r="B37" s="137"/>
      <c r="C37" s="137"/>
      <c r="D37" s="139"/>
      <c r="E37" s="139"/>
      <c r="F37" s="139"/>
      <c r="G37" s="139"/>
      <c r="H37" s="139"/>
      <c r="I37" s="137"/>
      <c r="J37" s="139"/>
      <c r="K37" s="139"/>
      <c r="L37" s="139"/>
      <c r="M37" s="139"/>
      <c r="N37" s="139"/>
    </row>
    <row r="38" spans="1:14" x14ac:dyDescent="0.2">
      <c r="A38" s="37" t="s">
        <v>156</v>
      </c>
      <c r="B38" s="137">
        <f t="shared" ref="B38:N38" si="2">SUM(B29:B37)</f>
        <v>-2390020</v>
      </c>
      <c r="C38" s="137">
        <f t="shared" si="2"/>
        <v>-4870982</v>
      </c>
      <c r="D38" s="139">
        <f t="shared" si="2"/>
        <v>-6756254</v>
      </c>
      <c r="E38" s="139">
        <f t="shared" si="2"/>
        <v>-15349493</v>
      </c>
      <c r="F38" s="139">
        <f t="shared" si="2"/>
        <v>-1332821</v>
      </c>
      <c r="G38" s="139">
        <f t="shared" si="2"/>
        <v>-22092407</v>
      </c>
      <c r="H38" s="139">
        <f t="shared" si="2"/>
        <v>-3360655</v>
      </c>
      <c r="I38" s="137">
        <f t="shared" si="2"/>
        <v>-11250654</v>
      </c>
      <c r="J38" s="139">
        <f t="shared" si="2"/>
        <v>-1435523</v>
      </c>
      <c r="K38" s="139">
        <f t="shared" si="2"/>
        <v>-1340906</v>
      </c>
      <c r="L38" s="139">
        <f t="shared" si="2"/>
        <v>8706214</v>
      </c>
      <c r="M38" s="139">
        <f t="shared" si="2"/>
        <v>11047122</v>
      </c>
      <c r="N38" s="139">
        <f t="shared" si="2"/>
        <v>-6948628</v>
      </c>
    </row>
    <row r="39" spans="1:14" x14ac:dyDescent="0.2">
      <c r="B39" s="137"/>
      <c r="C39" s="137"/>
      <c r="D39" s="139"/>
      <c r="E39" s="139"/>
      <c r="F39" s="139"/>
      <c r="G39" s="139"/>
      <c r="H39" s="139"/>
      <c r="I39" s="137"/>
      <c r="J39" s="139"/>
      <c r="K39" s="139"/>
      <c r="L39" s="139"/>
      <c r="M39" s="139"/>
      <c r="N39" s="139"/>
    </row>
    <row r="40" spans="1:14" x14ac:dyDescent="0.2">
      <c r="A40" s="136" t="s">
        <v>161</v>
      </c>
      <c r="B40" s="137"/>
      <c r="C40" s="137"/>
      <c r="D40" s="139"/>
      <c r="E40" s="139"/>
      <c r="F40" s="139"/>
      <c r="G40" s="139"/>
      <c r="H40" s="139"/>
      <c r="I40" s="137"/>
      <c r="J40" s="139"/>
      <c r="K40" s="139"/>
      <c r="L40" s="139"/>
      <c r="M40" s="139"/>
      <c r="N40" s="139"/>
    </row>
    <row r="41" spans="1:14" x14ac:dyDescent="0.2">
      <c r="A41" s="37" t="s">
        <v>162</v>
      </c>
      <c r="B41" s="137"/>
      <c r="C41" s="137"/>
      <c r="D41" s="139">
        <v>37000000</v>
      </c>
      <c r="E41" s="139"/>
      <c r="F41" s="139"/>
      <c r="G41" s="139"/>
      <c r="H41" s="139">
        <v>10000000</v>
      </c>
      <c r="I41" s="137"/>
      <c r="J41" s="139"/>
      <c r="K41" s="139"/>
      <c r="L41" s="139"/>
      <c r="M41" s="139"/>
      <c r="N41" s="139"/>
    </row>
    <row r="42" spans="1:14" x14ac:dyDescent="0.2">
      <c r="A42" s="37" t="s">
        <v>163</v>
      </c>
      <c r="B42" s="150">
        <v>-23625940</v>
      </c>
      <c r="C42" s="150">
        <v>-20025019</v>
      </c>
      <c r="D42" s="139">
        <v>-26103294</v>
      </c>
      <c r="E42" s="139">
        <v>-8979792</v>
      </c>
      <c r="F42" s="139">
        <v>-12714125</v>
      </c>
      <c r="G42" s="139">
        <v>-21165834</v>
      </c>
      <c r="H42" s="139">
        <v>-9723947</v>
      </c>
      <c r="I42" s="137">
        <v>-10404645</v>
      </c>
      <c r="J42" s="139">
        <v>-11738964</v>
      </c>
      <c r="K42" s="139">
        <v>-11510230</v>
      </c>
      <c r="L42" s="139">
        <v>-30805164</v>
      </c>
      <c r="M42" s="139">
        <v>-35500967</v>
      </c>
      <c r="N42" s="139">
        <v>-10735588</v>
      </c>
    </row>
    <row r="43" spans="1:14" x14ac:dyDescent="0.2">
      <c r="A43" s="37" t="s">
        <v>105</v>
      </c>
      <c r="B43" s="137">
        <v>-326054</v>
      </c>
      <c r="C43" s="137">
        <v>-1249868</v>
      </c>
      <c r="D43" s="139"/>
      <c r="E43" s="139"/>
      <c r="F43" s="139">
        <v>-750000</v>
      </c>
      <c r="G43" s="139">
        <v>-1000000</v>
      </c>
      <c r="H43" s="139">
        <v>-1500000</v>
      </c>
      <c r="I43" s="141">
        <v>-1000000</v>
      </c>
      <c r="J43" s="148">
        <v>-1000000</v>
      </c>
      <c r="K43" s="148">
        <v>-2000000</v>
      </c>
      <c r="L43" s="148">
        <v>0</v>
      </c>
      <c r="M43" s="148"/>
      <c r="N43" s="148">
        <v>-1000000</v>
      </c>
    </row>
    <row r="44" spans="1:14" x14ac:dyDescent="0.2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4" x14ac:dyDescent="0.2">
      <c r="A45" s="37" t="s">
        <v>164</v>
      </c>
      <c r="B45" s="137">
        <f t="shared" ref="B45:F45" si="3">SUM(B41:B44)</f>
        <v>-23951994</v>
      </c>
      <c r="C45" s="137">
        <f t="shared" si="3"/>
        <v>-21274887</v>
      </c>
      <c r="D45" s="137">
        <f t="shared" si="3"/>
        <v>10896706</v>
      </c>
      <c r="E45" s="137">
        <f t="shared" si="3"/>
        <v>-8979792</v>
      </c>
      <c r="F45" s="137">
        <f t="shared" si="3"/>
        <v>-13464125</v>
      </c>
      <c r="G45" s="137">
        <f>SUM(G41:G44)</f>
        <v>-22165834</v>
      </c>
      <c r="H45" s="137">
        <f>SUM(H41:H44)</f>
        <v>-1223947</v>
      </c>
      <c r="I45" s="137">
        <f>SUM(I41:I44)</f>
        <v>-11404645</v>
      </c>
      <c r="J45" s="137">
        <f t="shared" ref="J45:N45" si="4">SUM(J41:J44)</f>
        <v>-12738964</v>
      </c>
      <c r="K45" s="137">
        <f t="shared" si="4"/>
        <v>-13510230</v>
      </c>
      <c r="L45" s="137">
        <f t="shared" si="4"/>
        <v>-30805164</v>
      </c>
      <c r="M45" s="137">
        <f t="shared" si="4"/>
        <v>-35500967</v>
      </c>
      <c r="N45" s="137">
        <f t="shared" si="4"/>
        <v>-11735588</v>
      </c>
    </row>
    <row r="46" spans="1:14" x14ac:dyDescent="0.2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x14ac:dyDescent="0.2">
      <c r="A47" s="109" t="s">
        <v>165</v>
      </c>
      <c r="B47" s="138">
        <f t="shared" ref="B47:N47" si="5">+B45+B38+B26</f>
        <v>-14139323</v>
      </c>
      <c r="C47" s="138">
        <f t="shared" si="5"/>
        <v>-5363367</v>
      </c>
      <c r="D47" s="138">
        <f t="shared" si="5"/>
        <v>9476039</v>
      </c>
      <c r="E47" s="138">
        <f t="shared" si="5"/>
        <v>7574937</v>
      </c>
      <c r="F47" s="138">
        <f t="shared" si="5"/>
        <v>996311</v>
      </c>
      <c r="G47" s="138">
        <f t="shared" si="5"/>
        <v>1875491</v>
      </c>
      <c r="H47" s="138">
        <f t="shared" si="5"/>
        <v>4485925</v>
      </c>
      <c r="I47" s="138">
        <f t="shared" si="5"/>
        <v>1316621</v>
      </c>
      <c r="J47" s="138">
        <f t="shared" si="5"/>
        <v>-876974</v>
      </c>
      <c r="K47" s="138">
        <f t="shared" si="5"/>
        <v>-5194119</v>
      </c>
      <c r="L47" s="138">
        <f t="shared" si="5"/>
        <v>6001214</v>
      </c>
      <c r="M47" s="138">
        <f t="shared" si="5"/>
        <v>-10969777</v>
      </c>
      <c r="N47" s="138">
        <f t="shared" si="5"/>
        <v>10147961</v>
      </c>
    </row>
    <row r="48" spans="1:14" x14ac:dyDescent="0.2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2">
      <c r="A49" s="37" t="s">
        <v>166</v>
      </c>
      <c r="B49" s="137">
        <v>34036530</v>
      </c>
      <c r="C49" s="137">
        <f>+'Exhibit 1'!B12</f>
        <v>19897207</v>
      </c>
      <c r="D49" s="137">
        <f>+'Exhibit 1'!C12</f>
        <v>14533840</v>
      </c>
      <c r="E49" s="137">
        <f>+'Exhibit 1'!D12</f>
        <v>14533840</v>
      </c>
      <c r="F49" s="137">
        <f>+'Exhibit 1'!E12</f>
        <v>10863863</v>
      </c>
      <c r="G49" s="137">
        <f>+'Exhibit 1'!F12</f>
        <v>11860174</v>
      </c>
      <c r="H49" s="137">
        <f>+'Exhibit 1'!G12</f>
        <v>13735665</v>
      </c>
      <c r="I49" s="137">
        <f>+'Exhibit 1'!H12</f>
        <v>18221590</v>
      </c>
      <c r="J49" s="137">
        <f>+'Exhibit 1'!I12</f>
        <v>14221212</v>
      </c>
      <c r="K49" s="137">
        <f>+'Exhibit 1'!J12</f>
        <v>13344238</v>
      </c>
      <c r="L49" s="137">
        <f>+'Exhibit 1'!K12</f>
        <v>8150119</v>
      </c>
      <c r="M49" s="137">
        <f>+'Exhibit 1'!L12</f>
        <v>14151333</v>
      </c>
      <c r="N49" s="137">
        <f>+'Exhibit 1'!M12</f>
        <v>3181555</v>
      </c>
    </row>
    <row r="50" spans="1:14" x14ac:dyDescent="0.2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x14ac:dyDescent="0.2">
      <c r="A51" s="37" t="s">
        <v>167</v>
      </c>
      <c r="B51" s="137">
        <f t="shared" ref="B51:G51" si="6">+B49+B47</f>
        <v>19897207</v>
      </c>
      <c r="C51" s="137">
        <f t="shared" si="6"/>
        <v>14533840</v>
      </c>
      <c r="D51" s="137">
        <f t="shared" si="6"/>
        <v>24009879</v>
      </c>
      <c r="E51" s="137">
        <f t="shared" si="6"/>
        <v>22108777</v>
      </c>
      <c r="F51" s="137">
        <f t="shared" si="6"/>
        <v>11860174</v>
      </c>
      <c r="G51" s="137">
        <f t="shared" si="6"/>
        <v>13735665</v>
      </c>
      <c r="H51" s="137">
        <f>+H49+H47</f>
        <v>18221590</v>
      </c>
      <c r="I51" s="137">
        <f>+I49+I47</f>
        <v>19538211</v>
      </c>
      <c r="J51" s="137">
        <f t="shared" ref="J51:N51" si="7">+J49+J47</f>
        <v>13344238</v>
      </c>
      <c r="K51" s="137">
        <f t="shared" si="7"/>
        <v>8150119</v>
      </c>
      <c r="L51" s="137">
        <f t="shared" si="7"/>
        <v>14151333</v>
      </c>
      <c r="M51" s="137">
        <f t="shared" si="7"/>
        <v>3181556</v>
      </c>
      <c r="N51" s="137">
        <f t="shared" si="7"/>
        <v>13329516</v>
      </c>
    </row>
    <row r="52" spans="1:14" x14ac:dyDescent="0.2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x14ac:dyDescent="0.2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x14ac:dyDescent="0.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x14ac:dyDescent="0.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x14ac:dyDescent="0.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x14ac:dyDescent="0.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2:14" x14ac:dyDescent="0.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2:14" x14ac:dyDescent="0.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2:14" x14ac:dyDescent="0.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2:14" x14ac:dyDescent="0.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2:14" x14ac:dyDescent="0.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2:14" x14ac:dyDescent="0.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2:14" x14ac:dyDescent="0.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2:14" x14ac:dyDescent="0.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2:14" x14ac:dyDescent="0.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2:14" x14ac:dyDescent="0.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2:14" x14ac:dyDescent="0.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2:14" x14ac:dyDescent="0.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2:14" x14ac:dyDescent="0.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2:14" x14ac:dyDescent="0.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2:14" x14ac:dyDescent="0.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2:14" x14ac:dyDescent="0.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2:14" x14ac:dyDescent="0.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2:14" x14ac:dyDescent="0.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2:14" x14ac:dyDescent="0.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2:14" x14ac:dyDescent="0.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2:14" x14ac:dyDescent="0.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2:14" x14ac:dyDescent="0.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2:14" x14ac:dyDescent="0.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2:14" x14ac:dyDescent="0.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2:14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2:14" x14ac:dyDescent="0.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2:14" x14ac:dyDescent="0.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2:14" x14ac:dyDescent="0.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2:14" x14ac:dyDescent="0.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2:14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2:14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2:14" x14ac:dyDescent="0.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2:14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2:14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x14ac:dyDescent="0.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2:14" x14ac:dyDescent="0.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2:14" x14ac:dyDescent="0.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2:14" x14ac:dyDescent="0.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2:14" x14ac:dyDescent="0.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2:14" x14ac:dyDescent="0.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2:14" x14ac:dyDescent="0.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2:14" x14ac:dyDescent="0.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2:14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2:14" x14ac:dyDescent="0.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2:14" x14ac:dyDescent="0.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2:14" x14ac:dyDescent="0.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2:14" x14ac:dyDescent="0.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2:14" x14ac:dyDescent="0.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2:14" x14ac:dyDescent="0.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2:14" x14ac:dyDescent="0.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  <row r="115" spans="2:14" x14ac:dyDescent="0.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2:14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</row>
    <row r="117" spans="2:14" x14ac:dyDescent="0.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</row>
    <row r="118" spans="2:14" x14ac:dyDescent="0.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</row>
    <row r="119" spans="2:14" x14ac:dyDescent="0.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</row>
    <row r="120" spans="2:14" x14ac:dyDescent="0.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</row>
    <row r="121" spans="2:14" x14ac:dyDescent="0.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</row>
    <row r="122" spans="2:14" x14ac:dyDescent="0.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</row>
    <row r="123" spans="2:14" x14ac:dyDescent="0.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</row>
    <row r="124" spans="2:14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</row>
    <row r="125" spans="2:14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</row>
    <row r="126" spans="2:14" x14ac:dyDescent="0.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</row>
    <row r="127" spans="2:14" x14ac:dyDescent="0.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2:14" x14ac:dyDescent="0.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  <row r="129" spans="2:14" x14ac:dyDescent="0.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2:14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</row>
    <row r="131" spans="2:14" x14ac:dyDescent="0.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</row>
    <row r="132" spans="2:14" x14ac:dyDescent="0.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</row>
    <row r="133" spans="2:14" x14ac:dyDescent="0.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</row>
    <row r="134" spans="2:14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</row>
    <row r="135" spans="2:14" x14ac:dyDescent="0.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</row>
    <row r="136" spans="2:14" x14ac:dyDescent="0.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</row>
    <row r="137" spans="2:14" x14ac:dyDescent="0.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</row>
    <row r="138" spans="2:14" x14ac:dyDescent="0.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</row>
    <row r="139" spans="2:14" x14ac:dyDescent="0.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</row>
    <row r="140" spans="2:14" x14ac:dyDescent="0.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</row>
    <row r="141" spans="2:14" x14ac:dyDescent="0.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</row>
    <row r="142" spans="2:14" x14ac:dyDescent="0.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</row>
    <row r="143" spans="2:14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</row>
    <row r="144" spans="2:14" x14ac:dyDescent="0.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</row>
  </sheetData>
  <mergeCells count="3">
    <mergeCell ref="A3:N3"/>
    <mergeCell ref="A4:N4"/>
    <mergeCell ref="A5:N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U321"/>
  <sheetViews>
    <sheetView showGridLines="0" zoomScaleNormal="100" workbookViewId="0">
      <selection activeCell="B10" sqref="B10"/>
    </sheetView>
  </sheetViews>
  <sheetFormatPr defaultColWidth="13.7109375" defaultRowHeight="15" customHeight="1" x14ac:dyDescent="0.2"/>
  <cols>
    <col min="1" max="1" width="33.42578125" customWidth="1"/>
    <col min="2" max="2" width="12.28515625" style="66" customWidth="1"/>
    <col min="3" max="7" width="12.28515625" customWidth="1"/>
    <col min="8" max="8" width="10.140625" style="67" customWidth="1"/>
    <col min="9" max="15" width="13.7109375" customWidth="1"/>
    <col min="16" max="23" width="12.7109375" customWidth="1"/>
  </cols>
  <sheetData>
    <row r="2" spans="1:9" ht="15" customHeight="1" x14ac:dyDescent="0.2">
      <c r="H2" s="73" t="s">
        <v>127</v>
      </c>
    </row>
    <row r="3" spans="1:9" s="11" customFormat="1" ht="15" customHeight="1" x14ac:dyDescent="0.2">
      <c r="B3" s="66" t="s">
        <v>95</v>
      </c>
      <c r="H3" s="73" t="s">
        <v>104</v>
      </c>
    </row>
    <row r="4" spans="1:9" s="11" customFormat="1" ht="15" customHeight="1" x14ac:dyDescent="0.25">
      <c r="A4" s="269" t="str">
        <f>Assumptions!$D$3</f>
        <v>Deseret Generation &amp; Transmission</v>
      </c>
      <c r="B4" s="269"/>
      <c r="C4" s="269"/>
      <c r="D4" s="269"/>
      <c r="E4" s="269"/>
      <c r="F4" s="269"/>
      <c r="G4" s="269"/>
      <c r="H4" s="269"/>
    </row>
    <row r="5" spans="1:9" s="11" customFormat="1" ht="15" customHeight="1" x14ac:dyDescent="0.25">
      <c r="A5" s="273" t="s">
        <v>121</v>
      </c>
      <c r="B5" s="273"/>
      <c r="C5" s="273"/>
      <c r="D5" s="273"/>
      <c r="E5" s="273"/>
      <c r="F5" s="273"/>
      <c r="G5" s="273"/>
      <c r="H5" s="273"/>
    </row>
    <row r="6" spans="1:9" s="11" customFormat="1" ht="15" customHeight="1" x14ac:dyDescent="0.2">
      <c r="A6" s="274">
        <f ca="1">NOW()</f>
        <v>42647.336604745367</v>
      </c>
      <c r="B6" s="274"/>
      <c r="C6" s="274"/>
      <c r="D6" s="274"/>
      <c r="E6" s="274"/>
      <c r="F6" s="274"/>
      <c r="G6" s="274"/>
      <c r="H6" s="274"/>
    </row>
    <row r="7" spans="1:9" s="11" customFormat="1" ht="15" customHeight="1" x14ac:dyDescent="0.2">
      <c r="B7" s="66"/>
      <c r="C7" s="39"/>
      <c r="D7" s="39"/>
      <c r="E7" s="39"/>
      <c r="F7" s="39"/>
      <c r="G7" s="39"/>
      <c r="H7" s="75"/>
    </row>
    <row r="8" spans="1:9" s="11" customFormat="1" ht="15" customHeight="1" x14ac:dyDescent="0.2">
      <c r="B8" s="66"/>
      <c r="H8" s="67"/>
    </row>
    <row r="9" spans="1:9" s="11" customFormat="1" ht="15" customHeight="1" x14ac:dyDescent="0.2">
      <c r="B9" s="158" t="s">
        <v>16</v>
      </c>
      <c r="C9" s="91" t="s">
        <v>57</v>
      </c>
      <c r="D9" s="91" t="s">
        <v>57</v>
      </c>
      <c r="E9" s="91" t="s">
        <v>57</v>
      </c>
      <c r="F9" s="91" t="s">
        <v>57</v>
      </c>
      <c r="G9" s="91" t="s">
        <v>57</v>
      </c>
      <c r="H9" s="213" t="s">
        <v>4</v>
      </c>
    </row>
    <row r="10" spans="1:9" s="11" customFormat="1" ht="15" customHeight="1" x14ac:dyDescent="0.2">
      <c r="A10" s="108" t="s">
        <v>0</v>
      </c>
      <c r="B10" s="230">
        <f>'Exhibit 1'!N9</f>
        <v>2015</v>
      </c>
      <c r="C10" s="163">
        <f>B10+1</f>
        <v>2016</v>
      </c>
      <c r="D10" s="163">
        <f t="shared" ref="D10:G10" si="0">C10+1</f>
        <v>2017</v>
      </c>
      <c r="E10" s="163">
        <f t="shared" si="0"/>
        <v>2018</v>
      </c>
      <c r="F10" s="163">
        <f t="shared" si="0"/>
        <v>2019</v>
      </c>
      <c r="G10" s="163">
        <f t="shared" si="0"/>
        <v>2020</v>
      </c>
      <c r="H10" s="214" t="s">
        <v>30</v>
      </c>
    </row>
    <row r="11" spans="1:9" s="11" customFormat="1" ht="15" customHeight="1" x14ac:dyDescent="0.2">
      <c r="A11" s="73"/>
      <c r="B11" s="159"/>
      <c r="C11" s="102"/>
      <c r="D11" s="92"/>
      <c r="E11" s="92"/>
      <c r="F11" s="92"/>
      <c r="G11" s="92"/>
      <c r="H11" s="89"/>
      <c r="I11" s="40"/>
    </row>
    <row r="12" spans="1:9" s="11" customFormat="1" ht="15" customHeight="1" x14ac:dyDescent="0.2">
      <c r="A12" s="78" t="s">
        <v>7</v>
      </c>
      <c r="B12" s="159"/>
      <c r="H12" s="67"/>
    </row>
    <row r="13" spans="1:9" s="11" customFormat="1" ht="15" customHeight="1" x14ac:dyDescent="0.2">
      <c r="A13" s="37" t="s">
        <v>168</v>
      </c>
      <c r="B13" s="159">
        <f>'Exhibit 1'!N12</f>
        <v>13329516</v>
      </c>
      <c r="C13" s="66">
        <f>C$76*Assumptions!$D$36</f>
        <v>17114637.011034589</v>
      </c>
      <c r="D13" s="66">
        <f>D$76*Assumptions!$D$36</f>
        <v>16003065.41872639</v>
      </c>
      <c r="E13" s="66">
        <f>E$76*Assumptions!$D$36</f>
        <v>16427209.691591268</v>
      </c>
      <c r="F13" s="66">
        <f>F$76*Assumptions!$D$36</f>
        <v>16467786.251091555</v>
      </c>
      <c r="G13" s="66">
        <f>G$76*Assumptions!$D$36</f>
        <v>16508463.038032277</v>
      </c>
      <c r="H13" s="67">
        <f>RATE(5,,-B13,G13)</f>
        <v>4.3706654054337629E-2</v>
      </c>
    </row>
    <row r="14" spans="1:9" s="47" customFormat="1" ht="15" customHeight="1" x14ac:dyDescent="0.2">
      <c r="A14" s="37" t="s">
        <v>169</v>
      </c>
      <c r="B14" s="159">
        <f>'Exhibit 1'!N13</f>
        <v>28147831</v>
      </c>
      <c r="C14" s="66">
        <f>B14</f>
        <v>28147831</v>
      </c>
      <c r="D14" s="66">
        <f t="shared" ref="D14:G14" si="1">C14</f>
        <v>28147831</v>
      </c>
      <c r="E14" s="66">
        <f t="shared" si="1"/>
        <v>28147831</v>
      </c>
      <c r="F14" s="66">
        <f t="shared" si="1"/>
        <v>28147831</v>
      </c>
      <c r="G14" s="66">
        <f t="shared" si="1"/>
        <v>28147831</v>
      </c>
      <c r="H14" s="67">
        <f t="shared" ref="H14:H20" si="2">RATE(5,,-B14,G14)</f>
        <v>2.0428606605695285E-16</v>
      </c>
    </row>
    <row r="15" spans="1:9" s="47" customFormat="1" ht="15" customHeight="1" x14ac:dyDescent="0.2">
      <c r="A15" s="37" t="s">
        <v>42</v>
      </c>
      <c r="B15" s="159"/>
      <c r="C15" s="66" t="e">
        <f ca="1">J50</f>
        <v>#DIV/0!</v>
      </c>
      <c r="D15" s="66" t="e">
        <f ca="1">K50</f>
        <v>#DIV/0!</v>
      </c>
      <c r="E15" s="66" t="e">
        <f ca="1">L50</f>
        <v>#DIV/0!</v>
      </c>
      <c r="F15" s="66" t="e">
        <f ca="1">M50</f>
        <v>#DIV/0!</v>
      </c>
      <c r="G15" s="66" t="e">
        <f ca="1">N50</f>
        <v>#DIV/0!</v>
      </c>
      <c r="H15" s="67"/>
    </row>
    <row r="16" spans="1:9" s="11" customFormat="1" ht="15" customHeight="1" x14ac:dyDescent="0.2">
      <c r="A16" s="79" t="s">
        <v>85</v>
      </c>
      <c r="B16" s="159">
        <f>'Exhibit 1'!N14</f>
        <v>26543395</v>
      </c>
      <c r="C16" s="66" t="e">
        <f ca="1">C76*Assumptions!$D$38-1700000</f>
        <v>#DIV/0!</v>
      </c>
      <c r="D16" s="66" t="e">
        <f ca="1">D76*Assumptions!$D$38-2000000</f>
        <v>#DIV/0!</v>
      </c>
      <c r="E16" s="66" t="e">
        <f ca="1">E76*Assumptions!$D$38-2000000</f>
        <v>#DIV/0!</v>
      </c>
      <c r="F16" s="66" t="e">
        <f ca="1">F76*Assumptions!$D$38-2000000</f>
        <v>#DIV/0!</v>
      </c>
      <c r="G16" s="66" t="e">
        <f ca="1">G76*Assumptions!$D$38-2000000</f>
        <v>#DIV/0!</v>
      </c>
      <c r="H16" s="67" t="e">
        <f t="shared" ca="1" si="2"/>
        <v>#DIV/0!</v>
      </c>
    </row>
    <row r="17" spans="1:9" s="11" customFormat="1" ht="15" customHeight="1" x14ac:dyDescent="0.2">
      <c r="A17" s="80" t="s">
        <v>129</v>
      </c>
      <c r="B17" s="159">
        <f>'Exhibit 1'!N15</f>
        <v>29432544</v>
      </c>
      <c r="C17" s="66" t="e">
        <f ca="1">C38*Assumptions!$D$39</f>
        <v>#DIV/0!</v>
      </c>
      <c r="D17" s="66" t="e">
        <f ca="1">D38*Assumptions!$D$39</f>
        <v>#DIV/0!</v>
      </c>
      <c r="E17" s="66" t="e">
        <f ca="1">E38*Assumptions!$D$39</f>
        <v>#DIV/0!</v>
      </c>
      <c r="F17" s="66" t="e">
        <f ca="1">F38*Assumptions!$D$39</f>
        <v>#DIV/0!</v>
      </c>
      <c r="G17" s="66" t="e">
        <f ca="1">G38*Assumptions!$D$39</f>
        <v>#DIV/0!</v>
      </c>
      <c r="H17" s="67" t="e">
        <f t="shared" ca="1" si="2"/>
        <v>#DIV/0!</v>
      </c>
    </row>
    <row r="18" spans="1:9" s="11" customFormat="1" ht="15" customHeight="1" x14ac:dyDescent="0.2">
      <c r="A18" s="105" t="s">
        <v>83</v>
      </c>
      <c r="B18" s="159">
        <f>'Exhibit 1'!N16</f>
        <v>19846133</v>
      </c>
      <c r="C18" s="66" t="e">
        <f ca="1">C38*Assumptions!$D$40</f>
        <v>#DIV/0!</v>
      </c>
      <c r="D18" s="66" t="e">
        <f ca="1">D38*Assumptions!$D$40</f>
        <v>#DIV/0!</v>
      </c>
      <c r="E18" s="66" t="e">
        <f ca="1">E38*Assumptions!$D$40</f>
        <v>#DIV/0!</v>
      </c>
      <c r="F18" s="66" t="e">
        <f ca="1">F38*Assumptions!$D$40</f>
        <v>#DIV/0!</v>
      </c>
      <c r="G18" s="66" t="e">
        <f ca="1">G38*Assumptions!$D$40</f>
        <v>#DIV/0!</v>
      </c>
      <c r="H18" s="67" t="e">
        <f t="shared" ca="1" si="2"/>
        <v>#DIV/0!</v>
      </c>
    </row>
    <row r="19" spans="1:9" s="11" customFormat="1" ht="15" customHeight="1" x14ac:dyDescent="0.2">
      <c r="A19" s="37" t="s">
        <v>29</v>
      </c>
      <c r="B19" s="157">
        <f>'Exhibit 1'!N17</f>
        <v>4904107</v>
      </c>
      <c r="C19" s="165" t="e">
        <f ca="1">C38*Assumptions!$D$41</f>
        <v>#DIV/0!</v>
      </c>
      <c r="D19" s="164" t="e">
        <f ca="1">D38*Assumptions!$D$41</f>
        <v>#DIV/0!</v>
      </c>
      <c r="E19" s="164" t="e">
        <f ca="1">E38*Assumptions!$D$41</f>
        <v>#DIV/0!</v>
      </c>
      <c r="F19" s="164" t="e">
        <f ca="1">F38*Assumptions!$D$41</f>
        <v>#DIV/0!</v>
      </c>
      <c r="G19" s="164" t="e">
        <f ca="1">G38*Assumptions!$D$41</f>
        <v>#DIV/0!</v>
      </c>
      <c r="H19" s="68" t="e">
        <f t="shared" ca="1" si="2"/>
        <v>#DIV/0!</v>
      </c>
    </row>
    <row r="20" spans="1:9" s="11" customFormat="1" ht="15" customHeight="1" x14ac:dyDescent="0.2">
      <c r="A20" s="37" t="s">
        <v>45</v>
      </c>
      <c r="B20" s="159">
        <f>SUM(B12:B19)</f>
        <v>122203526</v>
      </c>
      <c r="C20" s="66" t="e">
        <f ca="1">SUM(C13:C19)</f>
        <v>#DIV/0!</v>
      </c>
      <c r="D20" s="66" t="e">
        <f ca="1">SUM(D13:D19)</f>
        <v>#DIV/0!</v>
      </c>
      <c r="E20" s="66" t="e">
        <f ca="1">SUM(E13:E19)</f>
        <v>#DIV/0!</v>
      </c>
      <c r="F20" s="66" t="e">
        <f ca="1">SUM(F13:F19)</f>
        <v>#DIV/0!</v>
      </c>
      <c r="G20" s="66" t="e">
        <f ca="1">SUM(G13:G19)</f>
        <v>#DIV/0!</v>
      </c>
      <c r="H20" s="67" t="e">
        <f t="shared" ca="1" si="2"/>
        <v>#DIV/0!</v>
      </c>
    </row>
    <row r="21" spans="1:9" s="11" customFormat="1" ht="15" customHeight="1" x14ac:dyDescent="0.2">
      <c r="A21" s="37"/>
      <c r="B21" s="159"/>
      <c r="H21" s="67"/>
    </row>
    <row r="22" spans="1:9" s="11" customFormat="1" ht="15" customHeight="1" x14ac:dyDescent="0.2">
      <c r="A22" s="78" t="s">
        <v>31</v>
      </c>
      <c r="B22" s="159"/>
      <c r="H22" s="67"/>
      <c r="I22" s="48"/>
    </row>
    <row r="23" spans="1:9" s="11" customFormat="1" ht="15" customHeight="1" x14ac:dyDescent="0.2">
      <c r="A23" s="155" t="s">
        <v>89</v>
      </c>
      <c r="B23" s="159">
        <f>'Exhibit 1'!N21</f>
        <v>481085837</v>
      </c>
      <c r="C23" s="66">
        <f>466260208+10000000</f>
        <v>476260208</v>
      </c>
      <c r="D23" s="66">
        <f>C26+20000000</f>
        <v>496260208</v>
      </c>
      <c r="E23" s="66">
        <f>D26+10000000</f>
        <v>506260208</v>
      </c>
      <c r="F23" s="66">
        <f>E26+10000000</f>
        <v>516260208</v>
      </c>
      <c r="G23" s="66">
        <f>F26+5000000</f>
        <v>521260208</v>
      </c>
      <c r="H23" s="67">
        <f t="shared" ref="H23" si="3">RATE(5,,-B23,G23)</f>
        <v>1.6170072586687595E-2</v>
      </c>
    </row>
    <row r="24" spans="1:9" s="11" customFormat="1" ht="15" customHeight="1" x14ac:dyDescent="0.2">
      <c r="A24" s="155" t="s">
        <v>119</v>
      </c>
      <c r="B24" s="159">
        <f>'Exhibit 1'!N22</f>
        <v>2401135</v>
      </c>
      <c r="C24" s="66"/>
      <c r="D24" s="66"/>
      <c r="E24" s="66"/>
      <c r="F24" s="66"/>
      <c r="G24" s="66"/>
      <c r="H24" s="67"/>
    </row>
    <row r="25" spans="1:9" s="11" customFormat="1" ht="15" customHeight="1" x14ac:dyDescent="0.2">
      <c r="A25" s="155" t="s">
        <v>64</v>
      </c>
      <c r="B25" s="157"/>
      <c r="C25" s="38"/>
      <c r="D25" s="38"/>
      <c r="E25" s="38"/>
      <c r="F25" s="38"/>
      <c r="G25" s="38"/>
      <c r="H25" s="68"/>
    </row>
    <row r="26" spans="1:9" s="11" customFormat="1" ht="15" customHeight="1" x14ac:dyDescent="0.2">
      <c r="A26" s="155" t="s">
        <v>70</v>
      </c>
      <c r="B26" s="159">
        <f>SUM(B22:B25)</f>
        <v>483486972</v>
      </c>
      <c r="C26" s="66">
        <f>SUM(C23:C25)</f>
        <v>476260208</v>
      </c>
      <c r="D26" s="66">
        <f>SUM(D23:D25)</f>
        <v>496260208</v>
      </c>
      <c r="E26" s="66">
        <f t="shared" ref="E26:G26" si="4">SUM(E23:E25)</f>
        <v>506260208</v>
      </c>
      <c r="F26" s="66">
        <f t="shared" si="4"/>
        <v>516260208</v>
      </c>
      <c r="G26" s="66">
        <f t="shared" si="4"/>
        <v>521260208</v>
      </c>
      <c r="H26" s="67">
        <f t="shared" ref="H26" si="5">RATE(5,,-B26,G26)</f>
        <v>1.5158743147924324E-2</v>
      </c>
    </row>
    <row r="27" spans="1:9" s="11" customFormat="1" ht="15" customHeight="1" x14ac:dyDescent="0.2">
      <c r="A27" s="155"/>
      <c r="B27" s="159"/>
      <c r="C27" s="66"/>
      <c r="D27" s="66"/>
      <c r="E27" s="66"/>
      <c r="F27" s="66"/>
      <c r="G27" s="66"/>
      <c r="H27" s="94"/>
    </row>
    <row r="28" spans="1:9" s="11" customFormat="1" ht="15" customHeight="1" x14ac:dyDescent="0.2">
      <c r="A28" s="155" t="s">
        <v>65</v>
      </c>
      <c r="B28" s="159">
        <f>'Exhibit 1'!N26</f>
        <v>323559049</v>
      </c>
      <c r="C28" s="66">
        <f>B28+C85-4000000</f>
        <v>333333563.51008081</v>
      </c>
      <c r="D28" s="66">
        <f>C28+D85-4000000</f>
        <v>342213442.68449128</v>
      </c>
      <c r="E28" s="66">
        <f>D28+E85-4000000</f>
        <v>351434689.39343828</v>
      </c>
      <c r="F28" s="66">
        <f>E28+F85-4000000</f>
        <v>360688593.66954523</v>
      </c>
      <c r="G28" s="66">
        <f>F28+G85-6000000</f>
        <v>367975236.17968994</v>
      </c>
      <c r="H28" s="67">
        <f t="shared" ref="H28" si="6">RATE(5,,-B28,G28)</f>
        <v>2.6060593286842196E-2</v>
      </c>
    </row>
    <row r="29" spans="1:9" s="11" customFormat="1" ht="15" customHeight="1" x14ac:dyDescent="0.2">
      <c r="A29" s="37"/>
      <c r="B29" s="159"/>
      <c r="C29" s="66"/>
      <c r="D29" s="66"/>
      <c r="E29" s="66"/>
      <c r="F29" s="66"/>
      <c r="G29" s="66"/>
      <c r="H29" s="94"/>
    </row>
    <row r="30" spans="1:9" s="11" customFormat="1" ht="15" customHeight="1" x14ac:dyDescent="0.2">
      <c r="A30" s="37" t="s">
        <v>66</v>
      </c>
      <c r="B30" s="159">
        <f>B26-B28</f>
        <v>159927923</v>
      </c>
      <c r="C30" s="66">
        <f>C26-C28</f>
        <v>142926644.48991919</v>
      </c>
      <c r="D30" s="66">
        <f t="shared" ref="D30:G30" si="7">D26-D28</f>
        <v>154046765.31550872</v>
      </c>
      <c r="E30" s="66">
        <f t="shared" si="7"/>
        <v>154825518.60656172</v>
      </c>
      <c r="F30" s="66">
        <f t="shared" si="7"/>
        <v>155571614.33045477</v>
      </c>
      <c r="G30" s="66">
        <f t="shared" si="7"/>
        <v>153284971.82031006</v>
      </c>
      <c r="H30" s="67">
        <f t="shared" ref="H30" si="8">RATE(5,,-B30,G30)</f>
        <v>-8.4490013780491365E-3</v>
      </c>
    </row>
    <row r="31" spans="1:9" s="11" customFormat="1" ht="15" customHeight="1" x14ac:dyDescent="0.2">
      <c r="A31" s="37"/>
      <c r="B31" s="159"/>
      <c r="H31" s="67"/>
    </row>
    <row r="32" spans="1:9" s="11" customFormat="1" ht="15" customHeight="1" x14ac:dyDescent="0.2">
      <c r="A32" s="78" t="s">
        <v>79</v>
      </c>
      <c r="B32" s="159"/>
      <c r="H32" s="67"/>
    </row>
    <row r="33" spans="1:11" s="11" customFormat="1" ht="15" customHeight="1" x14ac:dyDescent="0.2">
      <c r="A33" s="37" t="s">
        <v>116</v>
      </c>
      <c r="B33" s="159">
        <f>'Exhibit 1'!N31</f>
        <v>28192058</v>
      </c>
      <c r="C33" s="66" t="e">
        <f ca="1">C38*Assumptions!$D$55</f>
        <v>#DIV/0!</v>
      </c>
      <c r="D33" s="66" t="e">
        <f ca="1">D38*Assumptions!$D$55</f>
        <v>#DIV/0!</v>
      </c>
      <c r="E33" s="66" t="e">
        <f ca="1">E38*Assumptions!$D$55</f>
        <v>#DIV/0!</v>
      </c>
      <c r="F33" s="66" t="e">
        <f ca="1">F38*Assumptions!$D$55</f>
        <v>#DIV/0!</v>
      </c>
      <c r="G33" s="66" t="e">
        <f ca="1">G38*Assumptions!$D$55</f>
        <v>#DIV/0!</v>
      </c>
      <c r="H33" s="67" t="e">
        <f t="shared" ref="H33:H38" ca="1" si="9">RATE(5,,-B33,G33)</f>
        <v>#DIV/0!</v>
      </c>
    </row>
    <row r="34" spans="1:11" s="11" customFormat="1" ht="15" customHeight="1" x14ac:dyDescent="0.2">
      <c r="A34" s="37" t="s">
        <v>115</v>
      </c>
      <c r="B34" s="159">
        <f>'Exhibit 1'!N32</f>
        <v>5168287</v>
      </c>
      <c r="C34" s="66">
        <f>B34</f>
        <v>5168287</v>
      </c>
      <c r="D34" s="66">
        <f>C34</f>
        <v>5168287</v>
      </c>
      <c r="E34" s="66">
        <f>D34</f>
        <v>5168287</v>
      </c>
      <c r="F34" s="66">
        <f>E34</f>
        <v>5168287</v>
      </c>
      <c r="G34" s="66">
        <f>F34</f>
        <v>5168287</v>
      </c>
      <c r="H34" s="67">
        <f t="shared" si="9"/>
        <v>1.3625880876215397E-16</v>
      </c>
    </row>
    <row r="35" spans="1:11" s="11" customFormat="1" ht="15" customHeight="1" x14ac:dyDescent="0.2">
      <c r="A35" s="37" t="s">
        <v>117</v>
      </c>
      <c r="B35" s="157">
        <f>'Exhibit 1'!N33</f>
        <v>24992680</v>
      </c>
      <c r="C35" s="165">
        <f>B35-9704934</f>
        <v>15287746</v>
      </c>
      <c r="D35" s="164">
        <f>C35-9704934</f>
        <v>5582812</v>
      </c>
      <c r="E35" s="164">
        <f>D35-9704934</f>
        <v>-4122122</v>
      </c>
      <c r="F35" s="164">
        <f>E35-9704934</f>
        <v>-13827056</v>
      </c>
      <c r="G35" s="164">
        <f>F35-9704934</f>
        <v>-23531990</v>
      </c>
      <c r="H35" s="68" t="e">
        <f t="shared" si="9"/>
        <v>#NUM!</v>
      </c>
    </row>
    <row r="36" spans="1:11" s="11" customFormat="1" ht="15" customHeight="1" x14ac:dyDescent="0.2">
      <c r="A36" s="37" t="s">
        <v>80</v>
      </c>
      <c r="B36" s="160">
        <f>B35+B34+B33</f>
        <v>58353025</v>
      </c>
      <c r="C36" s="165" t="e">
        <f ca="1">C35+C34+C33</f>
        <v>#DIV/0!</v>
      </c>
      <c r="D36" s="164" t="e">
        <f ca="1">D35+D34+D33</f>
        <v>#DIV/0!</v>
      </c>
      <c r="E36" s="164" t="e">
        <f t="shared" ref="E36:G36" ca="1" si="10">E35+E34+E33</f>
        <v>#DIV/0!</v>
      </c>
      <c r="F36" s="164" t="e">
        <f t="shared" ca="1" si="10"/>
        <v>#DIV/0!</v>
      </c>
      <c r="G36" s="164" t="e">
        <f t="shared" ca="1" si="10"/>
        <v>#DIV/0!</v>
      </c>
      <c r="H36" s="106" t="e">
        <f t="shared" ca="1" si="9"/>
        <v>#DIV/0!</v>
      </c>
    </row>
    <row r="37" spans="1:11" s="11" customFormat="1" ht="15" customHeight="1" x14ac:dyDescent="0.2">
      <c r="A37" s="37" t="s">
        <v>49</v>
      </c>
      <c r="B37" s="160">
        <f>B36+B30</f>
        <v>218280948</v>
      </c>
      <c r="C37" s="66" t="e">
        <f ca="1">C36+C30</f>
        <v>#DIV/0!</v>
      </c>
      <c r="D37" s="66" t="e">
        <f ca="1">D36+D30</f>
        <v>#DIV/0!</v>
      </c>
      <c r="E37" s="66" t="e">
        <f t="shared" ref="E37:G37" ca="1" si="11">E36+E30</f>
        <v>#DIV/0!</v>
      </c>
      <c r="F37" s="66" t="e">
        <f t="shared" ca="1" si="11"/>
        <v>#DIV/0!</v>
      </c>
      <c r="G37" s="66" t="e">
        <f t="shared" ca="1" si="11"/>
        <v>#DIV/0!</v>
      </c>
      <c r="H37" s="106" t="e">
        <f t="shared" ca="1" si="9"/>
        <v>#DIV/0!</v>
      </c>
    </row>
    <row r="38" spans="1:11" s="11" customFormat="1" ht="15" customHeight="1" thickBot="1" x14ac:dyDescent="0.25">
      <c r="A38" s="37" t="s">
        <v>44</v>
      </c>
      <c r="B38" s="161">
        <f>B37+B20</f>
        <v>340484474</v>
      </c>
      <c r="C38" s="168" t="e">
        <f ca="1">C37+C20</f>
        <v>#DIV/0!</v>
      </c>
      <c r="D38" s="167" t="e">
        <f ca="1">D37+D20</f>
        <v>#DIV/0!</v>
      </c>
      <c r="E38" s="167" t="e">
        <f t="shared" ref="E38:G38" ca="1" si="12">E37+E20</f>
        <v>#DIV/0!</v>
      </c>
      <c r="F38" s="167" t="e">
        <f t="shared" ca="1" si="12"/>
        <v>#DIV/0!</v>
      </c>
      <c r="G38" s="167" t="e">
        <f t="shared" ca="1" si="12"/>
        <v>#DIV/0!</v>
      </c>
      <c r="H38" s="96" t="e">
        <f t="shared" ca="1" si="9"/>
        <v>#DIV/0!</v>
      </c>
    </row>
    <row r="39" spans="1:11" s="11" customFormat="1" ht="15" customHeight="1" thickTop="1" x14ac:dyDescent="0.2">
      <c r="A39" s="37"/>
      <c r="B39" s="66"/>
      <c r="C39" s="260"/>
      <c r="D39" s="40"/>
      <c r="E39" s="40"/>
      <c r="F39" s="40"/>
      <c r="G39" s="40"/>
      <c r="H39" s="169"/>
      <c r="K39" s="2"/>
    </row>
    <row r="40" spans="1:11" s="11" customFormat="1" ht="15" customHeight="1" x14ac:dyDescent="0.2">
      <c r="B40" s="66"/>
      <c r="C40" s="261"/>
      <c r="D40" s="225"/>
      <c r="E40" s="225"/>
      <c r="F40" s="225"/>
      <c r="G40" s="225"/>
      <c r="H40" s="94"/>
    </row>
    <row r="41" spans="1:11" s="11" customFormat="1" ht="15" customHeight="1" x14ac:dyDescent="0.2">
      <c r="A41" s="78" t="s">
        <v>8</v>
      </c>
      <c r="B41" s="66"/>
      <c r="C41" s="262"/>
      <c r="H41" s="67"/>
    </row>
    <row r="42" spans="1:11" s="11" customFormat="1" ht="15" customHeight="1" x14ac:dyDescent="0.2">
      <c r="A42" s="80" t="s">
        <v>107</v>
      </c>
      <c r="B42" s="166"/>
      <c r="C42" s="262"/>
      <c r="H42" s="67"/>
    </row>
    <row r="43" spans="1:11" s="11" customFormat="1" ht="15" customHeight="1" x14ac:dyDescent="0.2">
      <c r="A43" s="37" t="s">
        <v>84</v>
      </c>
      <c r="B43" s="166">
        <f>'Exhibit 1'!N40</f>
        <v>11708212</v>
      </c>
      <c r="C43" s="250" t="e">
        <f ca="1">D38*Assumptions!$D$64</f>
        <v>#DIV/0!</v>
      </c>
      <c r="D43" s="66" t="e">
        <f ca="1">D38*Assumptions!$D$64</f>
        <v>#DIV/0!</v>
      </c>
      <c r="E43" s="66" t="e">
        <f ca="1">E38*Assumptions!$D$64</f>
        <v>#DIV/0!</v>
      </c>
      <c r="F43" s="66" t="e">
        <f ca="1">F38*Assumptions!$D$64</f>
        <v>#DIV/0!</v>
      </c>
      <c r="G43" s="66" t="e">
        <f ca="1">G38*Assumptions!$D$64</f>
        <v>#DIV/0!</v>
      </c>
      <c r="H43" s="67" t="e">
        <f t="shared" ref="H43:H46" ca="1" si="13">RATE(5,,-B43,G43)</f>
        <v>#DIV/0!</v>
      </c>
    </row>
    <row r="44" spans="1:11" s="11" customFormat="1" ht="15" customHeight="1" x14ac:dyDescent="0.2">
      <c r="A44" s="80" t="s">
        <v>108</v>
      </c>
      <c r="B44" s="166">
        <f>'Exhibit 1'!N41</f>
        <v>3510343</v>
      </c>
      <c r="C44" s="250">
        <f>B44</f>
        <v>3510343</v>
      </c>
      <c r="D44" s="66">
        <f>C44</f>
        <v>3510343</v>
      </c>
      <c r="E44" s="66">
        <f t="shared" ref="E44:G44" si="14">D44</f>
        <v>3510343</v>
      </c>
      <c r="F44" s="66">
        <f t="shared" si="14"/>
        <v>3510343</v>
      </c>
      <c r="G44" s="66">
        <f t="shared" si="14"/>
        <v>3510343</v>
      </c>
      <c r="H44" s="67">
        <f t="shared" si="13"/>
        <v>1.9860985061435651E-16</v>
      </c>
    </row>
    <row r="45" spans="1:11" s="11" customFormat="1" ht="15" customHeight="1" x14ac:dyDescent="0.2">
      <c r="A45" s="37" t="s">
        <v>71</v>
      </c>
      <c r="B45" s="164">
        <f>'Exhibit 1'!N42</f>
        <v>15867570</v>
      </c>
      <c r="C45" s="165" t="e">
        <f ca="1">C38*Assumptions!$D$66</f>
        <v>#DIV/0!</v>
      </c>
      <c r="D45" s="164" t="e">
        <f ca="1">D38*Assumptions!$D$66</f>
        <v>#DIV/0!</v>
      </c>
      <c r="E45" s="164" t="e">
        <f ca="1">E38*Assumptions!$D$66</f>
        <v>#DIV/0!</v>
      </c>
      <c r="F45" s="164" t="e">
        <f ca="1">F38*Assumptions!$D$66</f>
        <v>#DIV/0!</v>
      </c>
      <c r="G45" s="164" t="e">
        <f ca="1">G38*Assumptions!$D$66</f>
        <v>#DIV/0!</v>
      </c>
      <c r="H45" s="68" t="e">
        <f t="shared" ca="1" si="13"/>
        <v>#DIV/0!</v>
      </c>
    </row>
    <row r="46" spans="1:11" s="11" customFormat="1" ht="15" customHeight="1" x14ac:dyDescent="0.2">
      <c r="A46" s="37" t="s">
        <v>46</v>
      </c>
      <c r="B46" s="166">
        <f t="shared" ref="B46" si="15">SUM(B41:B45)</f>
        <v>31086125</v>
      </c>
      <c r="C46" s="250" t="e">
        <f ca="1">SUM(C42:C45)</f>
        <v>#DIV/0!</v>
      </c>
      <c r="D46" s="66" t="e">
        <f t="shared" ref="D46:G46" ca="1" si="16">SUM(D42:D45)</f>
        <v>#DIV/0!</v>
      </c>
      <c r="E46" s="66" t="e">
        <f t="shared" ca="1" si="16"/>
        <v>#DIV/0!</v>
      </c>
      <c r="F46" s="66" t="e">
        <f t="shared" ca="1" si="16"/>
        <v>#DIV/0!</v>
      </c>
      <c r="G46" s="66" t="e">
        <f t="shared" ca="1" si="16"/>
        <v>#DIV/0!</v>
      </c>
      <c r="H46" s="67" t="e">
        <f t="shared" ca="1" si="13"/>
        <v>#DIV/0!</v>
      </c>
      <c r="I46" s="47"/>
    </row>
    <row r="47" spans="1:11" s="11" customFormat="1" ht="15" customHeight="1" x14ac:dyDescent="0.2">
      <c r="A47" s="37"/>
      <c r="B47" s="166"/>
      <c r="C47" s="262"/>
      <c r="H47" s="67"/>
    </row>
    <row r="48" spans="1:11" s="11" customFormat="1" ht="15" customHeight="1" x14ac:dyDescent="0.2">
      <c r="A48" s="130" t="s">
        <v>67</v>
      </c>
      <c r="B48" s="166">
        <f>'Exhibit 1'!N45</f>
        <v>177543413</v>
      </c>
      <c r="C48" s="250">
        <f>'Exhibit 1'!N45-10166234+5000000</f>
        <v>172377179</v>
      </c>
      <c r="D48" s="217">
        <f>C48-10166234+10000000</f>
        <v>172210945</v>
      </c>
      <c r="E48" s="217">
        <f>D48-14166234</f>
        <v>158044711</v>
      </c>
      <c r="F48" s="217">
        <f t="shared" ref="F48" si="17">E48-10166234</f>
        <v>147878477</v>
      </c>
      <c r="G48" s="217">
        <f>F48-19166234</f>
        <v>128712243</v>
      </c>
      <c r="H48" s="67">
        <f>RATE(5,,-B48,G48)</f>
        <v>-6.2301850685405856E-2</v>
      </c>
    </row>
    <row r="49" spans="1:21" s="11" customFormat="1" ht="15" customHeight="1" x14ac:dyDescent="0.2">
      <c r="A49" s="155" t="s">
        <v>10</v>
      </c>
      <c r="B49" s="166">
        <f>'Exhibit 1'!N46</f>
        <v>48851227</v>
      </c>
      <c r="C49" s="263">
        <f>B49*1.015</f>
        <v>49583995.404999994</v>
      </c>
      <c r="D49" s="217">
        <f>C49*1.015</f>
        <v>50327755.336074986</v>
      </c>
      <c r="E49" s="66">
        <f t="shared" ref="E49:G49" si="18">D49*1.015</f>
        <v>51082671.666116104</v>
      </c>
      <c r="F49" s="66">
        <f t="shared" si="18"/>
        <v>51848911.741107836</v>
      </c>
      <c r="G49" s="66">
        <f t="shared" si="18"/>
        <v>52626645.417224452</v>
      </c>
      <c r="H49" s="67">
        <f t="shared" ref="H49:H54" si="19">RATE(5,,-B49,G49)</f>
        <v>1.4999999999999762E-2</v>
      </c>
      <c r="I49" s="47"/>
    </row>
    <row r="50" spans="1:21" s="47" customFormat="1" ht="15" customHeight="1" x14ac:dyDescent="0.2">
      <c r="A50" s="155" t="s">
        <v>68</v>
      </c>
      <c r="B50" s="166">
        <f>'Exhibit 1'!N47</f>
        <v>15053902</v>
      </c>
      <c r="C50" s="250">
        <f>B50*(1+Assumptions!$D$62)</f>
        <v>15053902</v>
      </c>
      <c r="D50" s="217">
        <f>C50*(1+Assumptions!$D$62)</f>
        <v>15053902</v>
      </c>
      <c r="E50" s="66">
        <f>D50*(1+Assumptions!$D$62)</f>
        <v>15053902</v>
      </c>
      <c r="F50" s="66">
        <f>E50*(1+Assumptions!$D$62)</f>
        <v>15053902</v>
      </c>
      <c r="G50" s="66">
        <f>F50*(1+Assumptions!$D$62)</f>
        <v>15053902</v>
      </c>
      <c r="H50" s="67">
        <f t="shared" si="19"/>
        <v>1.9396803044726898E-16</v>
      </c>
      <c r="J50" s="11" t="e">
        <f ca="1">IF(C38&lt;C60,(((C60-C38)*0.1)+C15),0)</f>
        <v>#DIV/0!</v>
      </c>
      <c r="K50" s="11" t="e">
        <f ca="1">IF(D38&lt;D60,(((D60-D38)*0.1)+D15),0)</f>
        <v>#DIV/0!</v>
      </c>
      <c r="L50" s="11" t="e">
        <f ca="1">IF(E38&lt;E60,(((E60-E38)*0.1)+E15),0)</f>
        <v>#DIV/0!</v>
      </c>
      <c r="M50" s="11" t="e">
        <f ca="1">IF(F38&lt;F60,(((F60-F38)*0.1)+F15),0)</f>
        <v>#DIV/0!</v>
      </c>
      <c r="N50" s="11" t="e">
        <f ca="1">IF(G38&lt;G60,(((G60-G38)*0.1)+G15),0)</f>
        <v>#DIV/0!</v>
      </c>
      <c r="O50" s="11" t="e">
        <f>IF(#REF!&lt;#REF!,(((#REF!-#REF!)*0.1)+#REF!),0)</f>
        <v>#REF!</v>
      </c>
      <c r="P50" s="11" t="e">
        <f>IF(#REF!&lt;#REF!,(((#REF!-#REF!)*0.1)+#REF!),0)</f>
        <v>#REF!</v>
      </c>
      <c r="Q50" s="11" t="e">
        <f>IF(#REF!&lt;#REF!,(((#REF!-#REF!)*0.1)+#REF!),0)</f>
        <v>#REF!</v>
      </c>
      <c r="R50" s="11" t="e">
        <f>IF(#REF!&lt;#REF!,(((#REF!-#REF!)*0.1)+#REF!),0)</f>
        <v>#REF!</v>
      </c>
      <c r="S50" s="11" t="e">
        <f>IF(#REF!&lt;#REF!,(((#REF!-#REF!)*0.1)+#REF!),0)</f>
        <v>#REF!</v>
      </c>
    </row>
    <row r="51" spans="1:21" s="47" customFormat="1" ht="15" customHeight="1" x14ac:dyDescent="0.2">
      <c r="A51" s="155" t="s">
        <v>1</v>
      </c>
      <c r="B51" s="164">
        <v>0</v>
      </c>
      <c r="C51" s="165" t="e">
        <f ca="1">J51</f>
        <v>#DIV/0!</v>
      </c>
      <c r="D51" s="219" t="e">
        <f ca="1">K51</f>
        <v>#DIV/0!</v>
      </c>
      <c r="E51" s="219" t="e">
        <f ca="1">L51</f>
        <v>#DIV/0!</v>
      </c>
      <c r="F51" s="219" t="e">
        <f ca="1">M51</f>
        <v>#DIV/0!</v>
      </c>
      <c r="G51" s="219" t="e">
        <f ca="1">N51</f>
        <v>#DIV/0!</v>
      </c>
      <c r="H51" s="68"/>
      <c r="I51" s="11"/>
      <c r="J51" s="11" t="e">
        <f ca="1">IF(C38&gt;C60,(((C38-C60)*0.1)+C51),0)</f>
        <v>#DIV/0!</v>
      </c>
      <c r="K51" s="11" t="e">
        <f ca="1">IF(D38&gt;D60,(((D38-D60)*0.1)+D51),0)</f>
        <v>#DIV/0!</v>
      </c>
      <c r="L51" s="11" t="e">
        <f ca="1">IF(E38&gt;E60,(((E38-E60)*0.1)+E51),0)</f>
        <v>#DIV/0!</v>
      </c>
      <c r="M51" s="11" t="e">
        <f ca="1">IF(F38&gt;F60,(((F38-F60)*0.1)+F51),0)</f>
        <v>#DIV/0!</v>
      </c>
      <c r="N51" s="11" t="e">
        <f ca="1">IF(G38&gt;G60,(((G38-G60)*0.1)+G51),0)</f>
        <v>#DIV/0!</v>
      </c>
      <c r="O51" s="11" t="e">
        <f>IF(#REF!&gt;#REF!,(((#REF!-#REF!)*0.1)+#REF!),0)</f>
        <v>#REF!</v>
      </c>
      <c r="P51" s="11" t="e">
        <f>IF(#REF!&gt;#REF!,(((#REF!-#REF!)*0.1)+#REF!),0)</f>
        <v>#REF!</v>
      </c>
      <c r="Q51" s="11" t="e">
        <f>IF(#REF!&gt;#REF!,(((#REF!-#REF!)*0.1)+#REF!),0)</f>
        <v>#REF!</v>
      </c>
      <c r="R51" s="11" t="e">
        <f>IF(#REF!&gt;#REF!,(((#REF!-#REF!)*0.1)+#REF!),0)</f>
        <v>#REF!</v>
      </c>
      <c r="S51" s="11" t="e">
        <f>IF(#REF!&gt;#REF!,(((#REF!-#REF!)*0.1)+#REF!),0)</f>
        <v>#REF!</v>
      </c>
    </row>
    <row r="52" spans="1:21" s="11" customFormat="1" ht="15" customHeight="1" x14ac:dyDescent="0.2">
      <c r="A52" s="130" t="s">
        <v>69</v>
      </c>
      <c r="B52" s="166">
        <f t="shared" ref="B52" si="20">SUM(B48:B51)</f>
        <v>241448542</v>
      </c>
      <c r="C52" s="250" t="e">
        <f ca="1">SUM(C48:C51)</f>
        <v>#DIV/0!</v>
      </c>
      <c r="D52" s="217" t="e">
        <f ca="1">SUM(D48:D51)</f>
        <v>#DIV/0!</v>
      </c>
      <c r="E52" s="66" t="e">
        <f ca="1">SUM(E48:E51)</f>
        <v>#DIV/0!</v>
      </c>
      <c r="F52" s="66" t="e">
        <f ca="1">SUM(F48:F51)</f>
        <v>#DIV/0!</v>
      </c>
      <c r="G52" s="66" t="e">
        <f ca="1">SUM(G48:G51)</f>
        <v>#DIV/0!</v>
      </c>
      <c r="H52" s="67" t="e">
        <f t="shared" ca="1" si="19"/>
        <v>#DIV/0!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7"/>
      <c r="U52" s="47"/>
    </row>
    <row r="53" spans="1:21" s="11" customFormat="1" ht="15" customHeight="1" x14ac:dyDescent="0.2">
      <c r="A53" s="130"/>
      <c r="B53" s="166"/>
      <c r="C53" s="262"/>
      <c r="D53" s="47"/>
      <c r="H53" s="94"/>
    </row>
    <row r="54" spans="1:21" s="11" customFormat="1" ht="15" customHeight="1" x14ac:dyDescent="0.2">
      <c r="A54" s="155" t="s">
        <v>47</v>
      </c>
      <c r="B54" s="166">
        <f>'Exhibit 1'!N50</f>
        <v>272534667</v>
      </c>
      <c r="C54" s="250" t="e">
        <f ca="1">C46+C52</f>
        <v>#DIV/0!</v>
      </c>
      <c r="D54" s="217" t="e">
        <f ca="1">D46+D52</f>
        <v>#DIV/0!</v>
      </c>
      <c r="E54" s="66" t="e">
        <f ca="1">E46+E52</f>
        <v>#DIV/0!</v>
      </c>
      <c r="F54" s="66" t="e">
        <f ca="1">F46+F52</f>
        <v>#DIV/0!</v>
      </c>
      <c r="G54" s="66" t="e">
        <f ca="1">G46+G52</f>
        <v>#DIV/0!</v>
      </c>
      <c r="H54" s="67" t="e">
        <f t="shared" ca="1" si="19"/>
        <v>#DIV/0!</v>
      </c>
      <c r="I54" s="47"/>
      <c r="J54" s="43"/>
      <c r="K54" s="43"/>
      <c r="L54" s="43"/>
      <c r="M54" s="43"/>
      <c r="N54" s="43"/>
      <c r="O54" s="43"/>
      <c r="P54" s="43"/>
      <c r="Q54" s="43"/>
      <c r="R54" s="43"/>
    </row>
    <row r="55" spans="1:21" s="11" customFormat="1" ht="15" customHeight="1" x14ac:dyDescent="0.2">
      <c r="A55" s="155"/>
      <c r="B55" s="166"/>
      <c r="C55" s="261"/>
      <c r="D55" s="47"/>
      <c r="E55" s="47"/>
      <c r="F55" s="47"/>
      <c r="G55" s="47"/>
      <c r="H55" s="155"/>
      <c r="I55" s="47"/>
    </row>
    <row r="56" spans="1:21" s="11" customFormat="1" ht="15" customHeight="1" x14ac:dyDescent="0.2">
      <c r="A56" s="267" t="s">
        <v>118</v>
      </c>
      <c r="B56" s="166"/>
      <c r="C56" s="261"/>
      <c r="D56" s="47"/>
      <c r="E56" s="47"/>
      <c r="F56" s="47"/>
      <c r="G56" s="47"/>
      <c r="H56" s="216"/>
      <c r="I56" s="47"/>
    </row>
    <row r="57" spans="1:21" s="11" customFormat="1" ht="15" customHeight="1" x14ac:dyDescent="0.2">
      <c r="A57" s="80" t="s">
        <v>96</v>
      </c>
      <c r="B57" s="166">
        <f>'Exhibit 1'!N53</f>
        <v>67949807</v>
      </c>
      <c r="C57" s="263" t="e">
        <f ca="1">B57+C102-C105</f>
        <v>#DIV/0!</v>
      </c>
      <c r="D57" s="217" t="e">
        <f ca="1">C57+D102-D105</f>
        <v>#DIV/0!</v>
      </c>
      <c r="E57" s="217" t="e">
        <f ca="1">D57+E102-E105</f>
        <v>#DIV/0!</v>
      </c>
      <c r="F57" s="217" t="e">
        <f ca="1">E57+F102-F105</f>
        <v>#DIV/0!</v>
      </c>
      <c r="G57" s="217" t="e">
        <f ca="1">F57+G102-G105</f>
        <v>#DIV/0!</v>
      </c>
      <c r="H57" s="216" t="e">
        <f t="shared" ref="H57" ca="1" si="21">RATE(5,,-B57,G57)</f>
        <v>#DIV/0!</v>
      </c>
      <c r="I57" s="47"/>
    </row>
    <row r="58" spans="1:21" s="11" customFormat="1" ht="15" customHeight="1" x14ac:dyDescent="0.2">
      <c r="A58" s="82" t="s">
        <v>34</v>
      </c>
      <c r="B58" s="164"/>
      <c r="C58" s="218"/>
      <c r="D58" s="219"/>
      <c r="E58" s="219"/>
      <c r="F58" s="219"/>
      <c r="G58" s="219"/>
      <c r="H58" s="220"/>
      <c r="I58" s="47"/>
    </row>
    <row r="59" spans="1:21" s="11" customFormat="1" ht="15" customHeight="1" x14ac:dyDescent="0.2">
      <c r="A59" s="37" t="s">
        <v>110</v>
      </c>
      <c r="B59" s="258">
        <f>SUM(B56:B58)</f>
        <v>67949807</v>
      </c>
      <c r="C59" s="263" t="e">
        <f ca="1">SUM(C57:C58)</f>
        <v>#DIV/0!</v>
      </c>
      <c r="D59" s="217" t="e">
        <f t="shared" ref="D59" ca="1" si="22">SUM(D57:D58)</f>
        <v>#DIV/0!</v>
      </c>
      <c r="E59" s="217" t="e">
        <f t="shared" ref="E59:G59" ca="1" si="23">SUM(E57:E58)</f>
        <v>#DIV/0!</v>
      </c>
      <c r="F59" s="217" t="e">
        <f t="shared" ca="1" si="23"/>
        <v>#DIV/0!</v>
      </c>
      <c r="G59" s="217" t="e">
        <f t="shared" ca="1" si="23"/>
        <v>#DIV/0!</v>
      </c>
      <c r="H59" s="221" t="e">
        <f t="shared" ref="H59:H60" ca="1" si="24">RATE(5,,-B59,G59)</f>
        <v>#DIV/0!</v>
      </c>
      <c r="I59" s="47"/>
    </row>
    <row r="60" spans="1:21" s="11" customFormat="1" ht="15" customHeight="1" thickBot="1" x14ac:dyDescent="0.25">
      <c r="A60" s="37" t="s">
        <v>48</v>
      </c>
      <c r="B60" s="259">
        <f>B59+B54</f>
        <v>340484474</v>
      </c>
      <c r="C60" s="222" t="e">
        <f ca="1">C59+C54</f>
        <v>#DIV/0!</v>
      </c>
      <c r="D60" s="223" t="e">
        <f ca="1">D59+D54</f>
        <v>#DIV/0!</v>
      </c>
      <c r="E60" s="223" t="e">
        <f t="shared" ref="E60:G60" ca="1" si="25">E59+E54</f>
        <v>#DIV/0!</v>
      </c>
      <c r="F60" s="223" t="e">
        <f t="shared" ca="1" si="25"/>
        <v>#DIV/0!</v>
      </c>
      <c r="G60" s="223" t="e">
        <f t="shared" ca="1" si="25"/>
        <v>#DIV/0!</v>
      </c>
      <c r="H60" s="224" t="e">
        <f t="shared" ca="1" si="24"/>
        <v>#DIV/0!</v>
      </c>
      <c r="I60" s="47"/>
    </row>
    <row r="61" spans="1:21" s="11" customFormat="1" ht="15" customHeight="1" thickTop="1" x14ac:dyDescent="0.2">
      <c r="B61" s="66">
        <f>B60-B38</f>
        <v>0</v>
      </c>
      <c r="C61" s="263" t="e">
        <f t="shared" ref="C61:G61" ca="1" si="26">C60-C38</f>
        <v>#DIV/0!</v>
      </c>
      <c r="D61" s="217" t="e">
        <f t="shared" ca="1" si="26"/>
        <v>#DIV/0!</v>
      </c>
      <c r="E61" s="217" t="e">
        <f t="shared" ca="1" si="26"/>
        <v>#DIV/0!</v>
      </c>
      <c r="F61" s="217" t="e">
        <f t="shared" ca="1" si="26"/>
        <v>#DIV/0!</v>
      </c>
      <c r="G61" s="217" t="e">
        <f t="shared" ca="1" si="26"/>
        <v>#DIV/0!</v>
      </c>
      <c r="H61" s="155"/>
      <c r="I61" s="47"/>
    </row>
    <row r="62" spans="1:21" s="11" customFormat="1" ht="15" customHeight="1" x14ac:dyDescent="0.2">
      <c r="B62" s="66"/>
      <c r="C62" s="47"/>
      <c r="D62" s="47"/>
      <c r="E62" s="47"/>
      <c r="F62" s="47"/>
      <c r="G62" s="47"/>
      <c r="H62" s="155"/>
      <c r="I62" s="47"/>
    </row>
    <row r="63" spans="1:21" s="11" customFormat="1" ht="15" customHeight="1" x14ac:dyDescent="0.2">
      <c r="B63" s="66"/>
      <c r="C63" s="47"/>
      <c r="D63" s="47"/>
      <c r="E63" s="47"/>
      <c r="F63" s="47"/>
      <c r="G63" s="47"/>
      <c r="H63" s="216"/>
      <c r="I63" s="47"/>
    </row>
    <row r="64" spans="1:21" s="11" customFormat="1" ht="15" customHeight="1" x14ac:dyDescent="0.2">
      <c r="B64" s="66"/>
      <c r="H64" s="73" t="str">
        <f>H2</f>
        <v>Exhibit 2</v>
      </c>
    </row>
    <row r="65" spans="1:8" s="11" customFormat="1" ht="15" customHeight="1" x14ac:dyDescent="0.2">
      <c r="B65" s="66"/>
      <c r="H65" s="73" t="s">
        <v>100</v>
      </c>
    </row>
    <row r="66" spans="1:8" s="11" customFormat="1" ht="15" customHeight="1" x14ac:dyDescent="0.25">
      <c r="A66" s="269" t="str">
        <f>A4</f>
        <v>Deseret Generation &amp; Transmission</v>
      </c>
      <c r="B66" s="269"/>
      <c r="C66" s="269"/>
      <c r="D66" s="269"/>
      <c r="E66" s="269"/>
      <c r="F66" s="269"/>
      <c r="G66" s="269"/>
      <c r="H66" s="269"/>
    </row>
    <row r="67" spans="1:8" s="11" customFormat="1" ht="15" customHeight="1" x14ac:dyDescent="0.25">
      <c r="A67" s="273" t="s">
        <v>124</v>
      </c>
      <c r="B67" s="273"/>
      <c r="C67" s="273"/>
      <c r="D67" s="273"/>
      <c r="E67" s="273"/>
      <c r="F67" s="273"/>
      <c r="G67" s="273"/>
      <c r="H67" s="273"/>
    </row>
    <row r="68" spans="1:8" s="11" customFormat="1" ht="15" customHeight="1" x14ac:dyDescent="0.2">
      <c r="A68" s="274">
        <f ca="1">A6</f>
        <v>42647.336604745367</v>
      </c>
      <c r="B68" s="274"/>
      <c r="C68" s="274"/>
      <c r="D68" s="274"/>
      <c r="E68" s="274"/>
      <c r="F68" s="274"/>
      <c r="G68" s="274"/>
      <c r="H68" s="274"/>
    </row>
    <row r="69" spans="1:8" s="11" customFormat="1" ht="15" customHeight="1" x14ac:dyDescent="0.2">
      <c r="B69" s="66"/>
      <c r="H69" s="67"/>
    </row>
    <row r="70" spans="1:8" s="11" customFormat="1" ht="15" customHeight="1" x14ac:dyDescent="0.2">
      <c r="B70" s="66"/>
      <c r="H70" s="67"/>
    </row>
    <row r="71" spans="1:8" s="11" customFormat="1" ht="15" customHeight="1" x14ac:dyDescent="0.2">
      <c r="B71" s="195" t="s">
        <v>16</v>
      </c>
      <c r="C71" s="110" t="s">
        <v>57</v>
      </c>
      <c r="D71" s="110" t="s">
        <v>57</v>
      </c>
      <c r="E71" s="110" t="s">
        <v>57</v>
      </c>
      <c r="F71" s="110" t="s">
        <v>57</v>
      </c>
      <c r="G71" s="110" t="s">
        <v>57</v>
      </c>
      <c r="H71" s="128" t="s">
        <v>4</v>
      </c>
    </row>
    <row r="72" spans="1:8" s="11" customFormat="1" ht="15" customHeight="1" x14ac:dyDescent="0.2">
      <c r="A72" s="116" t="s">
        <v>0</v>
      </c>
      <c r="B72" s="201">
        <f>B10</f>
        <v>2015</v>
      </c>
      <c r="C72" s="114">
        <f>C10</f>
        <v>2016</v>
      </c>
      <c r="D72" s="114">
        <f>D10</f>
        <v>2017</v>
      </c>
      <c r="E72" s="114">
        <f t="shared" ref="E72:G72" si="27">E10</f>
        <v>2018</v>
      </c>
      <c r="F72" s="114">
        <f t="shared" si="27"/>
        <v>2019</v>
      </c>
      <c r="G72" s="114">
        <f t="shared" si="27"/>
        <v>2020</v>
      </c>
      <c r="H72" s="129" t="s">
        <v>30</v>
      </c>
    </row>
    <row r="73" spans="1:8" s="11" customFormat="1" ht="15" customHeight="1" x14ac:dyDescent="0.2">
      <c r="A73" s="37" t="s">
        <v>28</v>
      </c>
      <c r="B73" s="159"/>
      <c r="C73" s="37"/>
      <c r="D73" s="37"/>
      <c r="E73" s="37"/>
      <c r="F73" s="37"/>
      <c r="G73" s="37"/>
      <c r="H73" s="67"/>
    </row>
    <row r="74" spans="1:8" s="11" customFormat="1" ht="15" customHeight="1" x14ac:dyDescent="0.2">
      <c r="A74" s="37" t="s">
        <v>99</v>
      </c>
      <c r="B74" s="234">
        <f>'Exhibit 1'!N69</f>
        <v>226929746</v>
      </c>
      <c r="C74" s="137">
        <f>B74*(1+Assumptions!D12)-5000000</f>
        <v>222490281.14344966</v>
      </c>
      <c r="D74" s="137">
        <f>C76*(1+(Assumptions!$D$12))-15000000</f>
        <v>208039850.44344306</v>
      </c>
      <c r="E74" s="137">
        <f>D76*(1+(Assumptions!$D$12))+5000000</f>
        <v>213553725.99068648</v>
      </c>
      <c r="F74" s="137">
        <f>E76*(1+(Assumptions!$D$12))</f>
        <v>214081221.2641902</v>
      </c>
      <c r="G74" s="137">
        <f>F76*(1+(Assumptions!$D$12))</f>
        <v>214610019.49441957</v>
      </c>
      <c r="H74" s="67">
        <f>RATE(5,,-B74,G74)</f>
        <v>-1.1101510799163347E-2</v>
      </c>
    </row>
    <row r="75" spans="1:8" s="11" customFormat="1" ht="15" customHeight="1" x14ac:dyDescent="0.2">
      <c r="A75" s="37"/>
      <c r="B75" s="235"/>
      <c r="C75" s="141"/>
      <c r="D75" s="141"/>
      <c r="E75" s="141"/>
      <c r="F75" s="141"/>
      <c r="G75" s="141"/>
      <c r="H75" s="68"/>
    </row>
    <row r="76" spans="1:8" s="11" customFormat="1" ht="15" customHeight="1" x14ac:dyDescent="0.2">
      <c r="A76" s="37" t="s">
        <v>61</v>
      </c>
      <c r="B76" s="234">
        <f>SUM(B73:B75)</f>
        <v>226929746</v>
      </c>
      <c r="C76" s="137">
        <f>SUM(C73:C75)</f>
        <v>222490281.14344966</v>
      </c>
      <c r="D76" s="137">
        <f t="shared" ref="D76:G76" si="28">SUM(D73:D75)</f>
        <v>208039850.44344306</v>
      </c>
      <c r="E76" s="137">
        <f t="shared" si="28"/>
        <v>213553725.99068648</v>
      </c>
      <c r="F76" s="137">
        <f t="shared" si="28"/>
        <v>214081221.2641902</v>
      </c>
      <c r="G76" s="137">
        <f t="shared" si="28"/>
        <v>214610019.49441957</v>
      </c>
      <c r="H76" s="67">
        <f>RATE(5,,-B76,G76)</f>
        <v>-1.1101510799163347E-2</v>
      </c>
    </row>
    <row r="77" spans="1:8" s="11" customFormat="1" ht="15" customHeight="1" x14ac:dyDescent="0.2">
      <c r="A77" s="37"/>
      <c r="B77" s="234"/>
      <c r="C77" s="236"/>
      <c r="D77" s="236"/>
      <c r="E77" s="236"/>
      <c r="F77" s="236"/>
      <c r="G77" s="236"/>
      <c r="H77" s="67"/>
    </row>
    <row r="78" spans="1:8" s="11" customFormat="1" ht="15" customHeight="1" x14ac:dyDescent="0.2">
      <c r="A78" s="37" t="s">
        <v>26</v>
      </c>
      <c r="B78" s="234"/>
      <c r="C78" s="147"/>
      <c r="D78" s="147"/>
      <c r="E78" s="147"/>
      <c r="F78" s="147"/>
      <c r="G78" s="147"/>
      <c r="H78" s="67"/>
    </row>
    <row r="79" spans="1:8" s="11" customFormat="1" ht="15" customHeight="1" x14ac:dyDescent="0.2">
      <c r="A79" s="83" t="s">
        <v>133</v>
      </c>
      <c r="B79" s="234">
        <f>'Exhibit 1'!N74</f>
        <v>76628853</v>
      </c>
      <c r="C79" s="137">
        <f>C76*Assumptions!$D$16</f>
        <v>90749746.328374803</v>
      </c>
      <c r="D79" s="137">
        <f>D76*Assumptions!$D$16</f>
        <v>84855677.995943442</v>
      </c>
      <c r="E79" s="137">
        <f>E76*Assumptions!$D$16</f>
        <v>87104687.726287335</v>
      </c>
      <c r="F79" s="137">
        <f>F76*Assumptions!$D$16</f>
        <v>87319843.471580386</v>
      </c>
      <c r="G79" s="137">
        <f>G76*Assumptions!$D$16</f>
        <v>87535530.669266433</v>
      </c>
      <c r="H79" s="67">
        <f t="shared" ref="H79:H96" si="29">RATE(5,,-B79,G79)</f>
        <v>2.6971541024571971E-2</v>
      </c>
    </row>
    <row r="80" spans="1:8" s="11" customFormat="1" ht="15" customHeight="1" x14ac:dyDescent="0.2">
      <c r="A80" s="83" t="s">
        <v>132</v>
      </c>
      <c r="B80" s="234">
        <f>'Exhibit 1'!N75</f>
        <v>30233757</v>
      </c>
      <c r="C80" s="137">
        <f>C76*Assumptions!$D$17</f>
        <v>29506582.71710733</v>
      </c>
      <c r="D80" s="137">
        <f>D76*Assumptions!$D$17</f>
        <v>27590171.687572677</v>
      </c>
      <c r="E80" s="137">
        <f>E76*Assumptions!$D$17</f>
        <v>28321419.920486171</v>
      </c>
      <c r="F80" s="137">
        <f>F76*Assumptions!$D$17</f>
        <v>28391376.15785766</v>
      </c>
      <c r="G80" s="137">
        <f>G76*Assumptions!$D$17</f>
        <v>28461505.192891162</v>
      </c>
      <c r="H80" s="67">
        <f t="shared" si="29"/>
        <v>-1.2008634318794131E-2</v>
      </c>
    </row>
    <row r="81" spans="1:18" s="11" customFormat="1" ht="15" customHeight="1" x14ac:dyDescent="0.2">
      <c r="A81" s="83" t="s">
        <v>134</v>
      </c>
      <c r="B81" s="234">
        <f>'Exhibit 1'!N76</f>
        <v>32159242</v>
      </c>
      <c r="C81" s="137">
        <f>C76*Assumptions!$D$18</f>
        <v>29931860.087248579</v>
      </c>
      <c r="D81" s="137">
        <f>D76*Assumptions!$D$18</f>
        <v>27987827.890919928</v>
      </c>
      <c r="E81" s="137">
        <f>E76*Assumptions!$D$18</f>
        <v>28729615.579669271</v>
      </c>
      <c r="F81" s="137">
        <f>F76*Assumptions!$D$18</f>
        <v>28800580.093903575</v>
      </c>
      <c r="G81" s="137">
        <f>G76*Assumptions!$D$18</f>
        <v>28871719.896326698</v>
      </c>
      <c r="H81" s="67">
        <f t="shared" si="29"/>
        <v>-2.1336547088668504E-2</v>
      </c>
    </row>
    <row r="82" spans="1:18" s="11" customFormat="1" ht="15" customHeight="1" x14ac:dyDescent="0.2">
      <c r="A82" s="83" t="s">
        <v>135</v>
      </c>
      <c r="B82" s="234">
        <f>'Exhibit 1'!N77</f>
        <v>9208687</v>
      </c>
      <c r="C82" s="137">
        <f>C76*Assumptions!$D$19</f>
        <v>8550942.1996510681</v>
      </c>
      <c r="D82" s="137">
        <f>D76*Assumptions!$D$19</f>
        <v>7995570.5355910473</v>
      </c>
      <c r="E82" s="137">
        <f>E76*Assumptions!$D$19</f>
        <v>8207484.6509323316</v>
      </c>
      <c r="F82" s="137">
        <f>F76*Assumptions!$D$19</f>
        <v>8227757.8132976182</v>
      </c>
      <c r="G82" s="137">
        <f>G76*Assumptions!$D$19</f>
        <v>8248081.0520419385</v>
      </c>
      <c r="H82" s="67">
        <f t="shared" si="29"/>
        <v>-2.1792379743234124E-2</v>
      </c>
    </row>
    <row r="83" spans="1:18" s="11" customFormat="1" ht="15" customHeight="1" x14ac:dyDescent="0.2">
      <c r="A83" s="83" t="s">
        <v>136</v>
      </c>
      <c r="B83" s="234">
        <f>'Exhibit 1'!N78</f>
        <v>2225050</v>
      </c>
      <c r="C83" s="137">
        <f>C76*Assumptions!$D$20</f>
        <v>2177599.2992886016</v>
      </c>
      <c r="D83" s="137">
        <f>D76*Assumptions!$D$20</f>
        <v>2036167.2888428755</v>
      </c>
      <c r="E83" s="137">
        <f>E76*Assumptions!$D$20</f>
        <v>2090133.7428665473</v>
      </c>
      <c r="F83" s="137">
        <f>F76*Assumptions!$D$20</f>
        <v>2095296.5451788837</v>
      </c>
      <c r="G83" s="137">
        <f>G76*Assumptions!$D$20</f>
        <v>2100472.1000377052</v>
      </c>
      <c r="H83" s="67">
        <f t="shared" si="29"/>
        <v>-1.1457310985145523E-2</v>
      </c>
    </row>
    <row r="84" spans="1:18" s="11" customFormat="1" ht="15" customHeight="1" x14ac:dyDescent="0.2">
      <c r="A84" s="83" t="s">
        <v>137</v>
      </c>
      <c r="B84" s="234">
        <f>'Exhibit 1'!N79</f>
        <v>14208111</v>
      </c>
      <c r="C84" s="137">
        <f>C76*Assumptions!$D$21</f>
        <v>13930155.330572395</v>
      </c>
      <c r="D84" s="137">
        <f>D76*Assumptions!$D$21</f>
        <v>13025411.342609258</v>
      </c>
      <c r="E84" s="137">
        <f>E76*Assumptions!$D$21</f>
        <v>13370636.052883336</v>
      </c>
      <c r="F84" s="137">
        <f>F76*Assumptions!$D$21</f>
        <v>13403662.624013929</v>
      </c>
      <c r="G84" s="137">
        <f>G76*Assumptions!$D$21</f>
        <v>13436770.773492502</v>
      </c>
      <c r="H84" s="67">
        <f t="shared" si="29"/>
        <v>-1.1101510799162221E-2</v>
      </c>
    </row>
    <row r="85" spans="1:18" s="11" customFormat="1" ht="15" customHeight="1" x14ac:dyDescent="0.2">
      <c r="A85" s="84" t="s">
        <v>138</v>
      </c>
      <c r="B85" s="234">
        <f>'Exhibit 1'!N80</f>
        <v>13806899</v>
      </c>
      <c r="C85" s="137">
        <f>C76*Assumptions!$D$22</f>
        <v>13774514.510080786</v>
      </c>
      <c r="D85" s="137">
        <f>D76*Assumptions!$D$22</f>
        <v>12879879.174410447</v>
      </c>
      <c r="E85" s="137">
        <f>E76*Assumptions!$D$22</f>
        <v>13221246.708947001</v>
      </c>
      <c r="F85" s="137">
        <f>F76*Assumptions!$D$22</f>
        <v>13253904.276106941</v>
      </c>
      <c r="G85" s="137">
        <f>G76*Assumptions!$D$22</f>
        <v>13286642.510144694</v>
      </c>
      <c r="H85" s="67">
        <f t="shared" si="29"/>
        <v>-7.6524074472147149E-3</v>
      </c>
    </row>
    <row r="86" spans="1:18" s="11" customFormat="1" ht="15" customHeight="1" x14ac:dyDescent="0.2">
      <c r="A86" s="84" t="s">
        <v>139</v>
      </c>
      <c r="B86" s="234">
        <f>'Exhibit 1'!N81</f>
        <v>3733470</v>
      </c>
      <c r="C86" s="238">
        <f>C76*Assumptions!$D$23</f>
        <v>3927036.7047731257</v>
      </c>
      <c r="D86" s="238">
        <f>D76*Assumptions!$D$23</f>
        <v>3671981.1964288368</v>
      </c>
      <c r="E86" s="238">
        <f>E76*Assumptions!$D$23</f>
        <v>3769303.1628009998</v>
      </c>
      <c r="F86" s="238">
        <f>F76*Assumptions!$D$23</f>
        <v>3778613.6517356057</v>
      </c>
      <c r="G86" s="238">
        <f>G76*Assumptions!$D$23</f>
        <v>3787947.1383439079</v>
      </c>
      <c r="H86" s="94">
        <f t="shared" si="29"/>
        <v>2.9014258299436316E-3</v>
      </c>
    </row>
    <row r="87" spans="1:18" s="11" customFormat="1" ht="15" customHeight="1" x14ac:dyDescent="0.2">
      <c r="A87" s="84" t="str">
        <f>'Exhibit 1'!A82</f>
        <v>Provision for Deferred Income Taxes 17</v>
      </c>
      <c r="B87" s="234">
        <f>'Exhibit 1'!N82</f>
        <v>2135539</v>
      </c>
      <c r="C87" s="264">
        <f>'Exhibit 1'!G82</f>
        <v>6265349</v>
      </c>
      <c r="D87" s="141">
        <f>'Exhibit 1'!H82</f>
        <v>1218103</v>
      </c>
      <c r="E87" s="141">
        <f>B87</f>
        <v>2135539</v>
      </c>
      <c r="F87" s="141">
        <f>C87</f>
        <v>6265349</v>
      </c>
      <c r="G87" s="141">
        <f>D87</f>
        <v>1218103</v>
      </c>
      <c r="H87" s="68"/>
    </row>
    <row r="88" spans="1:18" s="11" customFormat="1" ht="15" customHeight="1" x14ac:dyDescent="0.2">
      <c r="A88" s="37" t="s">
        <v>50</v>
      </c>
      <c r="B88" s="145">
        <f>SUM(B79:B87)</f>
        <v>184339608</v>
      </c>
      <c r="C88" s="237">
        <f>SUM(C79:C87)</f>
        <v>198813786.17709669</v>
      </c>
      <c r="D88" s="145">
        <f t="shared" ref="D88:G88" si="30">SUM(D79:D87)</f>
        <v>181260790.11231852</v>
      </c>
      <c r="E88" s="145">
        <f t="shared" si="30"/>
        <v>186950066.544873</v>
      </c>
      <c r="F88" s="145">
        <f t="shared" si="30"/>
        <v>191536383.63367462</v>
      </c>
      <c r="G88" s="145">
        <f t="shared" si="30"/>
        <v>186946772.33254504</v>
      </c>
      <c r="H88" s="106">
        <f t="shared" si="29"/>
        <v>2.8127853475208805E-3</v>
      </c>
    </row>
    <row r="89" spans="1:18" s="47" customFormat="1" ht="15" customHeight="1" x14ac:dyDescent="0.2">
      <c r="A89" s="37" t="s">
        <v>14</v>
      </c>
      <c r="B89" s="234">
        <f t="shared" ref="B89:D89" si="31">B76-B88</f>
        <v>42590138</v>
      </c>
      <c r="C89" s="137">
        <f t="shared" si="31"/>
        <v>23676494.966352969</v>
      </c>
      <c r="D89" s="238">
        <f t="shared" si="31"/>
        <v>26779060.331124544</v>
      </c>
      <c r="E89" s="238">
        <f t="shared" ref="E89" si="32">E76-E88</f>
        <v>26603659.445813477</v>
      </c>
      <c r="F89" s="238">
        <f t="shared" ref="F89" si="33">F76-F88</f>
        <v>22544837.630515575</v>
      </c>
      <c r="G89" s="238">
        <f t="shared" ref="G89" si="34">G76-G88</f>
        <v>27663247.161874533</v>
      </c>
      <c r="H89" s="67">
        <f t="shared" si="29"/>
        <v>-8.2684309791174665E-2</v>
      </c>
      <c r="J89" s="62">
        <v>0.06</v>
      </c>
      <c r="K89" s="62">
        <v>7.0000000000000007E-2</v>
      </c>
      <c r="L89" s="62">
        <v>0.08</v>
      </c>
      <c r="M89" s="62">
        <v>0.09</v>
      </c>
      <c r="N89" s="62">
        <v>0.1</v>
      </c>
      <c r="O89" s="62">
        <v>0.11</v>
      </c>
      <c r="P89" s="62">
        <v>0.11</v>
      </c>
      <c r="Q89" s="62">
        <v>0.11</v>
      </c>
      <c r="R89" s="62">
        <v>0.11</v>
      </c>
    </row>
    <row r="90" spans="1:18" s="47" customFormat="1" ht="15" customHeight="1" x14ac:dyDescent="0.2">
      <c r="A90" s="37"/>
      <c r="B90" s="234"/>
      <c r="C90" s="239"/>
      <c r="D90" s="239"/>
      <c r="E90" s="239"/>
      <c r="F90" s="239"/>
      <c r="G90" s="239"/>
      <c r="H90" s="67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47" customFormat="1" ht="15" customHeight="1" x14ac:dyDescent="0.2">
      <c r="A91" s="84" t="s">
        <v>153</v>
      </c>
      <c r="B91" s="234">
        <f>'Exhibit 1'!N86</f>
        <v>29737976</v>
      </c>
      <c r="C91" s="139">
        <f>((C48+B48+B42+C42)/2)*Assumptions!$D$24</f>
        <v>23834621.403941419</v>
      </c>
      <c r="D91" s="137">
        <f>((D48+C48+C42+D42)/2)*Assumptions!$D$24</f>
        <v>23471403.694454253</v>
      </c>
      <c r="E91" s="137">
        <f>((E48+D48+D42+E42)/2)*Assumptions!$D$24</f>
        <v>22495156.63619566</v>
      </c>
      <c r="F91" s="137">
        <f>((F48+E48+E42+F42)/2)*Assumptions!$D$24</f>
        <v>20837765.857079923</v>
      </c>
      <c r="G91" s="137">
        <f>((G48+F48+F42+G42)/2)*Assumptions!$D$24</f>
        <v>18839803.217535619</v>
      </c>
      <c r="H91" s="67">
        <f t="shared" si="29"/>
        <v>-8.7247584099063691E-2</v>
      </c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1" customFormat="1" ht="15" customHeight="1" x14ac:dyDescent="0.2">
      <c r="A92" s="37" t="s">
        <v>178</v>
      </c>
      <c r="B92" s="234"/>
      <c r="C92" s="137" t="e">
        <f ca="1">C51*Assumptions!D24</f>
        <v>#DIV/0!</v>
      </c>
      <c r="D92" s="137" t="e">
        <f ca="1">D51*Assumptions!D24</f>
        <v>#DIV/0!</v>
      </c>
      <c r="E92" s="137" t="e">
        <f ca="1">E51*Assumptions!E24</f>
        <v>#DIV/0!</v>
      </c>
      <c r="F92" s="137" t="e">
        <f ca="1">F51*Assumptions!F24</f>
        <v>#DIV/0!</v>
      </c>
      <c r="G92" s="137" t="e">
        <f ca="1">G51*Assumptions!G24</f>
        <v>#DIV/0!</v>
      </c>
      <c r="H92" s="67"/>
      <c r="J92" s="26"/>
      <c r="K92" s="26"/>
      <c r="L92" s="26"/>
      <c r="M92" s="26"/>
      <c r="N92" s="26"/>
      <c r="O92" s="26"/>
      <c r="P92" s="26"/>
      <c r="Q92" s="26"/>
      <c r="R92" s="26"/>
    </row>
    <row r="93" spans="1:18" s="11" customFormat="1" ht="15" customHeight="1" x14ac:dyDescent="0.2">
      <c r="A93" s="85" t="s">
        <v>128</v>
      </c>
      <c r="B93" s="234">
        <f>'Exhibit 1'!N87</f>
        <v>-2232703</v>
      </c>
      <c r="C93" s="137">
        <f>C76*Assumptions!$D$25</f>
        <v>-5417803.8985149711</v>
      </c>
      <c r="D93" s="137">
        <f>D76*Assumptions!$D$25</f>
        <v>-5065925.15855671</v>
      </c>
      <c r="E93" s="137">
        <f>E76*Assumptions!$D$25</f>
        <v>-5200192.1309487363</v>
      </c>
      <c r="F93" s="137">
        <f>F76*Assumptions!$D$25</f>
        <v>-5213037.0333622228</v>
      </c>
      <c r="G93" s="137">
        <f>G76*Assumptions!$D$25</f>
        <v>-5225913.6637414945</v>
      </c>
      <c r="H93" s="67">
        <f t="shared" si="29"/>
        <v>0.18540363574448435</v>
      </c>
      <c r="J93" s="26"/>
      <c r="K93" s="26"/>
      <c r="L93" s="26"/>
      <c r="M93" s="26"/>
      <c r="N93" s="26"/>
      <c r="O93" s="26"/>
      <c r="P93" s="26"/>
      <c r="Q93" s="26"/>
      <c r="R93" s="26"/>
    </row>
    <row r="94" spans="1:18" s="11" customFormat="1" ht="15" customHeight="1" x14ac:dyDescent="0.2">
      <c r="A94" s="84" t="s">
        <v>62</v>
      </c>
      <c r="B94" s="234">
        <f>'Exhibit 1'!N88</f>
        <v>-20400</v>
      </c>
      <c r="C94" s="137">
        <f>Assumptions!$D$26*C76</f>
        <v>-402219.0022991756</v>
      </c>
      <c r="D94" s="137">
        <f>Assumptions!$D$26*D76</f>
        <v>-376095.44405169145</v>
      </c>
      <c r="E94" s="137">
        <f>Assumptions!$D$26*E76</f>
        <v>-386063.4548340778</v>
      </c>
      <c r="F94" s="137">
        <f>Assumptions!$D$26*F76</f>
        <v>-387017.06333120313</v>
      </c>
      <c r="G94" s="137">
        <f>Assumptions!$D$26*G76</f>
        <v>-387973.02731977525</v>
      </c>
      <c r="H94" s="67">
        <f t="shared" si="29"/>
        <v>0.80232984058803714</v>
      </c>
      <c r="J94" s="26"/>
      <c r="K94" s="26"/>
      <c r="L94" s="26"/>
      <c r="M94" s="26"/>
      <c r="N94" s="26"/>
      <c r="O94" s="26"/>
      <c r="P94" s="26"/>
      <c r="Q94" s="26"/>
      <c r="R94" s="26"/>
    </row>
    <row r="95" spans="1:18" s="11" customFormat="1" ht="15" customHeight="1" x14ac:dyDescent="0.2">
      <c r="A95" s="84" t="s">
        <v>152</v>
      </c>
      <c r="B95" s="234">
        <f>'Exhibit 1'!N89</f>
        <v>4949307</v>
      </c>
      <c r="C95" s="137">
        <f>C74*Assumptions!$D$27</f>
        <v>-5910925.8277404178</v>
      </c>
      <c r="D95" s="137">
        <f>D74*Assumptions!$D$27</f>
        <v>-5527019.5123379445</v>
      </c>
      <c r="E95" s="137">
        <f>E74*Assumptions!$D$27</f>
        <v>-5673507.30144786</v>
      </c>
      <c r="F95" s="137">
        <f>F74*Assumptions!$D$27</f>
        <v>-5687521.3312748699</v>
      </c>
      <c r="G95" s="137">
        <f>G74*Assumptions!$D$27</f>
        <v>-5701569.9769085683</v>
      </c>
      <c r="H95" s="67"/>
    </row>
    <row r="96" spans="1:18" s="11" customFormat="1" ht="15" customHeight="1" x14ac:dyDescent="0.2">
      <c r="A96" s="86" t="s">
        <v>109</v>
      </c>
      <c r="B96" s="141">
        <f>'Exhibit 1'!N90</f>
        <v>-226532</v>
      </c>
      <c r="C96" s="265">
        <f>C74*Assumptions!$D$28</f>
        <v>-222100.31631546418</v>
      </c>
      <c r="D96" s="266">
        <f>D74*Assumptions!$D$28</f>
        <v>-207675.21328232592</v>
      </c>
      <c r="E96" s="266">
        <f>E74*Assumptions!$D$28</f>
        <v>-213179.42450842119</v>
      </c>
      <c r="F96" s="266">
        <f>F74*Assumptions!$D$28</f>
        <v>-213705.99522646776</v>
      </c>
      <c r="G96" s="266">
        <f>G74*Assumptions!$D$28</f>
        <v>-214233.86661751193</v>
      </c>
      <c r="H96" s="68">
        <f t="shared" si="29"/>
        <v>-1.11015107991624E-2</v>
      </c>
    </row>
    <row r="97" spans="1:8" s="11" customFormat="1" ht="15" customHeight="1" x14ac:dyDescent="0.2">
      <c r="A97" s="37" t="s">
        <v>59</v>
      </c>
      <c r="B97" s="240">
        <f>SUM(B91:B96)</f>
        <v>32207648</v>
      </c>
      <c r="C97" s="238" t="e">
        <f t="shared" ref="C97:G97" ca="1" si="35">SUM(C91:C96)</f>
        <v>#DIV/0!</v>
      </c>
      <c r="D97" s="238" t="e">
        <f t="shared" ca="1" si="35"/>
        <v>#DIV/0!</v>
      </c>
      <c r="E97" s="238" t="e">
        <f t="shared" ca="1" si="35"/>
        <v>#DIV/0!</v>
      </c>
      <c r="F97" s="238" t="e">
        <f t="shared" ca="1" si="35"/>
        <v>#DIV/0!</v>
      </c>
      <c r="G97" s="238" t="e">
        <f t="shared" ca="1" si="35"/>
        <v>#DIV/0!</v>
      </c>
      <c r="H97" s="94" t="e">
        <f ca="1">RATE(5,,-B97,G97)</f>
        <v>#DIV/0!</v>
      </c>
    </row>
    <row r="98" spans="1:8" s="11" customFormat="1" ht="15" customHeight="1" x14ac:dyDescent="0.2">
      <c r="A98" s="37"/>
      <c r="B98" s="241"/>
      <c r="C98" s="236"/>
      <c r="D98" s="236"/>
      <c r="E98" s="236"/>
      <c r="F98" s="236"/>
      <c r="G98" s="236"/>
      <c r="H98" s="94"/>
    </row>
    <row r="99" spans="1:8" s="11" customFormat="1" ht="15" customHeight="1" x14ac:dyDescent="0.2">
      <c r="A99" s="37" t="s">
        <v>13</v>
      </c>
      <c r="B99" s="234">
        <f>B89-B97</f>
        <v>10382490</v>
      </c>
      <c r="C99" s="137" t="e">
        <f ca="1">C89-C97</f>
        <v>#DIV/0!</v>
      </c>
      <c r="D99" s="137" t="e">
        <f t="shared" ref="D99:G99" ca="1" si="36">D89-D97</f>
        <v>#DIV/0!</v>
      </c>
      <c r="E99" s="137" t="e">
        <f t="shared" ca="1" si="36"/>
        <v>#DIV/0!</v>
      </c>
      <c r="F99" s="137" t="e">
        <f t="shared" ca="1" si="36"/>
        <v>#DIV/0!</v>
      </c>
      <c r="G99" s="137" t="e">
        <f t="shared" ca="1" si="36"/>
        <v>#DIV/0!</v>
      </c>
      <c r="H99" s="67" t="e">
        <f t="shared" ref="H99" ca="1" si="37">RATE(5,,-B99,G99)</f>
        <v>#DIV/0!</v>
      </c>
    </row>
    <row r="100" spans="1:8" s="11" customFormat="1" ht="15" customHeight="1" x14ac:dyDescent="0.2">
      <c r="A100" s="37" t="s">
        <v>60</v>
      </c>
      <c r="B100" s="234">
        <f>'Exhibit 1'!N94</f>
        <v>0</v>
      </c>
      <c r="C100" s="236"/>
      <c r="D100" s="236"/>
      <c r="E100" s="236"/>
      <c r="F100" s="236"/>
      <c r="G100" s="236"/>
      <c r="H100" s="94"/>
    </row>
    <row r="101" spans="1:8" s="11" customFormat="1" ht="15" customHeight="1" x14ac:dyDescent="0.2">
      <c r="A101" s="37" t="s">
        <v>19</v>
      </c>
      <c r="B101" s="235">
        <f>'Exhibit 1'!N95</f>
        <v>0</v>
      </c>
      <c r="C101" s="137"/>
      <c r="D101" s="137"/>
      <c r="E101" s="137"/>
      <c r="F101" s="137"/>
      <c r="G101" s="137"/>
      <c r="H101" s="67"/>
    </row>
    <row r="102" spans="1:8" s="11" customFormat="1" ht="15" customHeight="1" thickBot="1" x14ac:dyDescent="0.25">
      <c r="A102" s="37" t="s">
        <v>22</v>
      </c>
      <c r="B102" s="242">
        <f>B99+B100-B101</f>
        <v>10382490</v>
      </c>
      <c r="C102" s="146" t="e">
        <f ca="1">C99-C101</f>
        <v>#DIV/0!</v>
      </c>
      <c r="D102" s="146" t="e">
        <f t="shared" ref="D102:G102" ca="1" si="38">D99-D101</f>
        <v>#DIV/0!</v>
      </c>
      <c r="E102" s="146" t="e">
        <f t="shared" ca="1" si="38"/>
        <v>#DIV/0!</v>
      </c>
      <c r="F102" s="146" t="e">
        <f t="shared" ca="1" si="38"/>
        <v>#DIV/0!</v>
      </c>
      <c r="G102" s="146" t="e">
        <f t="shared" ca="1" si="38"/>
        <v>#DIV/0!</v>
      </c>
      <c r="H102" s="96"/>
    </row>
    <row r="103" spans="1:8" s="11" customFormat="1" ht="15" customHeight="1" thickTop="1" x14ac:dyDescent="0.2">
      <c r="A103" s="37"/>
      <c r="B103" s="241"/>
      <c r="C103" s="236"/>
      <c r="D103" s="236"/>
      <c r="E103" s="236"/>
      <c r="F103" s="236"/>
      <c r="G103" s="236"/>
      <c r="H103" s="81"/>
    </row>
    <row r="104" spans="1:8" s="11" customFormat="1" ht="15" customHeight="1" x14ac:dyDescent="0.2">
      <c r="A104" s="37" t="s">
        <v>63</v>
      </c>
      <c r="B104" s="159"/>
      <c r="H104" s="67"/>
    </row>
    <row r="105" spans="1:8" s="11" customFormat="1" ht="15" customHeight="1" x14ac:dyDescent="0.2">
      <c r="A105" s="79" t="s">
        <v>111</v>
      </c>
      <c r="B105" s="159">
        <f>'Exhibit 1'!N99</f>
        <v>2000000</v>
      </c>
      <c r="C105" s="66">
        <f>B105</f>
        <v>2000000</v>
      </c>
      <c r="D105" s="217">
        <v>1000000</v>
      </c>
      <c r="E105" s="217">
        <v>1000000</v>
      </c>
      <c r="F105" s="217">
        <v>1000000</v>
      </c>
      <c r="G105" s="217">
        <v>1000000</v>
      </c>
      <c r="H105" s="37"/>
    </row>
    <row r="106" spans="1:8" s="11" customFormat="1" ht="15" customHeight="1" x14ac:dyDescent="0.2">
      <c r="H106" s="37"/>
    </row>
    <row r="107" spans="1:8" s="11" customFormat="1" ht="15" customHeight="1" x14ac:dyDescent="0.2">
      <c r="B107" s="66"/>
      <c r="H107" s="37"/>
    </row>
    <row r="108" spans="1:8" s="11" customFormat="1" ht="15" customHeight="1" x14ac:dyDescent="0.2">
      <c r="B108" s="66"/>
      <c r="H108" s="73" t="str">
        <f>H64</f>
        <v>Exhibit 2</v>
      </c>
    </row>
    <row r="109" spans="1:8" s="11" customFormat="1" ht="15" customHeight="1" x14ac:dyDescent="0.2">
      <c r="B109" s="66"/>
      <c r="H109" s="73" t="s">
        <v>102</v>
      </c>
    </row>
    <row r="110" spans="1:8" s="11" customFormat="1" ht="15" customHeight="1" x14ac:dyDescent="0.25">
      <c r="A110" s="269" t="str">
        <f>A4</f>
        <v>Deseret Generation &amp; Transmission</v>
      </c>
      <c r="B110" s="269"/>
      <c r="C110" s="269"/>
      <c r="D110" s="269"/>
      <c r="E110" s="269"/>
      <c r="F110" s="269"/>
      <c r="G110" s="269"/>
      <c r="H110" s="269"/>
    </row>
    <row r="111" spans="1:8" s="11" customFormat="1" ht="15" customHeight="1" x14ac:dyDescent="0.25">
      <c r="A111" s="273" t="s">
        <v>55</v>
      </c>
      <c r="B111" s="273"/>
      <c r="C111" s="273"/>
      <c r="D111" s="273"/>
      <c r="E111" s="273"/>
      <c r="F111" s="273"/>
      <c r="G111" s="273"/>
      <c r="H111" s="273"/>
    </row>
    <row r="112" spans="1:8" s="11" customFormat="1" ht="15" customHeight="1" x14ac:dyDescent="0.25">
      <c r="A112" s="273" t="s">
        <v>54</v>
      </c>
      <c r="B112" s="273"/>
      <c r="C112" s="273"/>
      <c r="D112" s="273"/>
      <c r="E112" s="273"/>
      <c r="F112" s="273"/>
      <c r="G112" s="273"/>
      <c r="H112" s="273"/>
    </row>
    <row r="113" spans="1:8" s="11" customFormat="1" ht="15" customHeight="1" x14ac:dyDescent="0.2">
      <c r="B113" s="66"/>
      <c r="H113" s="67"/>
    </row>
    <row r="114" spans="1:8" s="11" customFormat="1" ht="15" customHeight="1" x14ac:dyDescent="0.2">
      <c r="A114" s="195"/>
      <c r="B114" s="196" t="str">
        <f>B71</f>
        <v>Historical</v>
      </c>
      <c r="C114" s="110" t="s">
        <v>57</v>
      </c>
      <c r="D114" s="110" t="s">
        <v>57</v>
      </c>
      <c r="E114" s="110" t="s">
        <v>57</v>
      </c>
      <c r="F114" s="110" t="s">
        <v>57</v>
      </c>
      <c r="G114" s="110" t="s">
        <v>57</v>
      </c>
      <c r="H114" s="197" t="s">
        <v>57</v>
      </c>
    </row>
    <row r="115" spans="1:8" s="11" customFormat="1" ht="15" customHeight="1" x14ac:dyDescent="0.2">
      <c r="A115" s="173" t="str">
        <f>A72</f>
        <v>Account Name</v>
      </c>
      <c r="B115" s="198">
        <f>B72</f>
        <v>2015</v>
      </c>
      <c r="C115" s="114">
        <f t="shared" ref="C115:G115" si="39">C10</f>
        <v>2016</v>
      </c>
      <c r="D115" s="114">
        <f t="shared" si="39"/>
        <v>2017</v>
      </c>
      <c r="E115" s="114">
        <f t="shared" si="39"/>
        <v>2018</v>
      </c>
      <c r="F115" s="114">
        <f t="shared" si="39"/>
        <v>2019</v>
      </c>
      <c r="G115" s="114">
        <f t="shared" si="39"/>
        <v>2020</v>
      </c>
      <c r="H115" s="199" t="s">
        <v>3</v>
      </c>
    </row>
    <row r="116" spans="1:8" s="11" customFormat="1" ht="15" customHeight="1" x14ac:dyDescent="0.2">
      <c r="A116" s="200" t="str">
        <f>A73</f>
        <v>Operating Sales and Revenues:</v>
      </c>
      <c r="B116" s="183"/>
      <c r="C116" s="37"/>
      <c r="D116" s="37"/>
      <c r="E116" s="37"/>
      <c r="F116" s="37"/>
      <c r="G116" s="37"/>
      <c r="H116" s="67"/>
    </row>
    <row r="117" spans="1:8" s="11" customFormat="1" ht="15" customHeight="1" x14ac:dyDescent="0.2">
      <c r="A117" s="200" t="str">
        <f>A74</f>
        <v>Operating Revenues</v>
      </c>
      <c r="B117" s="179">
        <f>B74/B$76</f>
        <v>1</v>
      </c>
      <c r="C117" s="175">
        <f t="shared" ref="C117:G117" si="40">C74/C$76</f>
        <v>1</v>
      </c>
      <c r="D117" s="175">
        <f t="shared" si="40"/>
        <v>1</v>
      </c>
      <c r="E117" s="175">
        <f t="shared" si="40"/>
        <v>1</v>
      </c>
      <c r="F117" s="175">
        <f t="shared" si="40"/>
        <v>1</v>
      </c>
      <c r="G117" s="175">
        <f t="shared" si="40"/>
        <v>1</v>
      </c>
      <c r="H117" s="94">
        <f>G117</f>
        <v>1</v>
      </c>
    </row>
    <row r="118" spans="1:8" s="11" customFormat="1" ht="15" customHeight="1" x14ac:dyDescent="0.2">
      <c r="A118" s="200"/>
      <c r="B118" s="184"/>
      <c r="C118" s="185"/>
      <c r="D118" s="185"/>
      <c r="E118" s="185"/>
      <c r="F118" s="185"/>
      <c r="G118" s="185"/>
      <c r="H118" s="68"/>
    </row>
    <row r="119" spans="1:8" s="11" customFormat="1" ht="15" customHeight="1" x14ac:dyDescent="0.2">
      <c r="A119" s="200" t="str">
        <f>A76</f>
        <v>Total Revenues</v>
      </c>
      <c r="B119" s="179">
        <f>B76/B$76</f>
        <v>1</v>
      </c>
      <c r="C119" s="175">
        <f t="shared" ref="C119:G119" si="41">C76/C$76</f>
        <v>1</v>
      </c>
      <c r="D119" s="175">
        <f t="shared" si="41"/>
        <v>1</v>
      </c>
      <c r="E119" s="175">
        <f t="shared" si="41"/>
        <v>1</v>
      </c>
      <c r="F119" s="175">
        <f t="shared" si="41"/>
        <v>1</v>
      </c>
      <c r="G119" s="175">
        <f t="shared" si="41"/>
        <v>1</v>
      </c>
      <c r="H119" s="94">
        <f>G119</f>
        <v>1</v>
      </c>
    </row>
    <row r="120" spans="1:8" s="11" customFormat="1" ht="15" customHeight="1" x14ac:dyDescent="0.2">
      <c r="A120" s="200"/>
      <c r="B120" s="183"/>
      <c r="C120" s="186"/>
      <c r="D120" s="186"/>
      <c r="E120" s="186"/>
      <c r="F120" s="186"/>
      <c r="G120" s="186"/>
      <c r="H120" s="94"/>
    </row>
    <row r="121" spans="1:8" s="11" customFormat="1" ht="15" customHeight="1" x14ac:dyDescent="0.2">
      <c r="A121" s="200" t="str">
        <f t="shared" ref="A121:A130" si="42">A78</f>
        <v>Operating Expenses:</v>
      </c>
      <c r="B121" s="183"/>
      <c r="C121" s="186"/>
      <c r="D121" s="186"/>
      <c r="E121" s="186"/>
      <c r="F121" s="186"/>
      <c r="G121" s="186"/>
      <c r="H121" s="94"/>
    </row>
    <row r="122" spans="1:8" s="11" customFormat="1" ht="15" customHeight="1" x14ac:dyDescent="0.2">
      <c r="A122" s="200" t="str">
        <f t="shared" si="42"/>
        <v>Fuel (5)</v>
      </c>
      <c r="B122" s="179">
        <f t="shared" ref="B122:G129" si="43">B79/B$76</f>
        <v>0.33767654681991316</v>
      </c>
      <c r="C122" s="175">
        <f t="shared" si="43"/>
        <v>0.40788184482478268</v>
      </c>
      <c r="D122" s="175">
        <f t="shared" si="43"/>
        <v>0.40788184482478268</v>
      </c>
      <c r="E122" s="175">
        <f t="shared" si="43"/>
        <v>0.40788184482478262</v>
      </c>
      <c r="F122" s="175">
        <f t="shared" si="43"/>
        <v>0.40788184482478262</v>
      </c>
      <c r="G122" s="175">
        <f t="shared" si="43"/>
        <v>0.40788184482478268</v>
      </c>
      <c r="H122" s="94">
        <f t="shared" ref="H122:H129" si="44">SUM(C79:G79)/SUM(C$76:G$76)</f>
        <v>0.40788184482478262</v>
      </c>
    </row>
    <row r="123" spans="1:8" s="11" customFormat="1" ht="15" customHeight="1" x14ac:dyDescent="0.2">
      <c r="A123" s="200" t="str">
        <f t="shared" si="42"/>
        <v>Power Production (21 - 5)</v>
      </c>
      <c r="B123" s="179">
        <f t="shared" si="43"/>
        <v>0.13322958991898753</v>
      </c>
      <c r="C123" s="175">
        <f t="shared" si="43"/>
        <v>0.13261964776826851</v>
      </c>
      <c r="D123" s="175">
        <f t="shared" si="43"/>
        <v>0.13261964776826851</v>
      </c>
      <c r="E123" s="175">
        <f t="shared" si="43"/>
        <v>0.13261964776826851</v>
      </c>
      <c r="F123" s="175">
        <f t="shared" si="43"/>
        <v>0.13261964776826851</v>
      </c>
      <c r="G123" s="175">
        <f t="shared" si="43"/>
        <v>0.13261964776826851</v>
      </c>
      <c r="H123" s="94">
        <f t="shared" si="44"/>
        <v>0.13261964776826851</v>
      </c>
    </row>
    <row r="124" spans="1:8" s="11" customFormat="1" ht="15" customHeight="1" x14ac:dyDescent="0.2">
      <c r="A124" s="200" t="str">
        <f t="shared" si="42"/>
        <v>Cost of Purchased Power (79)</v>
      </c>
      <c r="B124" s="179">
        <f t="shared" si="43"/>
        <v>0.14171452868942092</v>
      </c>
      <c r="C124" s="205">
        <f t="shared" si="43"/>
        <v>0.13453109022748791</v>
      </c>
      <c r="D124" s="205">
        <f t="shared" si="43"/>
        <v>0.13453109022748791</v>
      </c>
      <c r="E124" s="205">
        <f t="shared" si="43"/>
        <v>0.13453109022748791</v>
      </c>
      <c r="F124" s="205">
        <f t="shared" si="43"/>
        <v>0.13453109022748791</v>
      </c>
      <c r="G124" s="205">
        <f t="shared" si="43"/>
        <v>0.13453109022748791</v>
      </c>
      <c r="H124" s="169">
        <f t="shared" si="44"/>
        <v>0.13453109022748791</v>
      </c>
    </row>
    <row r="125" spans="1:8" s="11" customFormat="1" ht="15" customHeight="1" x14ac:dyDescent="0.2">
      <c r="A125" s="200" t="str">
        <f t="shared" si="42"/>
        <v>Operations / Transmission (99)</v>
      </c>
      <c r="B125" s="179">
        <f t="shared" si="43"/>
        <v>4.0579461980272964E-2</v>
      </c>
      <c r="C125" s="175">
        <f t="shared" si="43"/>
        <v>3.8432879655259565E-2</v>
      </c>
      <c r="D125" s="175">
        <f t="shared" si="43"/>
        <v>3.8432879655259572E-2</v>
      </c>
      <c r="E125" s="175">
        <f t="shared" si="43"/>
        <v>3.8432879655259572E-2</v>
      </c>
      <c r="F125" s="175">
        <f t="shared" si="43"/>
        <v>3.8432879655259572E-2</v>
      </c>
      <c r="G125" s="175">
        <f t="shared" si="43"/>
        <v>3.8432879655259572E-2</v>
      </c>
      <c r="H125" s="94">
        <f t="shared" si="44"/>
        <v>3.8432879655259572E-2</v>
      </c>
    </row>
    <row r="126" spans="1:8" s="11" customFormat="1" ht="15" customHeight="1" x14ac:dyDescent="0.2">
      <c r="A126" s="200" t="str">
        <f t="shared" si="42"/>
        <v>Maintenance (111+156)</v>
      </c>
      <c r="B126" s="179">
        <f t="shared" si="43"/>
        <v>9.8050169236077143E-3</v>
      </c>
      <c r="C126" s="175">
        <f t="shared" si="43"/>
        <v>9.7873906585816389E-3</v>
      </c>
      <c r="D126" s="175">
        <f t="shared" si="43"/>
        <v>9.7873906585816371E-3</v>
      </c>
      <c r="E126" s="175">
        <f t="shared" si="43"/>
        <v>9.7873906585816371E-3</v>
      </c>
      <c r="F126" s="175">
        <f t="shared" si="43"/>
        <v>9.7873906585816371E-3</v>
      </c>
      <c r="G126" s="175">
        <f t="shared" si="43"/>
        <v>9.7873906585816371E-3</v>
      </c>
      <c r="H126" s="94">
        <f t="shared" si="44"/>
        <v>9.7873906585816371E-3</v>
      </c>
    </row>
    <row r="127" spans="1:8" s="11" customFormat="1" ht="15" customHeight="1" x14ac:dyDescent="0.2">
      <c r="A127" s="200" t="str">
        <f t="shared" si="42"/>
        <v>Sales General &amp; Admin(164, 178, 197)</v>
      </c>
      <c r="B127" s="179">
        <f t="shared" si="43"/>
        <v>6.2610174516301617E-2</v>
      </c>
      <c r="C127" s="175">
        <f t="shared" si="43"/>
        <v>6.2610174516301617E-2</v>
      </c>
      <c r="D127" s="175">
        <f t="shared" si="43"/>
        <v>6.2610174516301617E-2</v>
      </c>
      <c r="E127" s="175">
        <f t="shared" si="43"/>
        <v>6.2610174516301617E-2</v>
      </c>
      <c r="F127" s="175">
        <f t="shared" si="43"/>
        <v>6.2610174516301617E-2</v>
      </c>
      <c r="G127" s="175">
        <f t="shared" si="43"/>
        <v>6.2610174516301617E-2</v>
      </c>
      <c r="H127" s="94">
        <f t="shared" si="44"/>
        <v>6.2610174516301617E-2</v>
      </c>
    </row>
    <row r="128" spans="1:8" s="11" customFormat="1" ht="15" customHeight="1" x14ac:dyDescent="0.2">
      <c r="A128" s="200" t="str">
        <f t="shared" si="42"/>
        <v>Depreciation and Amortization (6, 9)</v>
      </c>
      <c r="B128" s="179">
        <f t="shared" si="43"/>
        <v>6.0842173594994463E-2</v>
      </c>
      <c r="C128" s="175">
        <f t="shared" si="43"/>
        <v>6.1910634654642402E-2</v>
      </c>
      <c r="D128" s="175">
        <f t="shared" si="43"/>
        <v>6.1910634654642395E-2</v>
      </c>
      <c r="E128" s="175">
        <f t="shared" si="43"/>
        <v>6.1910634654642395E-2</v>
      </c>
      <c r="F128" s="175">
        <f t="shared" si="43"/>
        <v>6.1910634654642395E-2</v>
      </c>
      <c r="G128" s="175">
        <f t="shared" si="43"/>
        <v>6.1910634654642402E-2</v>
      </c>
      <c r="H128" s="94">
        <f t="shared" si="44"/>
        <v>6.1910634654642395E-2</v>
      </c>
    </row>
    <row r="129" spans="1:8" s="11" customFormat="1" ht="15" customHeight="1" x14ac:dyDescent="0.2">
      <c r="A129" s="200" t="str">
        <f t="shared" si="42"/>
        <v>Taxes, other than income taxes (14)</v>
      </c>
      <c r="B129" s="246">
        <f t="shared" si="43"/>
        <v>1.6452096147853618E-2</v>
      </c>
      <c r="C129" s="247">
        <f t="shared" si="43"/>
        <v>1.7650374140348115E-2</v>
      </c>
      <c r="D129" s="246">
        <f t="shared" si="43"/>
        <v>1.7650374140348115E-2</v>
      </c>
      <c r="E129" s="246">
        <f t="shared" si="43"/>
        <v>1.7650374140348115E-2</v>
      </c>
      <c r="F129" s="246">
        <f t="shared" si="43"/>
        <v>1.7650374140348115E-2</v>
      </c>
      <c r="G129" s="246">
        <f t="shared" si="43"/>
        <v>1.7650374140348115E-2</v>
      </c>
      <c r="H129" s="94">
        <f t="shared" si="44"/>
        <v>1.7650374140348115E-2</v>
      </c>
    </row>
    <row r="130" spans="1:8" s="11" customFormat="1" ht="15" customHeight="1" x14ac:dyDescent="0.2">
      <c r="A130" s="200" t="str">
        <f t="shared" si="42"/>
        <v>Provision for Deferred Income Taxes 17</v>
      </c>
      <c r="B130" s="180"/>
      <c r="C130" s="176"/>
      <c r="D130" s="176"/>
      <c r="E130" s="176"/>
      <c r="F130" s="176"/>
      <c r="G130" s="176"/>
      <c r="H130" s="68"/>
    </row>
    <row r="131" spans="1:8" s="11" customFormat="1" ht="15" customHeight="1" x14ac:dyDescent="0.2">
      <c r="A131" s="200" t="str">
        <f t="shared" ref="A131:A148" si="45">A88</f>
        <v>Total Operating Expenses</v>
      </c>
      <c r="B131" s="181">
        <f t="shared" ref="B131:G132" si="46">B88/B$76</f>
        <v>0.81232016185308731</v>
      </c>
      <c r="C131" s="177">
        <f t="shared" si="46"/>
        <v>0.8935841383961951</v>
      </c>
      <c r="D131" s="177">
        <f t="shared" si="46"/>
        <v>0.87127917908975516</v>
      </c>
      <c r="E131" s="177">
        <f t="shared" si="46"/>
        <v>0.87542404459394108</v>
      </c>
      <c r="F131" s="177">
        <f t="shared" si="46"/>
        <v>0.89469026055912781</v>
      </c>
      <c r="G131" s="177">
        <f t="shared" si="46"/>
        <v>0.87109992708148531</v>
      </c>
      <c r="H131" s="68">
        <f t="shared" ref="H131:H132" si="47">SUM(C88:G88)/SUM(C$76:G$76)</f>
        <v>0.88136628102846049</v>
      </c>
    </row>
    <row r="132" spans="1:8" s="11" customFormat="1" ht="15" customHeight="1" x14ac:dyDescent="0.2">
      <c r="A132" s="200" t="str">
        <f t="shared" si="45"/>
        <v>Earnings From Operations</v>
      </c>
      <c r="B132" s="179">
        <f t="shared" si="46"/>
        <v>0.18767983814691266</v>
      </c>
      <c r="C132" s="175">
        <f t="shared" si="46"/>
        <v>0.10641586160380484</v>
      </c>
      <c r="D132" s="175">
        <f t="shared" si="46"/>
        <v>0.12872082091024478</v>
      </c>
      <c r="E132" s="175">
        <f t="shared" si="46"/>
        <v>0.12457595540605888</v>
      </c>
      <c r="F132" s="175">
        <f t="shared" si="46"/>
        <v>0.10530973944087219</v>
      </c>
      <c r="G132" s="175">
        <f t="shared" si="46"/>
        <v>0.12890007291851466</v>
      </c>
      <c r="H132" s="94">
        <f t="shared" si="47"/>
        <v>0.1186337189715395</v>
      </c>
    </row>
    <row r="133" spans="1:8" s="11" customFormat="1" ht="15" customHeight="1" x14ac:dyDescent="0.2">
      <c r="A133" s="200"/>
      <c r="B133" s="183"/>
      <c r="C133" s="186"/>
      <c r="D133" s="186"/>
      <c r="E133" s="186"/>
      <c r="F133" s="186"/>
      <c r="G133" s="186"/>
      <c r="H133" s="94"/>
    </row>
    <row r="134" spans="1:8" s="11" customFormat="1" ht="15" customHeight="1" x14ac:dyDescent="0.2">
      <c r="A134" s="200" t="str">
        <f t="shared" si="45"/>
        <v xml:space="preserve">   Interest expense </v>
      </c>
      <c r="B134" s="179">
        <f t="shared" ref="B134:G140" si="48">B91/B$76</f>
        <v>0.13104485649933262</v>
      </c>
      <c r="C134" s="175">
        <f t="shared" si="48"/>
        <v>0.10712657326624594</v>
      </c>
      <c r="D134" s="175">
        <f t="shared" si="48"/>
        <v>0.11282167163850707</v>
      </c>
      <c r="E134" s="175">
        <f t="shared" si="48"/>
        <v>0.10533722383835495</v>
      </c>
      <c r="F134" s="175">
        <f t="shared" si="48"/>
        <v>9.7335794956834448E-2</v>
      </c>
      <c r="G134" s="175">
        <f t="shared" si="48"/>
        <v>8.7786223876772457E-2</v>
      </c>
      <c r="H134" s="94">
        <f t="shared" ref="H134:H140" si="49">SUM(C91:G91)/SUM(C$76:G$76)</f>
        <v>0.10205191281844812</v>
      </c>
    </row>
    <row r="135" spans="1:8" s="11" customFormat="1" ht="15" customHeight="1" x14ac:dyDescent="0.2">
      <c r="A135" s="200" t="str">
        <f t="shared" si="45"/>
        <v xml:space="preserve">   Interest on (Surplus Cash)/Add. Loans</v>
      </c>
      <c r="B135" s="179">
        <f t="shared" si="48"/>
        <v>0</v>
      </c>
      <c r="C135" s="175" t="e">
        <f t="shared" ca="1" si="48"/>
        <v>#DIV/0!</v>
      </c>
      <c r="D135" s="175" t="e">
        <f t="shared" ca="1" si="48"/>
        <v>#DIV/0!</v>
      </c>
      <c r="E135" s="175" t="e">
        <f t="shared" ca="1" si="48"/>
        <v>#DIV/0!</v>
      </c>
      <c r="F135" s="175" t="e">
        <f t="shared" ca="1" si="48"/>
        <v>#DIV/0!</v>
      </c>
      <c r="G135" s="175" t="e">
        <f t="shared" ca="1" si="48"/>
        <v>#DIV/0!</v>
      </c>
      <c r="H135" s="94" t="e">
        <f t="shared" ca="1" si="49"/>
        <v>#DIV/0!</v>
      </c>
    </row>
    <row r="136" spans="1:8" s="11" customFormat="1" ht="15" customHeight="1" x14ac:dyDescent="0.2">
      <c r="A136" s="200" t="str">
        <f t="shared" si="45"/>
        <v xml:space="preserve">   Interest and Other (Income)</v>
      </c>
      <c r="B136" s="179">
        <f t="shared" si="48"/>
        <v>-9.8387410172309456E-3</v>
      </c>
      <c r="C136" s="175">
        <f t="shared" si="48"/>
        <v>-2.4350744089454698E-2</v>
      </c>
      <c r="D136" s="175">
        <f t="shared" si="48"/>
        <v>-2.4350744089454698E-2</v>
      </c>
      <c r="E136" s="175">
        <f t="shared" si="48"/>
        <v>-2.4350744089454694E-2</v>
      </c>
      <c r="F136" s="175">
        <f t="shared" si="48"/>
        <v>-2.4350744089454698E-2</v>
      </c>
      <c r="G136" s="175">
        <f t="shared" si="48"/>
        <v>-2.4350744089454694E-2</v>
      </c>
      <c r="H136" s="94">
        <f t="shared" si="49"/>
        <v>-2.4350744089454698E-2</v>
      </c>
    </row>
    <row r="137" spans="1:8" s="11" customFormat="1" ht="15" customHeight="1" x14ac:dyDescent="0.2">
      <c r="A137" s="200" t="str">
        <f t="shared" si="45"/>
        <v xml:space="preserve">   Loss (Gain) on Sale of Assets</v>
      </c>
      <c r="B137" s="179">
        <f t="shared" si="48"/>
        <v>-8.9895663127389215E-5</v>
      </c>
      <c r="C137" s="175">
        <f t="shared" si="48"/>
        <v>-1.8078048184039402E-3</v>
      </c>
      <c r="D137" s="175">
        <f t="shared" si="48"/>
        <v>-1.8078048184039402E-3</v>
      </c>
      <c r="E137" s="175">
        <f t="shared" si="48"/>
        <v>-1.8078048184039404E-3</v>
      </c>
      <c r="F137" s="175">
        <f t="shared" si="48"/>
        <v>-1.8078048184039404E-3</v>
      </c>
      <c r="G137" s="175">
        <f t="shared" si="48"/>
        <v>-1.8078048184039402E-3</v>
      </c>
      <c r="H137" s="94">
        <f t="shared" si="49"/>
        <v>-1.80780481840394E-3</v>
      </c>
    </row>
    <row r="138" spans="1:8" s="11" customFormat="1" ht="15" customHeight="1" x14ac:dyDescent="0.2">
      <c r="A138" s="200" t="str">
        <f t="shared" si="45"/>
        <v xml:space="preserve">   Equity in Earnings of Subsidiary Co</v>
      </c>
      <c r="B138" s="179">
        <f t="shared" si="48"/>
        <v>2.1809864450295556E-2</v>
      </c>
      <c r="C138" s="175">
        <f t="shared" si="48"/>
        <v>-2.6567119234881875E-2</v>
      </c>
      <c r="D138" s="175">
        <f t="shared" si="48"/>
        <v>-2.6567119234881875E-2</v>
      </c>
      <c r="E138" s="175">
        <f t="shared" si="48"/>
        <v>-2.6567119234881875E-2</v>
      </c>
      <c r="F138" s="175">
        <f t="shared" si="48"/>
        <v>-2.6567119234881875E-2</v>
      </c>
      <c r="G138" s="175">
        <f t="shared" si="48"/>
        <v>-2.6567119234881875E-2</v>
      </c>
      <c r="H138" s="94">
        <f t="shared" si="49"/>
        <v>-2.6567119234881875E-2</v>
      </c>
    </row>
    <row r="139" spans="1:8" s="11" customFormat="1" ht="15" customHeight="1" x14ac:dyDescent="0.2">
      <c r="A139" s="200" t="str">
        <f t="shared" si="45"/>
        <v xml:space="preserve">   Other (Income) Expense</v>
      </c>
      <c r="B139" s="180">
        <f t="shared" si="48"/>
        <v>-9.9824727252812427E-4</v>
      </c>
      <c r="C139" s="176">
        <f t="shared" si="48"/>
        <v>-9.9824727252812427E-4</v>
      </c>
      <c r="D139" s="176">
        <f t="shared" si="48"/>
        <v>-9.9824727252812427E-4</v>
      </c>
      <c r="E139" s="176">
        <f t="shared" si="48"/>
        <v>-9.9824727252812427E-4</v>
      </c>
      <c r="F139" s="176">
        <f t="shared" si="48"/>
        <v>-9.9824727252812427E-4</v>
      </c>
      <c r="G139" s="176">
        <f t="shared" si="48"/>
        <v>-9.9824727252812427E-4</v>
      </c>
      <c r="H139" s="68">
        <f t="shared" si="49"/>
        <v>-9.9824727252812405E-4</v>
      </c>
    </row>
    <row r="140" spans="1:8" s="11" customFormat="1" ht="15" customHeight="1" x14ac:dyDescent="0.2">
      <c r="A140" s="200" t="str">
        <f t="shared" si="45"/>
        <v>Total Other Income/Expense</v>
      </c>
      <c r="B140" s="179">
        <f t="shared" si="48"/>
        <v>0.14192783699674172</v>
      </c>
      <c r="C140" s="175" t="e">
        <f t="shared" ca="1" si="48"/>
        <v>#DIV/0!</v>
      </c>
      <c r="D140" s="175" t="e">
        <f t="shared" ca="1" si="48"/>
        <v>#DIV/0!</v>
      </c>
      <c r="E140" s="175" t="e">
        <f t="shared" ca="1" si="48"/>
        <v>#DIV/0!</v>
      </c>
      <c r="F140" s="175" t="e">
        <f t="shared" ca="1" si="48"/>
        <v>#DIV/0!</v>
      </c>
      <c r="G140" s="175" t="e">
        <f t="shared" ca="1" si="48"/>
        <v>#DIV/0!</v>
      </c>
      <c r="H140" s="94" t="e">
        <f t="shared" ca="1" si="49"/>
        <v>#DIV/0!</v>
      </c>
    </row>
    <row r="141" spans="1:8" s="11" customFormat="1" ht="15" customHeight="1" x14ac:dyDescent="0.2">
      <c r="A141" s="200"/>
      <c r="B141" s="183"/>
      <c r="C141" s="186"/>
      <c r="D141" s="186"/>
      <c r="E141" s="186"/>
      <c r="F141" s="186"/>
      <c r="G141" s="186"/>
      <c r="H141" s="94"/>
    </row>
    <row r="142" spans="1:8" s="11" customFormat="1" ht="15" customHeight="1" x14ac:dyDescent="0.2">
      <c r="A142" s="200" t="str">
        <f t="shared" si="45"/>
        <v>Earnings Before Taxes</v>
      </c>
      <c r="B142" s="179">
        <f t="shared" ref="B142:G145" si="50">B99/B$76</f>
        <v>4.5752001150170946E-2</v>
      </c>
      <c r="C142" s="175" t="e">
        <f t="shared" ca="1" si="50"/>
        <v>#DIV/0!</v>
      </c>
      <c r="D142" s="175" t="e">
        <f t="shared" ca="1" si="50"/>
        <v>#DIV/0!</v>
      </c>
      <c r="E142" s="175" t="e">
        <f t="shared" ca="1" si="50"/>
        <v>#DIV/0!</v>
      </c>
      <c r="F142" s="175" t="e">
        <f t="shared" ca="1" si="50"/>
        <v>#DIV/0!</v>
      </c>
      <c r="G142" s="175" t="e">
        <f t="shared" ca="1" si="50"/>
        <v>#DIV/0!</v>
      </c>
      <c r="H142" s="94" t="e">
        <f t="shared" ref="H142:H145" ca="1" si="51">SUM(C99:G99)/SUM(C$76:G$76)</f>
        <v>#DIV/0!</v>
      </c>
    </row>
    <row r="143" spans="1:8" s="11" customFormat="1" ht="15" customHeight="1" x14ac:dyDescent="0.2">
      <c r="A143" s="200" t="str">
        <f t="shared" si="45"/>
        <v>Extraordinary Items</v>
      </c>
      <c r="B143" s="179">
        <f t="shared" si="50"/>
        <v>0</v>
      </c>
      <c r="C143" s="175">
        <f t="shared" si="50"/>
        <v>0</v>
      </c>
      <c r="D143" s="175">
        <f t="shared" si="50"/>
        <v>0</v>
      </c>
      <c r="E143" s="175">
        <f t="shared" si="50"/>
        <v>0</v>
      </c>
      <c r="F143" s="175">
        <f t="shared" si="50"/>
        <v>0</v>
      </c>
      <c r="G143" s="175">
        <f t="shared" si="50"/>
        <v>0</v>
      </c>
      <c r="H143" s="94">
        <f t="shared" si="51"/>
        <v>0</v>
      </c>
    </row>
    <row r="144" spans="1:8" s="11" customFormat="1" ht="15" customHeight="1" x14ac:dyDescent="0.2">
      <c r="A144" s="200" t="str">
        <f t="shared" si="45"/>
        <v>Income Taxes</v>
      </c>
      <c r="B144" s="179">
        <f t="shared" si="50"/>
        <v>0</v>
      </c>
      <c r="C144" s="175">
        <f t="shared" si="50"/>
        <v>0</v>
      </c>
      <c r="D144" s="175">
        <f t="shared" si="50"/>
        <v>0</v>
      </c>
      <c r="E144" s="175">
        <f t="shared" si="50"/>
        <v>0</v>
      </c>
      <c r="F144" s="175">
        <f t="shared" si="50"/>
        <v>0</v>
      </c>
      <c r="G144" s="175">
        <f t="shared" si="50"/>
        <v>0</v>
      </c>
      <c r="H144" s="94">
        <f t="shared" si="51"/>
        <v>0</v>
      </c>
    </row>
    <row r="145" spans="1:8" s="11" customFormat="1" ht="15" customHeight="1" thickBot="1" x14ac:dyDescent="0.25">
      <c r="A145" s="200" t="str">
        <f t="shared" si="45"/>
        <v>Net Income</v>
      </c>
      <c r="B145" s="182">
        <f t="shared" si="50"/>
        <v>4.5752001150170946E-2</v>
      </c>
      <c r="C145" s="178" t="e">
        <f t="shared" ca="1" si="50"/>
        <v>#DIV/0!</v>
      </c>
      <c r="D145" s="178" t="e">
        <f t="shared" ca="1" si="50"/>
        <v>#DIV/0!</v>
      </c>
      <c r="E145" s="178" t="e">
        <f t="shared" ca="1" si="50"/>
        <v>#DIV/0!</v>
      </c>
      <c r="F145" s="178" t="e">
        <f t="shared" ca="1" si="50"/>
        <v>#DIV/0!</v>
      </c>
      <c r="G145" s="178" t="e">
        <f t="shared" ca="1" si="50"/>
        <v>#DIV/0!</v>
      </c>
      <c r="H145" s="96" t="e">
        <f t="shared" ca="1" si="51"/>
        <v>#DIV/0!</v>
      </c>
    </row>
    <row r="146" spans="1:8" s="11" customFormat="1" ht="15" customHeight="1" thickTop="1" x14ac:dyDescent="0.2">
      <c r="A146" s="200"/>
      <c r="B146" s="187"/>
      <c r="C146" s="186"/>
      <c r="D146" s="186"/>
      <c r="E146" s="186"/>
      <c r="F146" s="186"/>
      <c r="G146" s="186"/>
      <c r="H146" s="94"/>
    </row>
    <row r="147" spans="1:8" s="11" customFormat="1" ht="15" customHeight="1" x14ac:dyDescent="0.2">
      <c r="A147" s="200" t="str">
        <f t="shared" si="45"/>
        <v>Preferred Stock Dividends</v>
      </c>
      <c r="B147" s="183"/>
      <c r="C147" s="186"/>
      <c r="D147" s="186"/>
      <c r="E147" s="186"/>
      <c r="F147" s="186"/>
      <c r="G147" s="186"/>
      <c r="H147" s="94"/>
    </row>
    <row r="148" spans="1:8" s="11" customFormat="1" ht="15" customHeight="1" x14ac:dyDescent="0.2">
      <c r="A148" s="200" t="str">
        <f t="shared" si="45"/>
        <v>Return of Patrons Capital</v>
      </c>
      <c r="B148" s="204">
        <f>B105/B$102</f>
        <v>0.19263201794559878</v>
      </c>
      <c r="C148" s="205" t="e">
        <f t="shared" ref="C148:G148" ca="1" si="52">C105/C$102</f>
        <v>#DIV/0!</v>
      </c>
      <c r="D148" s="205" t="e">
        <f ca="1">D105/D$102</f>
        <v>#DIV/0!</v>
      </c>
      <c r="E148" s="205" t="e">
        <f t="shared" ca="1" si="52"/>
        <v>#DIV/0!</v>
      </c>
      <c r="F148" s="205" t="e">
        <f t="shared" ca="1" si="52"/>
        <v>#DIV/0!</v>
      </c>
      <c r="G148" s="205" t="e">
        <f t="shared" ca="1" si="52"/>
        <v>#DIV/0!</v>
      </c>
      <c r="H148" s="169">
        <f>SUM(C105:G105)/SUM(C$76:G$76)</f>
        <v>5.5929709864683159E-3</v>
      </c>
    </row>
    <row r="149" spans="1:8" s="11" customFormat="1" ht="15" customHeight="1" x14ac:dyDescent="0.2">
      <c r="A149" s="174"/>
      <c r="B149" s="186"/>
      <c r="C149" s="94"/>
      <c r="D149" s="94"/>
      <c r="E149" s="94"/>
      <c r="F149" s="94"/>
      <c r="G149" s="94"/>
      <c r="H149" s="94"/>
    </row>
    <row r="150" spans="1:8" s="11" customFormat="1" ht="15" customHeight="1" x14ac:dyDescent="0.2">
      <c r="A150" s="174"/>
      <c r="B150" s="66"/>
      <c r="C150" s="15"/>
      <c r="D150" s="15"/>
      <c r="E150" s="15"/>
      <c r="F150" s="15"/>
      <c r="G150" s="15"/>
      <c r="H150" s="67"/>
    </row>
    <row r="151" spans="1:8" s="11" customFormat="1" ht="15" customHeight="1" x14ac:dyDescent="0.2">
      <c r="A151" s="174"/>
      <c r="B151" s="66"/>
      <c r="C151" s="15"/>
      <c r="D151" s="15"/>
      <c r="E151" s="15"/>
      <c r="F151" s="15"/>
      <c r="G151" s="15"/>
      <c r="H151" s="73" t="str">
        <f>H108</f>
        <v>Exhibit 2</v>
      </c>
    </row>
    <row r="152" spans="1:8" s="11" customFormat="1" ht="15" customHeight="1" x14ac:dyDescent="0.2">
      <c r="A152" s="174"/>
      <c r="B152" s="66"/>
      <c r="C152" s="42"/>
      <c r="D152" s="42"/>
      <c r="E152" s="42"/>
      <c r="F152" s="42"/>
      <c r="G152" s="42"/>
      <c r="H152" s="73" t="s">
        <v>101</v>
      </c>
    </row>
    <row r="153" spans="1:8" s="11" customFormat="1" ht="15" customHeight="1" x14ac:dyDescent="0.25">
      <c r="A153" s="277" t="str">
        <f>A110</f>
        <v>Deseret Generation &amp; Transmission</v>
      </c>
      <c r="B153" s="277"/>
      <c r="C153" s="277"/>
      <c r="D153" s="277"/>
      <c r="E153" s="277"/>
      <c r="F153" s="277"/>
      <c r="G153" s="277"/>
      <c r="H153" s="277"/>
    </row>
    <row r="154" spans="1:8" s="11" customFormat="1" ht="15" customHeight="1" x14ac:dyDescent="0.25">
      <c r="A154" s="275" t="str">
        <f>A111</f>
        <v>Common Size</v>
      </c>
      <c r="B154" s="275"/>
      <c r="C154" s="275"/>
      <c r="D154" s="275"/>
      <c r="E154" s="275"/>
      <c r="F154" s="275"/>
      <c r="G154" s="275"/>
      <c r="H154" s="275"/>
    </row>
    <row r="155" spans="1:8" s="11" customFormat="1" ht="15" customHeight="1" x14ac:dyDescent="0.25">
      <c r="A155" s="276" t="s">
        <v>52</v>
      </c>
      <c r="B155" s="275"/>
      <c r="C155" s="275"/>
      <c r="D155" s="275"/>
      <c r="E155" s="275"/>
      <c r="F155" s="275"/>
      <c r="G155" s="275"/>
      <c r="H155" s="275"/>
    </row>
    <row r="156" spans="1:8" s="11" customFormat="1" ht="15" customHeight="1" x14ac:dyDescent="0.2">
      <c r="A156" s="174"/>
      <c r="B156" s="166"/>
      <c r="C156" s="42"/>
      <c r="D156" s="42"/>
      <c r="E156" s="42"/>
      <c r="F156" s="42"/>
      <c r="G156" s="42"/>
      <c r="H156" s="94"/>
    </row>
    <row r="157" spans="1:8" s="11" customFormat="1" ht="15" customHeight="1" x14ac:dyDescent="0.2">
      <c r="A157" s="174"/>
      <c r="B157" s="189" t="str">
        <f>B114</f>
        <v>Historical</v>
      </c>
      <c r="C157" s="248" t="str">
        <f t="shared" ref="C157:G157" si="53">C114</f>
        <v>Forecast</v>
      </c>
      <c r="D157" s="189" t="str">
        <f t="shared" si="53"/>
        <v>Forecast</v>
      </c>
      <c r="E157" s="189" t="str">
        <f t="shared" si="53"/>
        <v>Forecast</v>
      </c>
      <c r="F157" s="189" t="str">
        <f t="shared" si="53"/>
        <v>Forecast</v>
      </c>
      <c r="G157" s="189" t="str">
        <f t="shared" si="53"/>
        <v>Forecast</v>
      </c>
      <c r="H157" s="89" t="s">
        <v>57</v>
      </c>
    </row>
    <row r="158" spans="1:8" s="11" customFormat="1" ht="15" customHeight="1" x14ac:dyDescent="0.2">
      <c r="A158" s="190" t="str">
        <f>A10</f>
        <v>Account Name</v>
      </c>
      <c r="B158" s="134">
        <f>B115</f>
        <v>2015</v>
      </c>
      <c r="C158" s="249">
        <f t="shared" ref="C158:G158" si="54">C115</f>
        <v>2016</v>
      </c>
      <c r="D158" s="134">
        <f t="shared" si="54"/>
        <v>2017</v>
      </c>
      <c r="E158" s="134">
        <f t="shared" si="54"/>
        <v>2018</v>
      </c>
      <c r="F158" s="134">
        <f t="shared" si="54"/>
        <v>2019</v>
      </c>
      <c r="G158" s="134">
        <f t="shared" si="54"/>
        <v>2020</v>
      </c>
      <c r="H158" s="191" t="s">
        <v>3</v>
      </c>
    </row>
    <row r="159" spans="1:8" s="11" customFormat="1" ht="15" customHeight="1" x14ac:dyDescent="0.2">
      <c r="A159" s="188"/>
      <c r="B159" s="166"/>
      <c r="C159" s="250"/>
      <c r="D159" s="166"/>
      <c r="E159" s="166"/>
      <c r="F159" s="166"/>
      <c r="G159" s="166"/>
      <c r="H159" s="94"/>
    </row>
    <row r="160" spans="1:8" s="11" customFormat="1" ht="15" customHeight="1" x14ac:dyDescent="0.2">
      <c r="A160" s="203" t="str">
        <f t="shared" ref="A160:A168" si="55">A12</f>
        <v>Current Assets:</v>
      </c>
      <c r="B160" s="166"/>
      <c r="C160" s="250"/>
      <c r="D160" s="166"/>
      <c r="E160" s="166"/>
      <c r="F160" s="166"/>
      <c r="G160" s="166"/>
      <c r="H160" s="94"/>
    </row>
    <row r="161" spans="1:20" s="11" customFormat="1" ht="15" customHeight="1" x14ac:dyDescent="0.2">
      <c r="A161" s="202" t="str">
        <f t="shared" si="55"/>
        <v xml:space="preserve">Unrestricted Cash </v>
      </c>
      <c r="B161" s="104">
        <f>B13/B$38</f>
        <v>3.914867495544011E-2</v>
      </c>
      <c r="C161" s="251" t="e">
        <f t="shared" ref="C161:G161" ca="1" si="56">C13/C$38</f>
        <v>#DIV/0!</v>
      </c>
      <c r="D161" s="104" t="e">
        <f t="shared" ca="1" si="56"/>
        <v>#DIV/0!</v>
      </c>
      <c r="E161" s="104" t="e">
        <f t="shared" ca="1" si="56"/>
        <v>#DIV/0!</v>
      </c>
      <c r="F161" s="104" t="e">
        <f t="shared" ca="1" si="56"/>
        <v>#DIV/0!</v>
      </c>
      <c r="G161" s="104" t="e">
        <f t="shared" ca="1" si="56"/>
        <v>#DIV/0!</v>
      </c>
      <c r="H161" s="104" t="e">
        <f ca="1">SUM(B13:G13)/SUM(B$38:G$38)</f>
        <v>#DIV/0!</v>
      </c>
    </row>
    <row r="162" spans="1:20" s="11" customFormat="1" ht="15" customHeight="1" x14ac:dyDescent="0.2">
      <c r="A162" s="202" t="str">
        <f t="shared" si="55"/>
        <v>Restricted Deposits</v>
      </c>
      <c r="B162" s="104">
        <f t="shared" ref="B162:G168" si="57">B14/B$38</f>
        <v>8.2669939892765859E-2</v>
      </c>
      <c r="C162" s="251" t="e">
        <f t="shared" ca="1" si="57"/>
        <v>#DIV/0!</v>
      </c>
      <c r="D162" s="104" t="e">
        <f t="shared" ca="1" si="57"/>
        <v>#DIV/0!</v>
      </c>
      <c r="E162" s="104" t="e">
        <f t="shared" ca="1" si="57"/>
        <v>#DIV/0!</v>
      </c>
      <c r="F162" s="104" t="e">
        <f t="shared" ca="1" si="57"/>
        <v>#DIV/0!</v>
      </c>
      <c r="G162" s="104" t="e">
        <f t="shared" ca="1" si="57"/>
        <v>#DIV/0!</v>
      </c>
      <c r="H162" s="104" t="e">
        <f t="shared" ref="H162:H168" ca="1" si="58">SUM(B14:G14)/SUM(B$38:G$38)</f>
        <v>#DIV/0!</v>
      </c>
    </row>
    <row r="163" spans="1:20" s="11" customFormat="1" ht="15" customHeight="1" x14ac:dyDescent="0.2">
      <c r="A163" s="202" t="str">
        <f t="shared" si="55"/>
        <v>Surplus Cash</v>
      </c>
      <c r="B163" s="104">
        <f t="shared" si="57"/>
        <v>0</v>
      </c>
      <c r="C163" s="251" t="e">
        <f t="shared" ca="1" si="57"/>
        <v>#DIV/0!</v>
      </c>
      <c r="D163" s="104" t="e">
        <f t="shared" ca="1" si="57"/>
        <v>#DIV/0!</v>
      </c>
      <c r="E163" s="104" t="e">
        <f t="shared" ca="1" si="57"/>
        <v>#DIV/0!</v>
      </c>
      <c r="F163" s="104" t="e">
        <f t="shared" ca="1" si="57"/>
        <v>#DIV/0!</v>
      </c>
      <c r="G163" s="104" t="e">
        <f t="shared" ca="1" si="57"/>
        <v>#DIV/0!</v>
      </c>
      <c r="H163" s="104" t="e">
        <f t="shared" ca="1" si="58"/>
        <v>#DIV/0!</v>
      </c>
    </row>
    <row r="164" spans="1:20" s="11" customFormat="1" ht="15" customHeight="1" x14ac:dyDescent="0.2">
      <c r="A164" s="202" t="str">
        <f t="shared" si="55"/>
        <v>Accounts Receivable, net</v>
      </c>
      <c r="B164" s="104">
        <f t="shared" si="57"/>
        <v>7.7957725026839259E-2</v>
      </c>
      <c r="C164" s="251" t="e">
        <f t="shared" ca="1" si="57"/>
        <v>#DIV/0!</v>
      </c>
      <c r="D164" s="104" t="e">
        <f t="shared" ca="1" si="57"/>
        <v>#DIV/0!</v>
      </c>
      <c r="E164" s="104" t="e">
        <f t="shared" ca="1" si="57"/>
        <v>#DIV/0!</v>
      </c>
      <c r="F164" s="104" t="e">
        <f t="shared" ca="1" si="57"/>
        <v>#DIV/0!</v>
      </c>
      <c r="G164" s="104" t="e">
        <f t="shared" ca="1" si="57"/>
        <v>#DIV/0!</v>
      </c>
      <c r="H164" s="104" t="e">
        <f t="shared" ca="1" si="58"/>
        <v>#DIV/0!</v>
      </c>
    </row>
    <row r="165" spans="1:20" s="11" customFormat="1" ht="15" customHeight="1" x14ac:dyDescent="0.2">
      <c r="A165" s="202" t="str">
        <f t="shared" si="55"/>
        <v>Fuel Stock</v>
      </c>
      <c r="B165" s="104">
        <f t="shared" si="57"/>
        <v>8.6443131030990855E-2</v>
      </c>
      <c r="C165" s="251" t="e">
        <f t="shared" ca="1" si="57"/>
        <v>#DIV/0!</v>
      </c>
      <c r="D165" s="104" t="e">
        <f t="shared" ca="1" si="57"/>
        <v>#DIV/0!</v>
      </c>
      <c r="E165" s="104" t="e">
        <f t="shared" ca="1" si="57"/>
        <v>#DIV/0!</v>
      </c>
      <c r="F165" s="104" t="e">
        <f t="shared" ca="1" si="57"/>
        <v>#DIV/0!</v>
      </c>
      <c r="G165" s="104" t="e">
        <f t="shared" ca="1" si="57"/>
        <v>#DIV/0!</v>
      </c>
      <c r="H165" s="104" t="e">
        <f t="shared" ca="1" si="58"/>
        <v>#DIV/0!</v>
      </c>
    </row>
    <row r="166" spans="1:20" s="11" customFormat="1" ht="15" customHeight="1" x14ac:dyDescent="0.2">
      <c r="A166" s="202" t="str">
        <f t="shared" si="55"/>
        <v>Material and Supplies</v>
      </c>
      <c r="B166" s="104">
        <f t="shared" si="57"/>
        <v>5.8287923577977893E-2</v>
      </c>
      <c r="C166" s="251" t="e">
        <f t="shared" ca="1" si="57"/>
        <v>#DIV/0!</v>
      </c>
      <c r="D166" s="104" t="e">
        <f t="shared" ca="1" si="57"/>
        <v>#DIV/0!</v>
      </c>
      <c r="E166" s="104" t="e">
        <f t="shared" ca="1" si="57"/>
        <v>#DIV/0!</v>
      </c>
      <c r="F166" s="104" t="e">
        <f t="shared" ca="1" si="57"/>
        <v>#DIV/0!</v>
      </c>
      <c r="G166" s="104" t="e">
        <f t="shared" ca="1" si="57"/>
        <v>#DIV/0!</v>
      </c>
      <c r="H166" s="104" t="e">
        <f t="shared" ca="1" si="58"/>
        <v>#DIV/0!</v>
      </c>
    </row>
    <row r="167" spans="1:20" s="11" customFormat="1" ht="15" customHeight="1" x14ac:dyDescent="0.2">
      <c r="A167" s="202" t="str">
        <f t="shared" si="55"/>
        <v>Other Current Assets</v>
      </c>
      <c r="B167" s="192">
        <f t="shared" si="57"/>
        <v>1.4403320487382928E-2</v>
      </c>
      <c r="C167" s="252" t="e">
        <f t="shared" ca="1" si="57"/>
        <v>#DIV/0!</v>
      </c>
      <c r="D167" s="192" t="e">
        <f t="shared" ca="1" si="57"/>
        <v>#DIV/0!</v>
      </c>
      <c r="E167" s="192" t="e">
        <f t="shared" ca="1" si="57"/>
        <v>#DIV/0!</v>
      </c>
      <c r="F167" s="192" t="e">
        <f t="shared" ca="1" si="57"/>
        <v>#DIV/0!</v>
      </c>
      <c r="G167" s="192" t="e">
        <f t="shared" ca="1" si="57"/>
        <v>#DIV/0!</v>
      </c>
      <c r="H167" s="192" t="e">
        <f t="shared" ca="1" si="58"/>
        <v>#DIV/0!</v>
      </c>
    </row>
    <row r="168" spans="1:20" s="11" customFormat="1" ht="15" customHeight="1" x14ac:dyDescent="0.2">
      <c r="A168" s="202" t="str">
        <f t="shared" si="55"/>
        <v>Total Current Assets</v>
      </c>
      <c r="B168" s="104">
        <f t="shared" si="57"/>
        <v>0.35891071497139693</v>
      </c>
      <c r="C168" s="251" t="e">
        <f t="shared" ca="1" si="57"/>
        <v>#DIV/0!</v>
      </c>
      <c r="D168" s="104" t="e">
        <f t="shared" ca="1" si="57"/>
        <v>#DIV/0!</v>
      </c>
      <c r="E168" s="104" t="e">
        <f t="shared" ca="1" si="57"/>
        <v>#DIV/0!</v>
      </c>
      <c r="F168" s="104" t="e">
        <f t="shared" ca="1" si="57"/>
        <v>#DIV/0!</v>
      </c>
      <c r="G168" s="104" t="e">
        <f t="shared" ca="1" si="57"/>
        <v>#DIV/0!</v>
      </c>
      <c r="H168" s="104" t="e">
        <f t="shared" ca="1" si="58"/>
        <v>#DIV/0!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1:20" s="11" customFormat="1" ht="15" customHeight="1" x14ac:dyDescent="0.2">
      <c r="A169" s="202"/>
      <c r="B169" s="186"/>
      <c r="C169" s="253"/>
      <c r="D169" s="186"/>
      <c r="E169" s="186"/>
      <c r="F169" s="186"/>
      <c r="G169" s="186"/>
      <c r="H169" s="94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</row>
    <row r="170" spans="1:20" s="11" customFormat="1" ht="15" customHeight="1" x14ac:dyDescent="0.2">
      <c r="A170" s="203" t="str">
        <f>A22</f>
        <v>Plant &amp; Equipment:</v>
      </c>
      <c r="B170" s="186"/>
      <c r="C170" s="253"/>
      <c r="D170" s="186"/>
      <c r="E170" s="186"/>
      <c r="F170" s="186"/>
      <c r="G170" s="186"/>
      <c r="H170" s="94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1:20" s="11" customFormat="1" ht="15" customHeight="1" x14ac:dyDescent="0.2">
      <c r="A171" s="202" t="str">
        <f>A23</f>
        <v>Plant in Service</v>
      </c>
      <c r="B171" s="104">
        <f t="shared" ref="B171:G174" si="59">B23/B$38</f>
        <v>1.4129450055334976</v>
      </c>
      <c r="C171" s="251" t="e">
        <f t="shared" ca="1" si="59"/>
        <v>#DIV/0!</v>
      </c>
      <c r="D171" s="104" t="e">
        <f t="shared" ca="1" si="59"/>
        <v>#DIV/0!</v>
      </c>
      <c r="E171" s="104" t="e">
        <f t="shared" ca="1" si="59"/>
        <v>#DIV/0!</v>
      </c>
      <c r="F171" s="104" t="e">
        <f t="shared" ca="1" si="59"/>
        <v>#DIV/0!</v>
      </c>
      <c r="G171" s="104" t="e">
        <f t="shared" ca="1" si="59"/>
        <v>#DIV/0!</v>
      </c>
      <c r="H171" s="104" t="e">
        <f t="shared" ref="H171:H174" ca="1" si="60">SUM(B23:G23)/SUM(B$38:G$38)</f>
        <v>#DIV/0!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</row>
    <row r="172" spans="1:20" s="11" customFormat="1" ht="15" customHeight="1" x14ac:dyDescent="0.2">
      <c r="A172" s="202" t="str">
        <f>A24</f>
        <v>Construction Work in Progress</v>
      </c>
      <c r="B172" s="104">
        <f t="shared" si="59"/>
        <v>7.0521130428989843E-3</v>
      </c>
      <c r="C172" s="251" t="e">
        <f t="shared" ca="1" si="59"/>
        <v>#DIV/0!</v>
      </c>
      <c r="D172" s="104" t="e">
        <f t="shared" ca="1" si="59"/>
        <v>#DIV/0!</v>
      </c>
      <c r="E172" s="104" t="e">
        <f t="shared" ca="1" si="59"/>
        <v>#DIV/0!</v>
      </c>
      <c r="F172" s="104" t="e">
        <f t="shared" ca="1" si="59"/>
        <v>#DIV/0!</v>
      </c>
      <c r="G172" s="104" t="e">
        <f t="shared" ca="1" si="59"/>
        <v>#DIV/0!</v>
      </c>
      <c r="H172" s="104" t="e">
        <f t="shared" ca="1" si="60"/>
        <v>#DIV/0!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</row>
    <row r="173" spans="1:20" s="11" customFormat="1" ht="15" customHeight="1" x14ac:dyDescent="0.2">
      <c r="A173" s="202" t="str">
        <f>A25</f>
        <v>Other PP&amp;E</v>
      </c>
      <c r="B173" s="192">
        <f t="shared" si="59"/>
        <v>0</v>
      </c>
      <c r="C173" s="252" t="e">
        <f t="shared" ca="1" si="59"/>
        <v>#DIV/0!</v>
      </c>
      <c r="D173" s="192" t="e">
        <f t="shared" ca="1" si="59"/>
        <v>#DIV/0!</v>
      </c>
      <c r="E173" s="192" t="e">
        <f t="shared" ca="1" si="59"/>
        <v>#DIV/0!</v>
      </c>
      <c r="F173" s="192" t="e">
        <f t="shared" ca="1" si="59"/>
        <v>#DIV/0!</v>
      </c>
      <c r="G173" s="192" t="e">
        <f t="shared" ca="1" si="59"/>
        <v>#DIV/0!</v>
      </c>
      <c r="H173" s="192" t="e">
        <f t="shared" ca="1" si="60"/>
        <v>#DIV/0!</v>
      </c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</row>
    <row r="174" spans="1:20" s="11" customFormat="1" ht="15" customHeight="1" x14ac:dyDescent="0.2">
      <c r="A174" s="202" t="str">
        <f>A26</f>
        <v>Total Plant &amp; Equipment:</v>
      </c>
      <c r="B174" s="104">
        <f t="shared" si="59"/>
        <v>1.4199971185763964</v>
      </c>
      <c r="C174" s="251" t="e">
        <f t="shared" ca="1" si="59"/>
        <v>#DIV/0!</v>
      </c>
      <c r="D174" s="104" t="e">
        <f t="shared" ca="1" si="59"/>
        <v>#DIV/0!</v>
      </c>
      <c r="E174" s="104" t="e">
        <f t="shared" ca="1" si="59"/>
        <v>#DIV/0!</v>
      </c>
      <c r="F174" s="104" t="e">
        <f t="shared" ca="1" si="59"/>
        <v>#DIV/0!</v>
      </c>
      <c r="G174" s="104" t="e">
        <f t="shared" ca="1" si="59"/>
        <v>#DIV/0!</v>
      </c>
      <c r="H174" s="104" t="e">
        <f t="shared" ca="1" si="60"/>
        <v>#DIV/0!</v>
      </c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</row>
    <row r="175" spans="1:20" s="11" customFormat="1" ht="15" customHeight="1" x14ac:dyDescent="0.2">
      <c r="A175" s="202"/>
      <c r="B175" s="186"/>
      <c r="C175" s="253"/>
      <c r="D175" s="186"/>
      <c r="E175" s="186"/>
      <c r="F175" s="186"/>
      <c r="G175" s="186"/>
      <c r="H175" s="94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</row>
    <row r="176" spans="1:20" s="11" customFormat="1" ht="15" customHeight="1" x14ac:dyDescent="0.2">
      <c r="A176" s="202" t="str">
        <f>A28</f>
        <v>Accumulated Depreciation &amp; Amort.</v>
      </c>
      <c r="B176" s="104">
        <f>B28/B$38</f>
        <v>0.95029017094036428</v>
      </c>
      <c r="C176" s="251" t="e">
        <f t="shared" ref="C176:G176" ca="1" si="61">C28/C$38</f>
        <v>#DIV/0!</v>
      </c>
      <c r="D176" s="104" t="e">
        <f t="shared" ca="1" si="61"/>
        <v>#DIV/0!</v>
      </c>
      <c r="E176" s="104" t="e">
        <f t="shared" ca="1" si="61"/>
        <v>#DIV/0!</v>
      </c>
      <c r="F176" s="104" t="e">
        <f t="shared" ca="1" si="61"/>
        <v>#DIV/0!</v>
      </c>
      <c r="G176" s="104" t="e">
        <f t="shared" ca="1" si="61"/>
        <v>#DIV/0!</v>
      </c>
      <c r="H176" s="104" t="e">
        <f ca="1">SUM(B28:G28)/SUM(B$38:G$38)</f>
        <v>#DIV/0!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</row>
    <row r="177" spans="1:20" s="11" customFormat="1" ht="15" customHeight="1" x14ac:dyDescent="0.2">
      <c r="A177" s="202"/>
      <c r="B177" s="186"/>
      <c r="C177" s="253"/>
      <c r="D177" s="186"/>
      <c r="E177" s="186"/>
      <c r="F177" s="186"/>
      <c r="G177" s="186"/>
      <c r="H177" s="94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</row>
    <row r="178" spans="1:20" s="11" customFormat="1" ht="15" customHeight="1" x14ac:dyDescent="0.2">
      <c r="A178" s="202" t="str">
        <f>A30</f>
        <v>Net Plant &amp; Equipment</v>
      </c>
      <c r="B178" s="104">
        <f>B30/B$38</f>
        <v>0.46970694763603232</v>
      </c>
      <c r="C178" s="251" t="e">
        <f t="shared" ref="C178:G178" ca="1" si="62">C30/C$38</f>
        <v>#DIV/0!</v>
      </c>
      <c r="D178" s="104" t="e">
        <f t="shared" ca="1" si="62"/>
        <v>#DIV/0!</v>
      </c>
      <c r="E178" s="104" t="e">
        <f t="shared" ca="1" si="62"/>
        <v>#DIV/0!</v>
      </c>
      <c r="F178" s="104" t="e">
        <f t="shared" ca="1" si="62"/>
        <v>#DIV/0!</v>
      </c>
      <c r="G178" s="104" t="e">
        <f t="shared" ca="1" si="62"/>
        <v>#DIV/0!</v>
      </c>
      <c r="H178" s="104" t="e">
        <f ca="1">SUM(B30:G30)/SUM(B$38:G$38)</f>
        <v>#DIV/0!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</row>
    <row r="179" spans="1:20" s="11" customFormat="1" ht="15" customHeight="1" x14ac:dyDescent="0.2">
      <c r="A179" s="202"/>
      <c r="B179" s="186"/>
      <c r="C179" s="253"/>
      <c r="D179" s="186"/>
      <c r="E179" s="186"/>
      <c r="F179" s="186"/>
      <c r="G179" s="186"/>
      <c r="H179" s="94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</row>
    <row r="180" spans="1:20" s="11" customFormat="1" ht="15" customHeight="1" x14ac:dyDescent="0.2">
      <c r="A180" s="203" t="str">
        <f t="shared" ref="A180:A186" si="63">A32</f>
        <v>Other Assets:</v>
      </c>
      <c r="B180" s="186"/>
      <c r="C180" s="253"/>
      <c r="D180" s="186"/>
      <c r="E180" s="186"/>
      <c r="F180" s="186"/>
      <c r="G180" s="186"/>
      <c r="H180" s="94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</row>
    <row r="181" spans="1:20" s="11" customFormat="1" ht="15" customHeight="1" x14ac:dyDescent="0.2">
      <c r="A181" s="202" t="str">
        <f t="shared" si="63"/>
        <v>Accumulated Deferred Income Taxes</v>
      </c>
      <c r="B181" s="104">
        <f t="shared" ref="B181:G186" si="64">B33/B$38</f>
        <v>8.2799834215054394E-2</v>
      </c>
      <c r="C181" s="251" t="e">
        <f t="shared" ca="1" si="64"/>
        <v>#DIV/0!</v>
      </c>
      <c r="D181" s="104" t="e">
        <f t="shared" ca="1" si="64"/>
        <v>#DIV/0!</v>
      </c>
      <c r="E181" s="104" t="e">
        <f t="shared" ca="1" si="64"/>
        <v>#DIV/0!</v>
      </c>
      <c r="F181" s="104" t="e">
        <f t="shared" ca="1" si="64"/>
        <v>#DIV/0!</v>
      </c>
      <c r="G181" s="104" t="e">
        <f t="shared" ca="1" si="64"/>
        <v>#DIV/0!</v>
      </c>
      <c r="H181" s="104" t="e">
        <f t="shared" ref="H181:H186" ca="1" si="65">SUM(B33:G33)/SUM(B$38:G$38)</f>
        <v>#DIV/0!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</row>
    <row r="182" spans="1:20" s="11" customFormat="1" ht="15" customHeight="1" x14ac:dyDescent="0.2">
      <c r="A182" s="202" t="str">
        <f t="shared" si="63"/>
        <v>Investments and Other Property</v>
      </c>
      <c r="B182" s="104">
        <f t="shared" si="64"/>
        <v>1.5179214897182066E-2</v>
      </c>
      <c r="C182" s="251" t="e">
        <f t="shared" ca="1" si="64"/>
        <v>#DIV/0!</v>
      </c>
      <c r="D182" s="104" t="e">
        <f t="shared" ca="1" si="64"/>
        <v>#DIV/0!</v>
      </c>
      <c r="E182" s="104" t="e">
        <f t="shared" ca="1" si="64"/>
        <v>#DIV/0!</v>
      </c>
      <c r="F182" s="104" t="e">
        <f t="shared" ca="1" si="64"/>
        <v>#DIV/0!</v>
      </c>
      <c r="G182" s="104" t="e">
        <f t="shared" ca="1" si="64"/>
        <v>#DIV/0!</v>
      </c>
      <c r="H182" s="104" t="e">
        <f t="shared" ca="1" si="65"/>
        <v>#DIV/0!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</row>
    <row r="183" spans="1:20" s="11" customFormat="1" ht="15" customHeight="1" x14ac:dyDescent="0.2">
      <c r="A183" s="202" t="str">
        <f t="shared" si="63"/>
        <v>Other Deferred Debits and Other Assets</v>
      </c>
      <c r="B183" s="192">
        <f t="shared" si="64"/>
        <v>7.3403288280334336E-2</v>
      </c>
      <c r="C183" s="252" t="e">
        <f t="shared" ca="1" si="64"/>
        <v>#DIV/0!</v>
      </c>
      <c r="D183" s="192" t="e">
        <f t="shared" ca="1" si="64"/>
        <v>#DIV/0!</v>
      </c>
      <c r="E183" s="192" t="e">
        <f t="shared" ca="1" si="64"/>
        <v>#DIV/0!</v>
      </c>
      <c r="F183" s="192" t="e">
        <f t="shared" ca="1" si="64"/>
        <v>#DIV/0!</v>
      </c>
      <c r="G183" s="192" t="e">
        <f t="shared" ca="1" si="64"/>
        <v>#DIV/0!</v>
      </c>
      <c r="H183" s="192" t="e">
        <f t="shared" ca="1" si="65"/>
        <v>#DIV/0!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</row>
    <row r="184" spans="1:20" s="11" customFormat="1" ht="15" customHeight="1" x14ac:dyDescent="0.2">
      <c r="A184" s="202" t="str">
        <f t="shared" si="63"/>
        <v>Total Other Assets</v>
      </c>
      <c r="B184" s="194">
        <f t="shared" si="64"/>
        <v>0.1713823373925708</v>
      </c>
      <c r="C184" s="254" t="e">
        <f t="shared" ca="1" si="64"/>
        <v>#DIV/0!</v>
      </c>
      <c r="D184" s="194" t="e">
        <f t="shared" ca="1" si="64"/>
        <v>#DIV/0!</v>
      </c>
      <c r="E184" s="194" t="e">
        <f t="shared" ca="1" si="64"/>
        <v>#DIV/0!</v>
      </c>
      <c r="F184" s="194" t="e">
        <f t="shared" ca="1" si="64"/>
        <v>#DIV/0!</v>
      </c>
      <c r="G184" s="194" t="e">
        <f t="shared" ca="1" si="64"/>
        <v>#DIV/0!</v>
      </c>
      <c r="H184" s="194" t="e">
        <f t="shared" ca="1" si="65"/>
        <v>#DIV/0!</v>
      </c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</row>
    <row r="185" spans="1:20" s="11" customFormat="1" ht="15" customHeight="1" x14ac:dyDescent="0.2">
      <c r="A185" s="202" t="str">
        <f t="shared" si="63"/>
        <v>Total Non-Current Assets</v>
      </c>
      <c r="B185" s="104">
        <f t="shared" si="64"/>
        <v>0.64108928502860307</v>
      </c>
      <c r="C185" s="251" t="e">
        <f t="shared" ca="1" si="64"/>
        <v>#DIV/0!</v>
      </c>
      <c r="D185" s="104" t="e">
        <f t="shared" ca="1" si="64"/>
        <v>#DIV/0!</v>
      </c>
      <c r="E185" s="104" t="e">
        <f t="shared" ca="1" si="64"/>
        <v>#DIV/0!</v>
      </c>
      <c r="F185" s="104" t="e">
        <f t="shared" ca="1" si="64"/>
        <v>#DIV/0!</v>
      </c>
      <c r="G185" s="104" t="e">
        <f t="shared" ca="1" si="64"/>
        <v>#DIV/0!</v>
      </c>
      <c r="H185" s="104" t="e">
        <f t="shared" ca="1" si="65"/>
        <v>#DIV/0!</v>
      </c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</row>
    <row r="186" spans="1:20" s="11" customFormat="1" ht="15" customHeight="1" thickBot="1" x14ac:dyDescent="0.25">
      <c r="A186" s="202" t="str">
        <f t="shared" si="63"/>
        <v>Total Assets</v>
      </c>
      <c r="B186" s="193">
        <f t="shared" si="64"/>
        <v>1</v>
      </c>
      <c r="C186" s="255" t="e">
        <f t="shared" ca="1" si="64"/>
        <v>#DIV/0!</v>
      </c>
      <c r="D186" s="193" t="e">
        <f t="shared" ca="1" si="64"/>
        <v>#DIV/0!</v>
      </c>
      <c r="E186" s="193" t="e">
        <f t="shared" ca="1" si="64"/>
        <v>#DIV/0!</v>
      </c>
      <c r="F186" s="193" t="e">
        <f t="shared" ca="1" si="64"/>
        <v>#DIV/0!</v>
      </c>
      <c r="G186" s="193" t="e">
        <f t="shared" ca="1" si="64"/>
        <v>#DIV/0!</v>
      </c>
      <c r="H186" s="193" t="e">
        <f t="shared" ca="1" si="65"/>
        <v>#DIV/0!</v>
      </c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</row>
    <row r="187" spans="1:20" s="11" customFormat="1" ht="15" customHeight="1" thickTop="1" x14ac:dyDescent="0.2">
      <c r="A187" s="202"/>
      <c r="B187" s="186"/>
      <c r="C187" s="256"/>
      <c r="D187" s="186"/>
      <c r="E187" s="186"/>
      <c r="F187" s="186"/>
      <c r="G187" s="186"/>
      <c r="H187" s="94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</row>
    <row r="188" spans="1:20" s="11" customFormat="1" ht="15" customHeight="1" x14ac:dyDescent="0.2">
      <c r="A188" s="202"/>
      <c r="B188" s="186"/>
      <c r="C188" s="253"/>
      <c r="D188" s="186"/>
      <c r="E188" s="186"/>
      <c r="F188" s="186"/>
      <c r="G188" s="186"/>
      <c r="H188" s="94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s="11" customFormat="1" ht="15" customHeight="1" x14ac:dyDescent="0.2">
      <c r="A189" s="203" t="str">
        <f t="shared" ref="A189:A194" si="66">A41</f>
        <v>Current Liabilities:</v>
      </c>
      <c r="B189" s="186"/>
      <c r="C189" s="253"/>
      <c r="D189" s="186"/>
      <c r="E189" s="186"/>
      <c r="F189" s="186"/>
      <c r="G189" s="186"/>
      <c r="H189" s="94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s="11" customFormat="1" ht="15" customHeight="1" x14ac:dyDescent="0.2">
      <c r="A190" s="202" t="str">
        <f t="shared" si="66"/>
        <v>Current Portion of LTD</v>
      </c>
      <c r="B190" s="104">
        <f t="shared" ref="B190:G194" si="67">B42/B$38</f>
        <v>0</v>
      </c>
      <c r="C190" s="251" t="e">
        <f t="shared" ca="1" si="67"/>
        <v>#DIV/0!</v>
      </c>
      <c r="D190" s="104" t="e">
        <f t="shared" ca="1" si="67"/>
        <v>#DIV/0!</v>
      </c>
      <c r="E190" s="104" t="e">
        <f t="shared" ca="1" si="67"/>
        <v>#DIV/0!</v>
      </c>
      <c r="F190" s="104" t="e">
        <f t="shared" ca="1" si="67"/>
        <v>#DIV/0!</v>
      </c>
      <c r="G190" s="104" t="e">
        <f t="shared" ca="1" si="67"/>
        <v>#DIV/0!</v>
      </c>
      <c r="H190" s="104" t="e">
        <f t="shared" ref="H190:H194" ca="1" si="68">SUM(B42:G42)/SUM(B$38:G$38)</f>
        <v>#DIV/0!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</row>
    <row r="191" spans="1:20" s="11" customFormat="1" ht="15" customHeight="1" x14ac:dyDescent="0.2">
      <c r="A191" s="202" t="str">
        <f t="shared" si="66"/>
        <v>Acounts Payable</v>
      </c>
      <c r="B191" s="104">
        <f t="shared" si="67"/>
        <v>3.4386918917189743E-2</v>
      </c>
      <c r="C191" s="251" t="e">
        <f t="shared" ca="1" si="67"/>
        <v>#DIV/0!</v>
      </c>
      <c r="D191" s="104" t="e">
        <f t="shared" ca="1" si="67"/>
        <v>#DIV/0!</v>
      </c>
      <c r="E191" s="104" t="e">
        <f t="shared" ca="1" si="67"/>
        <v>#DIV/0!</v>
      </c>
      <c r="F191" s="104" t="e">
        <f t="shared" ca="1" si="67"/>
        <v>#DIV/0!</v>
      </c>
      <c r="G191" s="104" t="e">
        <f t="shared" ca="1" si="67"/>
        <v>#DIV/0!</v>
      </c>
      <c r="H191" s="104" t="e">
        <f t="shared" ca="1" si="68"/>
        <v>#DIV/0!</v>
      </c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</row>
    <row r="192" spans="1:20" s="11" customFormat="1" ht="15" customHeight="1" x14ac:dyDescent="0.2">
      <c r="A192" s="202" t="str">
        <f t="shared" si="66"/>
        <v>Customer Deposits</v>
      </c>
      <c r="B192" s="104">
        <f t="shared" si="67"/>
        <v>1.0309847491019517E-2</v>
      </c>
      <c r="C192" s="251" t="e">
        <f t="shared" ca="1" si="67"/>
        <v>#DIV/0!</v>
      </c>
      <c r="D192" s="104" t="e">
        <f t="shared" ca="1" si="67"/>
        <v>#DIV/0!</v>
      </c>
      <c r="E192" s="104" t="e">
        <f t="shared" ca="1" si="67"/>
        <v>#DIV/0!</v>
      </c>
      <c r="F192" s="104" t="e">
        <f t="shared" ca="1" si="67"/>
        <v>#DIV/0!</v>
      </c>
      <c r="G192" s="104" t="e">
        <f t="shared" ca="1" si="67"/>
        <v>#DIV/0!</v>
      </c>
      <c r="H192" s="104" t="e">
        <f t="shared" ca="1" si="68"/>
        <v>#DIV/0!</v>
      </c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</row>
    <row r="193" spans="1:20" s="11" customFormat="1" ht="15" customHeight="1" x14ac:dyDescent="0.2">
      <c r="A193" s="202" t="str">
        <f t="shared" si="66"/>
        <v xml:space="preserve">Other </v>
      </c>
      <c r="B193" s="192">
        <f t="shared" si="67"/>
        <v>4.6602917935106784E-2</v>
      </c>
      <c r="C193" s="252" t="e">
        <f t="shared" ca="1" si="67"/>
        <v>#DIV/0!</v>
      </c>
      <c r="D193" s="192" t="e">
        <f t="shared" ca="1" si="67"/>
        <v>#DIV/0!</v>
      </c>
      <c r="E193" s="192" t="e">
        <f t="shared" ca="1" si="67"/>
        <v>#DIV/0!</v>
      </c>
      <c r="F193" s="192" t="e">
        <f t="shared" ca="1" si="67"/>
        <v>#DIV/0!</v>
      </c>
      <c r="G193" s="192" t="e">
        <f t="shared" ca="1" si="67"/>
        <v>#DIV/0!</v>
      </c>
      <c r="H193" s="192" t="e">
        <f t="shared" ca="1" si="68"/>
        <v>#DIV/0!</v>
      </c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</row>
    <row r="194" spans="1:20" s="11" customFormat="1" ht="15" customHeight="1" x14ac:dyDescent="0.2">
      <c r="A194" s="202" t="str">
        <f t="shared" si="66"/>
        <v>Total Current Liabilities</v>
      </c>
      <c r="B194" s="104">
        <f t="shared" si="67"/>
        <v>9.1299684343316048E-2</v>
      </c>
      <c r="C194" s="251" t="e">
        <f t="shared" ca="1" si="67"/>
        <v>#DIV/0!</v>
      </c>
      <c r="D194" s="104" t="e">
        <f t="shared" ca="1" si="67"/>
        <v>#DIV/0!</v>
      </c>
      <c r="E194" s="104" t="e">
        <f t="shared" ca="1" si="67"/>
        <v>#DIV/0!</v>
      </c>
      <c r="F194" s="104" t="e">
        <f t="shared" ca="1" si="67"/>
        <v>#DIV/0!</v>
      </c>
      <c r="G194" s="104" t="e">
        <f t="shared" ca="1" si="67"/>
        <v>#DIV/0!</v>
      </c>
      <c r="H194" s="104" t="e">
        <f t="shared" ca="1" si="68"/>
        <v>#DIV/0!</v>
      </c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</row>
    <row r="195" spans="1:20" s="11" customFormat="1" ht="15" customHeight="1" x14ac:dyDescent="0.2">
      <c r="A195" s="202"/>
      <c r="B195" s="186"/>
      <c r="C195" s="253"/>
      <c r="D195" s="186"/>
      <c r="E195" s="186"/>
      <c r="F195" s="186"/>
      <c r="G195" s="186"/>
      <c r="H195" s="94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</row>
    <row r="196" spans="1:20" s="11" customFormat="1" ht="15" customHeight="1" x14ac:dyDescent="0.2">
      <c r="A196" s="202" t="str">
        <f>A48</f>
        <v>Long-Term Debt</v>
      </c>
      <c r="B196" s="104">
        <f t="shared" ref="B196:G200" si="69">B48/B$38</f>
        <v>0.52144349172291482</v>
      </c>
      <c r="C196" s="251" t="e">
        <f t="shared" ca="1" si="69"/>
        <v>#DIV/0!</v>
      </c>
      <c r="D196" s="104" t="e">
        <f t="shared" ca="1" si="69"/>
        <v>#DIV/0!</v>
      </c>
      <c r="E196" s="104" t="e">
        <f t="shared" ca="1" si="69"/>
        <v>#DIV/0!</v>
      </c>
      <c r="F196" s="104" t="e">
        <f t="shared" ca="1" si="69"/>
        <v>#DIV/0!</v>
      </c>
      <c r="G196" s="104" t="e">
        <f t="shared" ca="1" si="69"/>
        <v>#DIV/0!</v>
      </c>
      <c r="H196" s="104" t="e">
        <f t="shared" ref="H196:H200" ca="1" si="70">SUM(B48:G48)/SUM(B$38:G$38)</f>
        <v>#DIV/0!</v>
      </c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</row>
    <row r="197" spans="1:20" s="11" customFormat="1" ht="15" customHeight="1" x14ac:dyDescent="0.2">
      <c r="A197" s="202" t="str">
        <f>A49</f>
        <v>Deferred Income Taxes</v>
      </c>
      <c r="B197" s="104">
        <f t="shared" si="69"/>
        <v>0.14347563759985132</v>
      </c>
      <c r="C197" s="251" t="e">
        <f t="shared" ca="1" si="69"/>
        <v>#DIV/0!</v>
      </c>
      <c r="D197" s="104" t="e">
        <f t="shared" ca="1" si="69"/>
        <v>#DIV/0!</v>
      </c>
      <c r="E197" s="104" t="e">
        <f t="shared" ca="1" si="69"/>
        <v>#DIV/0!</v>
      </c>
      <c r="F197" s="104" t="e">
        <f t="shared" ca="1" si="69"/>
        <v>#DIV/0!</v>
      </c>
      <c r="G197" s="104" t="e">
        <f t="shared" ca="1" si="69"/>
        <v>#DIV/0!</v>
      </c>
      <c r="H197" s="104" t="e">
        <f t="shared" ca="1" si="70"/>
        <v>#DIV/0!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</row>
    <row r="198" spans="1:20" s="11" customFormat="1" ht="15" customHeight="1" x14ac:dyDescent="0.2">
      <c r="A198" s="202" t="str">
        <f>A50</f>
        <v>Other Deferred Credits</v>
      </c>
      <c r="B198" s="104">
        <f t="shared" si="69"/>
        <v>4.4213181949670929E-2</v>
      </c>
      <c r="C198" s="251" t="e">
        <f t="shared" ca="1" si="69"/>
        <v>#DIV/0!</v>
      </c>
      <c r="D198" s="104" t="e">
        <f t="shared" ca="1" si="69"/>
        <v>#DIV/0!</v>
      </c>
      <c r="E198" s="104" t="e">
        <f t="shared" ca="1" si="69"/>
        <v>#DIV/0!</v>
      </c>
      <c r="F198" s="104" t="e">
        <f t="shared" ca="1" si="69"/>
        <v>#DIV/0!</v>
      </c>
      <c r="G198" s="104" t="e">
        <f t="shared" ca="1" si="69"/>
        <v>#DIV/0!</v>
      </c>
      <c r="H198" s="104" t="e">
        <f t="shared" ca="1" si="70"/>
        <v>#DIV/0!</v>
      </c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</row>
    <row r="199" spans="1:20" s="11" customFormat="1" ht="15" customHeight="1" x14ac:dyDescent="0.2">
      <c r="A199" s="202" t="str">
        <f>A51</f>
        <v>Additional Loans</v>
      </c>
      <c r="B199" s="192">
        <f t="shared" si="69"/>
        <v>0</v>
      </c>
      <c r="C199" s="252" t="e">
        <f t="shared" ca="1" si="69"/>
        <v>#DIV/0!</v>
      </c>
      <c r="D199" s="192" t="e">
        <f t="shared" ca="1" si="69"/>
        <v>#DIV/0!</v>
      </c>
      <c r="E199" s="192" t="e">
        <f t="shared" ca="1" si="69"/>
        <v>#DIV/0!</v>
      </c>
      <c r="F199" s="192" t="e">
        <f t="shared" ca="1" si="69"/>
        <v>#DIV/0!</v>
      </c>
      <c r="G199" s="192" t="e">
        <f t="shared" ca="1" si="69"/>
        <v>#DIV/0!</v>
      </c>
      <c r="H199" s="192" t="e">
        <f t="shared" ca="1" si="70"/>
        <v>#DIV/0!</v>
      </c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</row>
    <row r="200" spans="1:20" s="11" customFormat="1" ht="15" customHeight="1" x14ac:dyDescent="0.2">
      <c r="A200" s="202" t="str">
        <f>A52</f>
        <v>Total LTD &amp; Deferrals</v>
      </c>
      <c r="B200" s="104">
        <f t="shared" si="69"/>
        <v>0.70913231127243703</v>
      </c>
      <c r="C200" s="251" t="e">
        <f t="shared" ca="1" si="69"/>
        <v>#DIV/0!</v>
      </c>
      <c r="D200" s="104" t="e">
        <f t="shared" ca="1" si="69"/>
        <v>#DIV/0!</v>
      </c>
      <c r="E200" s="104" t="e">
        <f t="shared" ca="1" si="69"/>
        <v>#DIV/0!</v>
      </c>
      <c r="F200" s="104" t="e">
        <f t="shared" ca="1" si="69"/>
        <v>#DIV/0!</v>
      </c>
      <c r="G200" s="104" t="e">
        <f t="shared" ca="1" si="69"/>
        <v>#DIV/0!</v>
      </c>
      <c r="H200" s="104" t="e">
        <f t="shared" ca="1" si="70"/>
        <v>#DIV/0!</v>
      </c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</row>
    <row r="201" spans="1:20" s="11" customFormat="1" ht="15" customHeight="1" x14ac:dyDescent="0.2">
      <c r="A201" s="202"/>
      <c r="B201" s="186"/>
      <c r="C201" s="253"/>
      <c r="D201" s="186"/>
      <c r="E201" s="186"/>
      <c r="F201" s="186"/>
      <c r="G201" s="186"/>
      <c r="H201" s="94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</row>
    <row r="202" spans="1:20" s="11" customFormat="1" ht="15" customHeight="1" x14ac:dyDescent="0.2">
      <c r="A202" s="202" t="str">
        <f>A54</f>
        <v>Total Liabilities</v>
      </c>
      <c r="B202" s="104">
        <f>B54/B$38</f>
        <v>0.80043199561575307</v>
      </c>
      <c r="C202" s="251" t="e">
        <f t="shared" ref="C202:G202" ca="1" si="71">C54/C$38</f>
        <v>#DIV/0!</v>
      </c>
      <c r="D202" s="104" t="e">
        <f t="shared" ca="1" si="71"/>
        <v>#DIV/0!</v>
      </c>
      <c r="E202" s="104" t="e">
        <f t="shared" ca="1" si="71"/>
        <v>#DIV/0!</v>
      </c>
      <c r="F202" s="104" t="e">
        <f t="shared" ca="1" si="71"/>
        <v>#DIV/0!</v>
      </c>
      <c r="G202" s="104" t="e">
        <f t="shared" ca="1" si="71"/>
        <v>#DIV/0!</v>
      </c>
      <c r="H202" s="104" t="e">
        <f ca="1">SUM(B54:G54)/SUM(B$38:G$38)</f>
        <v>#DIV/0!</v>
      </c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s="11" customFormat="1" ht="15" customHeight="1" x14ac:dyDescent="0.2">
      <c r="A203" s="202"/>
      <c r="B203" s="186"/>
      <c r="C203" s="253"/>
      <c r="D203" s="186"/>
      <c r="E203" s="186"/>
      <c r="F203" s="186"/>
      <c r="G203" s="186"/>
      <c r="H203" s="94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</row>
    <row r="204" spans="1:20" s="11" customFormat="1" ht="15" customHeight="1" x14ac:dyDescent="0.2">
      <c r="A204" s="203" t="str">
        <f>A56</f>
        <v>Patronage Equity:</v>
      </c>
      <c r="B204" s="186"/>
      <c r="C204" s="253"/>
      <c r="D204" s="186"/>
      <c r="E204" s="186"/>
      <c r="F204" s="186"/>
      <c r="G204" s="186"/>
      <c r="H204" s="94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</row>
    <row r="205" spans="1:20" s="11" customFormat="1" ht="15" customHeight="1" x14ac:dyDescent="0.2">
      <c r="A205" s="202" t="str">
        <f>A57</f>
        <v>Patrons Capital</v>
      </c>
      <c r="B205" s="229">
        <f t="shared" ref="B205:G208" si="72">B57/B$38</f>
        <v>0.19956800438424691</v>
      </c>
      <c r="C205" s="257" t="e">
        <f t="shared" ca="1" si="72"/>
        <v>#DIV/0!</v>
      </c>
      <c r="D205" s="229" t="e">
        <f t="shared" ca="1" si="72"/>
        <v>#DIV/0!</v>
      </c>
      <c r="E205" s="229" t="e">
        <f t="shared" ca="1" si="72"/>
        <v>#DIV/0!</v>
      </c>
      <c r="F205" s="229" t="e">
        <f t="shared" ca="1" si="72"/>
        <v>#DIV/0!</v>
      </c>
      <c r="G205" s="229" t="e">
        <f t="shared" ca="1" si="72"/>
        <v>#DIV/0!</v>
      </c>
      <c r="H205" s="229" t="e">
        <f ca="1">SUM(B57:G57)/SUM(B$38:G$38)</f>
        <v>#DIV/0!</v>
      </c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</row>
    <row r="206" spans="1:20" s="11" customFormat="1" ht="15" customHeight="1" x14ac:dyDescent="0.2">
      <c r="A206" s="202" t="str">
        <f>A58</f>
        <v>Retained Earnings</v>
      </c>
      <c r="B206" s="192"/>
      <c r="C206" s="252"/>
      <c r="D206" s="192"/>
      <c r="E206" s="192"/>
      <c r="F206" s="192"/>
      <c r="G206" s="192"/>
      <c r="H206" s="156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</row>
    <row r="207" spans="1:20" s="11" customFormat="1" ht="15" customHeight="1" x14ac:dyDescent="0.2">
      <c r="A207" s="202" t="str">
        <f>A59</f>
        <v>Total Patronage Equity</v>
      </c>
      <c r="B207" s="104">
        <f t="shared" si="72"/>
        <v>0.19956800438424691</v>
      </c>
      <c r="C207" s="251" t="e">
        <f t="shared" ca="1" si="72"/>
        <v>#DIV/0!</v>
      </c>
      <c r="D207" s="104" t="e">
        <f t="shared" ca="1" si="72"/>
        <v>#DIV/0!</v>
      </c>
      <c r="E207" s="104" t="e">
        <f t="shared" ca="1" si="72"/>
        <v>#DIV/0!</v>
      </c>
      <c r="F207" s="104" t="e">
        <f t="shared" ca="1" si="72"/>
        <v>#DIV/0!</v>
      </c>
      <c r="G207" s="104" t="e">
        <f t="shared" ca="1" si="72"/>
        <v>#DIV/0!</v>
      </c>
      <c r="H207" s="104" t="e">
        <f t="shared" ref="H207:H208" ca="1" si="73">SUM(B59:G59)/SUM(B$38:G$38)</f>
        <v>#DIV/0!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</row>
    <row r="208" spans="1:20" s="11" customFormat="1" ht="15" customHeight="1" thickBot="1" x14ac:dyDescent="0.25">
      <c r="A208" s="202" t="str">
        <f>A60</f>
        <v>Total Liabilities &amp; Equity</v>
      </c>
      <c r="B208" s="193">
        <f t="shared" si="72"/>
        <v>1</v>
      </c>
      <c r="C208" s="255" t="e">
        <f t="shared" ca="1" si="72"/>
        <v>#DIV/0!</v>
      </c>
      <c r="D208" s="193" t="e">
        <f t="shared" ca="1" si="72"/>
        <v>#DIV/0!</v>
      </c>
      <c r="E208" s="193" t="e">
        <f t="shared" ca="1" si="72"/>
        <v>#DIV/0!</v>
      </c>
      <c r="F208" s="193" t="e">
        <f t="shared" ca="1" si="72"/>
        <v>#DIV/0!</v>
      </c>
      <c r="G208" s="193" t="e">
        <f t="shared" ca="1" si="72"/>
        <v>#DIV/0!</v>
      </c>
      <c r="H208" s="193" t="e">
        <f t="shared" ca="1" si="73"/>
        <v>#DIV/0!</v>
      </c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</row>
    <row r="209" spans="1:20" s="11" customFormat="1" ht="15" customHeight="1" thickTop="1" x14ac:dyDescent="0.2">
      <c r="A209" s="188"/>
      <c r="B209" s="66"/>
      <c r="C209" s="39"/>
      <c r="D209" s="39"/>
      <c r="E209" s="39"/>
      <c r="F209" s="39"/>
      <c r="G209" s="39"/>
      <c r="H209" s="7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</row>
    <row r="210" spans="1:20" s="11" customFormat="1" ht="15" customHeight="1" x14ac:dyDescent="0.2">
      <c r="A210" s="188"/>
      <c r="B210" s="66"/>
      <c r="C210" s="39"/>
      <c r="D210" s="39"/>
      <c r="E210" s="39"/>
      <c r="F210" s="39"/>
      <c r="G210" s="39"/>
      <c r="H210" s="7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</row>
    <row r="211" spans="1:20" s="11" customFormat="1" ht="15" customHeight="1" x14ac:dyDescent="0.2">
      <c r="B211" s="66"/>
      <c r="H211" s="67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</row>
    <row r="212" spans="1:20" s="11" customFormat="1" ht="15" customHeight="1" x14ac:dyDescent="0.2">
      <c r="B212" s="66"/>
      <c r="H212" s="73" t="str">
        <f>H151</f>
        <v>Exhibit 2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</row>
    <row r="213" spans="1:20" s="11" customFormat="1" ht="15" customHeight="1" x14ac:dyDescent="0.2">
      <c r="B213" s="66"/>
      <c r="H213" s="73" t="s">
        <v>103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</row>
    <row r="214" spans="1:20" s="11" customFormat="1" ht="15" customHeight="1" x14ac:dyDescent="0.25">
      <c r="A214" s="269" t="str">
        <f>Assumptions!D3</f>
        <v>Deseret Generation &amp; Transmission</v>
      </c>
      <c r="B214" s="269"/>
      <c r="C214" s="269"/>
      <c r="D214" s="269"/>
      <c r="E214" s="269"/>
      <c r="F214" s="269"/>
      <c r="G214" s="269"/>
      <c r="H214" s="269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</row>
    <row r="215" spans="1:20" s="11" customFormat="1" ht="15" customHeight="1" x14ac:dyDescent="0.25">
      <c r="A215" s="273" t="s">
        <v>186</v>
      </c>
      <c r="B215" s="273"/>
      <c r="C215" s="273"/>
      <c r="D215" s="273"/>
      <c r="E215" s="273"/>
      <c r="F215" s="273"/>
      <c r="G215" s="273"/>
      <c r="H215" s="273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</row>
    <row r="216" spans="1:20" s="11" customFormat="1" ht="15" customHeight="1" x14ac:dyDescent="0.2">
      <c r="B216" s="66"/>
      <c r="H216" s="67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</row>
    <row r="217" spans="1:20" s="11" customFormat="1" ht="15" customHeight="1" x14ac:dyDescent="0.2">
      <c r="B217" s="66"/>
      <c r="H217" s="67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</row>
    <row r="218" spans="1:20" s="11" customFormat="1" ht="15" customHeight="1" x14ac:dyDescent="0.2">
      <c r="B218" s="158" t="s">
        <v>16</v>
      </c>
      <c r="C218" s="91" t="s">
        <v>57</v>
      </c>
      <c r="D218" s="91" t="s">
        <v>57</v>
      </c>
      <c r="E218" s="91" t="s">
        <v>57</v>
      </c>
      <c r="F218" s="91" t="s">
        <v>57</v>
      </c>
      <c r="G218" s="91" t="s">
        <v>57</v>
      </c>
      <c r="H218" s="91" t="s">
        <v>57</v>
      </c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</row>
    <row r="219" spans="1:20" s="11" customFormat="1" ht="15" customHeight="1" x14ac:dyDescent="0.2">
      <c r="A219" s="207" t="s">
        <v>33</v>
      </c>
      <c r="B219" s="206" t="s">
        <v>90</v>
      </c>
      <c r="C219" s="163">
        <f>C10</f>
        <v>2016</v>
      </c>
      <c r="D219" s="163">
        <f>D10</f>
        <v>2017</v>
      </c>
      <c r="E219" s="163">
        <f t="shared" ref="E219:G219" si="74">E10</f>
        <v>2018</v>
      </c>
      <c r="F219" s="163">
        <f t="shared" si="74"/>
        <v>2019</v>
      </c>
      <c r="G219" s="163">
        <f t="shared" si="74"/>
        <v>2020</v>
      </c>
      <c r="H219" s="170" t="s">
        <v>3</v>
      </c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</row>
    <row r="220" spans="1:20" s="11" customFormat="1" ht="15" customHeight="1" x14ac:dyDescent="0.2">
      <c r="A220" s="81"/>
      <c r="B220" s="159"/>
      <c r="C220" s="92"/>
      <c r="D220" s="92"/>
      <c r="E220" s="92"/>
      <c r="F220" s="92"/>
      <c r="G220" s="92"/>
      <c r="H220" s="171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</row>
    <row r="221" spans="1:20" s="11" customFormat="1" ht="15" customHeight="1" x14ac:dyDescent="0.2">
      <c r="A221" s="78" t="s">
        <v>41</v>
      </c>
      <c r="B221" s="159"/>
      <c r="C221" s="90"/>
      <c r="D221" s="90"/>
      <c r="E221" s="90"/>
      <c r="F221" s="90"/>
      <c r="G221" s="37"/>
      <c r="H221" s="90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</row>
    <row r="222" spans="1:20" s="11" customFormat="1" ht="15" customHeight="1" x14ac:dyDescent="0.2">
      <c r="A222" s="37" t="s">
        <v>6</v>
      </c>
      <c r="B222" s="210">
        <f>'Exhibit 1'!O113</f>
        <v>4.0153360100930389</v>
      </c>
      <c r="C222" s="90" t="e">
        <f ca="1">C20/C46</f>
        <v>#DIV/0!</v>
      </c>
      <c r="D222" s="90" t="e">
        <f ca="1">D20/D46</f>
        <v>#DIV/0!</v>
      </c>
      <c r="E222" s="90" t="e">
        <f ca="1">E20/E46</f>
        <v>#DIV/0!</v>
      </c>
      <c r="F222" s="90" t="e">
        <f ca="1">F20/F46</f>
        <v>#DIV/0!</v>
      </c>
      <c r="G222" s="90" t="e">
        <f ca="1">G20/G46</f>
        <v>#DIV/0!</v>
      </c>
      <c r="H222" s="90" t="e">
        <f ca="1">AVERAGE(C222:G222)</f>
        <v>#DIV/0!</v>
      </c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</row>
    <row r="223" spans="1:20" s="11" customFormat="1" ht="15" customHeight="1" x14ac:dyDescent="0.2">
      <c r="A223" s="37" t="s">
        <v>32</v>
      </c>
      <c r="B223" s="210">
        <f>'Exhibit 1'!O114</f>
        <v>1.2880720559937697</v>
      </c>
      <c r="C223" s="90" t="e">
        <f ca="1">(C13+C15+C16)/C46</f>
        <v>#DIV/0!</v>
      </c>
      <c r="D223" s="90" t="e">
        <f ca="1">(D13+D15+D16)/D46</f>
        <v>#DIV/0!</v>
      </c>
      <c r="E223" s="90" t="e">
        <f ca="1">(E13+E15+E16)/E46</f>
        <v>#DIV/0!</v>
      </c>
      <c r="F223" s="90" t="e">
        <f ca="1">(F13+F15+F16)/F46</f>
        <v>#DIV/0!</v>
      </c>
      <c r="G223" s="90" t="e">
        <f ca="1">(G13+G15+G16)/G46</f>
        <v>#DIV/0!</v>
      </c>
      <c r="H223" s="90" t="e">
        <f ca="1">AVERAGE(C223:G223)</f>
        <v>#DIV/0!</v>
      </c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</row>
    <row r="224" spans="1:20" s="11" customFormat="1" ht="15" customHeight="1" x14ac:dyDescent="0.2">
      <c r="A224" s="37" t="s">
        <v>9</v>
      </c>
      <c r="B224" s="210">
        <f>'Exhibit 1'!O115</f>
        <v>48.745964187821414</v>
      </c>
      <c r="C224" s="90" t="e">
        <f ca="1">365*(((B17+C16)/2)/((C76+B76)/2))</f>
        <v>#DIV/0!</v>
      </c>
      <c r="D224" s="90" t="e">
        <f ca="1">365*(((C16+D16)/2)/((D76+C76)/2))</f>
        <v>#DIV/0!</v>
      </c>
      <c r="E224" s="90" t="e">
        <f ca="1">365*(((D16+E16)/2)/((E76+D76)/2))</f>
        <v>#DIV/0!</v>
      </c>
      <c r="F224" s="90" t="e">
        <f ca="1">365*(((E16+F16)/2)/((F76+E76)/2))</f>
        <v>#DIV/0!</v>
      </c>
      <c r="G224" s="90" t="e">
        <f ca="1">365*(((F16+G16)/2)/((G76+F76)/2))</f>
        <v>#DIV/0!</v>
      </c>
      <c r="H224" s="90" t="e">
        <f ca="1">AVERAGE(C224:G224)</f>
        <v>#DIV/0!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</row>
    <row r="225" spans="1:20" s="11" customFormat="1" ht="15" customHeight="1" x14ac:dyDescent="0.2">
      <c r="A225" s="37"/>
      <c r="B225" s="159"/>
      <c r="C225" s="90"/>
      <c r="D225" s="90"/>
      <c r="E225" s="90"/>
      <c r="F225" s="90"/>
      <c r="G225" s="90"/>
      <c r="H225" s="90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</row>
    <row r="226" spans="1:20" s="11" customFormat="1" ht="15" customHeight="1" x14ac:dyDescent="0.2">
      <c r="A226" s="78" t="s">
        <v>21</v>
      </c>
      <c r="B226" s="159"/>
      <c r="C226" s="90"/>
      <c r="D226" s="90"/>
      <c r="E226" s="90"/>
      <c r="F226" s="90"/>
      <c r="G226" s="90"/>
      <c r="H226" s="90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</row>
    <row r="227" spans="1:20" s="11" customFormat="1" ht="15" customHeight="1" x14ac:dyDescent="0.2">
      <c r="A227" s="37" t="s">
        <v>25</v>
      </c>
      <c r="B227" s="210">
        <f>'Exhibit 1'!O118</f>
        <v>0.21883047770190894</v>
      </c>
      <c r="C227" s="90" t="e">
        <f ca="1">C59/C54</f>
        <v>#DIV/0!</v>
      </c>
      <c r="D227" s="90" t="e">
        <f ca="1">D59/D54</f>
        <v>#DIV/0!</v>
      </c>
      <c r="E227" s="90" t="e">
        <f ca="1">E59/E54</f>
        <v>#DIV/0!</v>
      </c>
      <c r="F227" s="90" t="e">
        <f ca="1">F59/F54</f>
        <v>#DIV/0!</v>
      </c>
      <c r="G227" s="90" t="e">
        <f ca="1">G59/G54</f>
        <v>#DIV/0!</v>
      </c>
      <c r="H227" s="90" t="e">
        <f ca="1">AVERAGE(C227:G227)</f>
        <v>#DIV/0!</v>
      </c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</row>
    <row r="228" spans="1:20" s="11" customFormat="1" ht="15" customHeight="1" x14ac:dyDescent="0.2">
      <c r="A228" s="37" t="s">
        <v>24</v>
      </c>
      <c r="B228" s="210">
        <f>'Exhibit 1'!O119</f>
        <v>0.24466044230959128</v>
      </c>
      <c r="C228" s="90" t="e">
        <f ca="1">C59/C52</f>
        <v>#DIV/0!</v>
      </c>
      <c r="D228" s="90" t="e">
        <f ca="1">D59/D52</f>
        <v>#DIV/0!</v>
      </c>
      <c r="E228" s="90" t="e">
        <f ca="1">E59/E52</f>
        <v>#DIV/0!</v>
      </c>
      <c r="F228" s="90" t="e">
        <f ca="1">F59/F52</f>
        <v>#DIV/0!</v>
      </c>
      <c r="G228" s="90" t="e">
        <f ca="1">G59/G52</f>
        <v>#DIV/0!</v>
      </c>
      <c r="H228" s="90" t="e">
        <f ca="1">AVERAGE(C228:G228)</f>
        <v>#DIV/0!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</row>
    <row r="229" spans="1:20" s="11" customFormat="1" ht="15" customHeight="1" x14ac:dyDescent="0.2">
      <c r="A229" s="37" t="s">
        <v>23</v>
      </c>
      <c r="B229" s="210">
        <f>'Exhibit 1'!O120</f>
        <v>0.38560335799988649</v>
      </c>
      <c r="C229" s="90" t="e">
        <f ca="1">C59/C30</f>
        <v>#DIV/0!</v>
      </c>
      <c r="D229" s="90" t="e">
        <f ca="1">D59/D30</f>
        <v>#DIV/0!</v>
      </c>
      <c r="E229" s="90" t="e">
        <f ca="1">E59/E30</f>
        <v>#DIV/0!</v>
      </c>
      <c r="F229" s="90" t="e">
        <f ca="1">F59/F30</f>
        <v>#DIV/0!</v>
      </c>
      <c r="G229" s="90" t="e">
        <f ca="1">G59/G30</f>
        <v>#DIV/0!</v>
      </c>
      <c r="H229" s="90" t="e">
        <f ca="1">AVERAGE(C229:G229)</f>
        <v>#DIV/0!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</row>
    <row r="230" spans="1:20" s="11" customFormat="1" ht="15" customHeight="1" x14ac:dyDescent="0.2">
      <c r="A230" s="37" t="s">
        <v>43</v>
      </c>
      <c r="B230" s="210">
        <f>'Exhibit 1'!O121</f>
        <v>0.91584852883044976</v>
      </c>
      <c r="C230" s="90" t="e">
        <f ca="1">(C99+C91+C92)/(C91+C92)</f>
        <v>#DIV/0!</v>
      </c>
      <c r="D230" s="90" t="e">
        <f ca="1">(D99+D91+D92)/(D91+D92)</f>
        <v>#DIV/0!</v>
      </c>
      <c r="E230" s="90" t="e">
        <f t="shared" ref="E230:G230" ca="1" si="75">(E99+E91+E92)/(E91+E92)</f>
        <v>#DIV/0!</v>
      </c>
      <c r="F230" s="90" t="e">
        <f t="shared" ca="1" si="75"/>
        <v>#DIV/0!</v>
      </c>
      <c r="G230" s="90" t="e">
        <f t="shared" ca="1" si="75"/>
        <v>#DIV/0!</v>
      </c>
      <c r="H230" s="90" t="e">
        <f ca="1">AVERAGE(C230:G230)</f>
        <v>#DIV/0!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</row>
    <row r="231" spans="1:20" s="11" customFormat="1" ht="15" customHeight="1" x14ac:dyDescent="0.2">
      <c r="A231" s="37"/>
      <c r="B231" s="159"/>
      <c r="C231" s="23"/>
      <c r="D231" s="23"/>
      <c r="E231" s="23"/>
      <c r="F231" s="23"/>
      <c r="G231" s="23"/>
      <c r="H231" s="90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</row>
    <row r="232" spans="1:20" s="11" customFormat="1" ht="15" customHeight="1" x14ac:dyDescent="0.2">
      <c r="A232" s="78" t="s">
        <v>74</v>
      </c>
      <c r="B232" s="159"/>
      <c r="C232" s="23"/>
      <c r="D232" s="23"/>
      <c r="E232" s="23"/>
      <c r="F232" s="23"/>
      <c r="G232" s="23"/>
      <c r="H232" s="90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</row>
    <row r="233" spans="1:20" s="11" customFormat="1" ht="15" customHeight="1" x14ac:dyDescent="0.2">
      <c r="A233" s="37" t="str">
        <f>'Exhibit 1'!A124</f>
        <v>Gross Margin</v>
      </c>
      <c r="B233" s="211">
        <f>'Exhibit 1'!O124</f>
        <v>6.9996522031290032E-2</v>
      </c>
      <c r="C233" s="104">
        <f>C89/C76</f>
        <v>0.10641586160380484</v>
      </c>
      <c r="D233" s="104">
        <f t="shared" ref="D233:G233" si="76">D89/D76</f>
        <v>0.12872082091024478</v>
      </c>
      <c r="E233" s="104">
        <f t="shared" si="76"/>
        <v>0.12457595540605888</v>
      </c>
      <c r="F233" s="104">
        <f t="shared" si="76"/>
        <v>0.10530973944087219</v>
      </c>
      <c r="G233" s="104">
        <f t="shared" si="76"/>
        <v>0.12890007291851466</v>
      </c>
      <c r="H233" s="104">
        <f>AVERAGE(C233:G233)</f>
        <v>0.11878449005589906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</row>
    <row r="234" spans="1:20" s="11" customFormat="1" ht="15" customHeight="1" x14ac:dyDescent="0.2">
      <c r="A234" s="37" t="str">
        <f>'Exhibit 1'!A125</f>
        <v>Net Margin</v>
      </c>
      <c r="B234" s="211">
        <f>'Exhibit 1'!O125</f>
        <v>-1.1885176026208946E-2</v>
      </c>
      <c r="C234" s="104" t="e">
        <f ca="1">C102/C76</f>
        <v>#DIV/0!</v>
      </c>
      <c r="D234" s="104" t="e">
        <f t="shared" ref="D234:G234" ca="1" si="77">D102/D76</f>
        <v>#DIV/0!</v>
      </c>
      <c r="E234" s="104" t="e">
        <f t="shared" ca="1" si="77"/>
        <v>#DIV/0!</v>
      </c>
      <c r="F234" s="104" t="e">
        <f t="shared" ca="1" si="77"/>
        <v>#DIV/0!</v>
      </c>
      <c r="G234" s="104" t="e">
        <f t="shared" ca="1" si="77"/>
        <v>#DIV/0!</v>
      </c>
      <c r="H234" s="104" t="e">
        <f t="shared" ref="H234:H235" ca="1" si="78">AVERAGE(C234:G234)</f>
        <v>#DIV/0!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</row>
    <row r="235" spans="1:20" s="11" customFormat="1" ht="15" customHeight="1" x14ac:dyDescent="0.2">
      <c r="A235" s="37" t="s">
        <v>35</v>
      </c>
      <c r="B235" s="211">
        <f>'Exhibit 1'!O126</f>
        <v>6.565905939902103E-2</v>
      </c>
      <c r="C235" s="67" t="e">
        <f ca="1">(C102+((C91+C92)*(1-(C101/C99))))/((B38+C38)/2)</f>
        <v>#DIV/0!</v>
      </c>
      <c r="D235" s="67" t="e">
        <f t="shared" ref="D235:G235" ca="1" si="79">(D102+((D91+D92)*(1-(D101/D99))))/((C38+D38)/2)</f>
        <v>#DIV/0!</v>
      </c>
      <c r="E235" s="67" t="e">
        <f t="shared" ca="1" si="79"/>
        <v>#DIV/0!</v>
      </c>
      <c r="F235" s="67" t="e">
        <f t="shared" ca="1" si="79"/>
        <v>#DIV/0!</v>
      </c>
      <c r="G235" s="67" t="e">
        <f t="shared" ca="1" si="79"/>
        <v>#DIV/0!</v>
      </c>
      <c r="H235" s="104" t="e">
        <f t="shared" ca="1" si="78"/>
        <v>#DIV/0!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</row>
    <row r="236" spans="1:20" s="11" customFormat="1" ht="15" customHeight="1" x14ac:dyDescent="0.2">
      <c r="A236" s="37" t="s">
        <v>73</v>
      </c>
      <c r="B236" s="211">
        <f>'Exhibit 1'!O127</f>
        <v>8.4669826927572758E-2</v>
      </c>
      <c r="C236" s="67" t="e">
        <f ca="1">(C102+((C92+C91)*(1-(C101/C99))))/((B48+B51+B57+C48+C51+C57)/2)</f>
        <v>#DIV/0!</v>
      </c>
      <c r="D236" s="67" t="e">
        <f t="shared" ref="D236:G236" ca="1" si="80">(D102+((D92+D91)*(1-(D101/D99))))/((C48+C51+C57+D48+D51+D57)/2)</f>
        <v>#DIV/0!</v>
      </c>
      <c r="E236" s="67" t="e">
        <f t="shared" ca="1" si="80"/>
        <v>#DIV/0!</v>
      </c>
      <c r="F236" s="67" t="e">
        <f t="shared" ca="1" si="80"/>
        <v>#DIV/0!</v>
      </c>
      <c r="G236" s="67" t="e">
        <f t="shared" ca="1" si="80"/>
        <v>#DIV/0!</v>
      </c>
      <c r="H236" s="67" t="e">
        <f ca="1">AVERAGE(C236:G236)</f>
        <v>#DIV/0!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</row>
    <row r="237" spans="1:20" s="11" customFormat="1" ht="15" customHeight="1" x14ac:dyDescent="0.2">
      <c r="A237" s="37" t="s">
        <v>72</v>
      </c>
      <c r="B237" s="211">
        <f>'Exhibit 1'!O128</f>
        <v>-3.348749001149201E-2</v>
      </c>
      <c r="C237" s="67" t="e">
        <f ca="1">(C102-C104)/((C59+B59)/2)</f>
        <v>#DIV/0!</v>
      </c>
      <c r="D237" s="67" t="e">
        <f ca="1">(D102-D104)/((D59+C59)/2)</f>
        <v>#DIV/0!</v>
      </c>
      <c r="E237" s="67" t="e">
        <f ca="1">(E102-E104)/((E59+D59)/2)</f>
        <v>#DIV/0!</v>
      </c>
      <c r="F237" s="67" t="e">
        <f ca="1">(F102-F104)/((F59+E59)/2)</f>
        <v>#DIV/0!</v>
      </c>
      <c r="G237" s="67" t="e">
        <f ca="1">(G102-G104)/((G59+F59)/2)</f>
        <v>#DIV/0!</v>
      </c>
      <c r="H237" s="67" t="e">
        <f ca="1">AVERAGE(C237:G237)</f>
        <v>#DIV/0!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</row>
    <row r="238" spans="1:20" s="11" customFormat="1" ht="15" customHeight="1" x14ac:dyDescent="0.2">
      <c r="A238" s="37"/>
      <c r="B238" s="159"/>
      <c r="C238" s="23"/>
      <c r="D238" s="23"/>
      <c r="E238" s="23"/>
      <c r="F238" s="23"/>
      <c r="G238" s="23"/>
      <c r="H238" s="90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</row>
    <row r="239" spans="1:20" s="11" customFormat="1" ht="15" customHeight="1" x14ac:dyDescent="0.2">
      <c r="A239" s="78" t="s">
        <v>2</v>
      </c>
      <c r="B239" s="159"/>
      <c r="C239" s="23"/>
      <c r="D239" s="23"/>
      <c r="E239" s="23"/>
      <c r="F239" s="23"/>
      <c r="G239" s="23"/>
      <c r="H239" s="90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</row>
    <row r="240" spans="1:20" s="11" customFormat="1" ht="15" customHeight="1" x14ac:dyDescent="0.2">
      <c r="A240" s="37" t="s">
        <v>37</v>
      </c>
      <c r="B240" s="212">
        <f>'Exhibit 1'!O131</f>
        <v>20.25360253982327</v>
      </c>
      <c r="C240" s="90" t="e">
        <f ca="1">C76/((C13+C15+B13+B15)/2)</f>
        <v>#DIV/0!</v>
      </c>
      <c r="D240" s="90" t="e">
        <f ca="1">D76/((D13+D15+C13+C15)/2)</f>
        <v>#DIV/0!</v>
      </c>
      <c r="E240" s="90" t="e">
        <f t="shared" ref="E240:G240" ca="1" si="81">E76/((E13+E15+D13+D15)/2)</f>
        <v>#DIV/0!</v>
      </c>
      <c r="F240" s="90" t="e">
        <f t="shared" ca="1" si="81"/>
        <v>#DIV/0!</v>
      </c>
      <c r="G240" s="90" t="e">
        <f t="shared" ca="1" si="81"/>
        <v>#DIV/0!</v>
      </c>
      <c r="H240" s="90" t="e">
        <f ca="1">AVERAGE(C240:G240)</f>
        <v>#DIV/0!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</row>
    <row r="241" spans="1:20" s="11" customFormat="1" ht="15" customHeight="1" x14ac:dyDescent="0.2">
      <c r="A241" s="37" t="s">
        <v>36</v>
      </c>
      <c r="B241" s="212">
        <f>'Exhibit 1'!O132</f>
        <v>7.495012569782868</v>
      </c>
      <c r="C241" s="90" t="e">
        <f ca="1">C76/((B16+C16)/2)</f>
        <v>#DIV/0!</v>
      </c>
      <c r="D241" s="90" t="e">
        <f t="shared" ref="D241:G241" ca="1" si="82">D76/((C16+D16)/2)</f>
        <v>#DIV/0!</v>
      </c>
      <c r="E241" s="90" t="e">
        <f t="shared" ca="1" si="82"/>
        <v>#DIV/0!</v>
      </c>
      <c r="F241" s="90" t="e">
        <f t="shared" ca="1" si="82"/>
        <v>#DIV/0!</v>
      </c>
      <c r="G241" s="90" t="e">
        <f t="shared" ca="1" si="82"/>
        <v>#DIV/0!</v>
      </c>
      <c r="H241" s="90" t="e">
        <f ca="1">AVERAGE(C241:G241)</f>
        <v>#DIV/0!</v>
      </c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</row>
    <row r="242" spans="1:20" s="11" customFormat="1" ht="15" customHeight="1" x14ac:dyDescent="0.2">
      <c r="A242" s="37" t="s">
        <v>40</v>
      </c>
      <c r="B242" s="210">
        <f>'Exhibit 1'!O133</f>
        <v>2.6819744845287277</v>
      </c>
      <c r="C242" s="90" t="e">
        <f ca="1">C76/((B20+C20-B46-C46)/2)</f>
        <v>#DIV/0!</v>
      </c>
      <c r="D242" s="90" t="e">
        <f ca="1">D76/((C20+D20-C46-D46)/2)</f>
        <v>#DIV/0!</v>
      </c>
      <c r="E242" s="90" t="e">
        <f ca="1">E76/((D20+E20-D46-E46)/2)</f>
        <v>#DIV/0!</v>
      </c>
      <c r="F242" s="90" t="e">
        <f ca="1">F76/((E20+F20-E46-F46)/2)</f>
        <v>#DIV/0!</v>
      </c>
      <c r="G242" s="90" t="e">
        <f ca="1">G76/((F20+G20-F46-G46)/2)</f>
        <v>#DIV/0!</v>
      </c>
      <c r="H242" s="90" t="e">
        <f ca="1">AVERAGE(C242:G242)</f>
        <v>#DIV/0!</v>
      </c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</row>
    <row r="243" spans="1:20" s="11" customFormat="1" ht="15" customHeight="1" x14ac:dyDescent="0.2">
      <c r="A243" s="37" t="s">
        <v>38</v>
      </c>
      <c r="B243" s="210">
        <f>'Exhibit 1'!O134</f>
        <v>1.0990662599830237</v>
      </c>
      <c r="C243" s="90">
        <f>C76/((B30+C30)/2)</f>
        <v>1.4692879357076591</v>
      </c>
      <c r="D243" s="90">
        <f>D76/((C30+D30)/2)</f>
        <v>1.401067190357193</v>
      </c>
      <c r="E243" s="90">
        <f>E76/((D30+E30)/2)</f>
        <v>1.3827963019470328</v>
      </c>
      <c r="F243" s="90">
        <f>F76/((E30+F30)/2)</f>
        <v>1.3794020533535662</v>
      </c>
      <c r="G243" s="90">
        <f>G76/((F30+G30)/2)</f>
        <v>1.3897066089415373</v>
      </c>
      <c r="H243" s="90">
        <f>AVERAGE(C243:G243)</f>
        <v>1.4044520180613975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11" customFormat="1" ht="15" customHeight="1" x14ac:dyDescent="0.2">
      <c r="A244" s="37" t="s">
        <v>39</v>
      </c>
      <c r="B244" s="210">
        <f>'Exhibit 1'!O135</f>
        <v>0.52099138170695658</v>
      </c>
      <c r="C244" s="90" t="e">
        <f ca="1">C76/((B38+C38)/2)</f>
        <v>#DIV/0!</v>
      </c>
      <c r="D244" s="90" t="e">
        <f t="shared" ref="D244:G244" ca="1" si="83">D76/((C38+D38)/2)</f>
        <v>#DIV/0!</v>
      </c>
      <c r="E244" s="90" t="e">
        <f t="shared" ca="1" si="83"/>
        <v>#DIV/0!</v>
      </c>
      <c r="F244" s="90" t="e">
        <f t="shared" ca="1" si="83"/>
        <v>#DIV/0!</v>
      </c>
      <c r="G244" s="90" t="e">
        <f t="shared" ca="1" si="83"/>
        <v>#DIV/0!</v>
      </c>
      <c r="H244" s="90" t="e">
        <f ca="1">AVERAGE(C244:G244)</f>
        <v>#DIV/0!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s="11" customFormat="1" ht="15" customHeight="1" x14ac:dyDescent="0.2">
      <c r="A245" s="37"/>
      <c r="B245" s="159"/>
      <c r="H245" s="67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</row>
    <row r="246" spans="1:20" s="11" customFormat="1" ht="15" customHeight="1" x14ac:dyDescent="0.2">
      <c r="A246" s="78" t="s">
        <v>75</v>
      </c>
      <c r="B246" s="159"/>
      <c r="H246" s="67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</row>
    <row r="247" spans="1:20" s="11" customFormat="1" ht="15" customHeight="1" x14ac:dyDescent="0.2">
      <c r="A247" s="37" t="s">
        <v>76</v>
      </c>
      <c r="B247" s="159"/>
      <c r="C247" s="17"/>
      <c r="H247" s="67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</row>
    <row r="248" spans="1:20" s="11" customFormat="1" ht="15" customHeight="1" x14ac:dyDescent="0.2">
      <c r="A248" s="37" t="s">
        <v>78</v>
      </c>
      <c r="B248" s="159"/>
      <c r="H248" s="67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</row>
    <row r="249" spans="1:20" s="11" customFormat="1" ht="15" customHeight="1" x14ac:dyDescent="0.2">
      <c r="A249" s="37" t="s">
        <v>77</v>
      </c>
      <c r="B249" s="159"/>
      <c r="H249" s="67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</row>
    <row r="250" spans="1:20" s="11" customFormat="1" ht="15" customHeight="1" x14ac:dyDescent="0.2">
      <c r="A250" s="37"/>
      <c r="B250" s="159"/>
      <c r="H250" s="67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</row>
    <row r="251" spans="1:20" s="11" customFormat="1" ht="15" customHeight="1" x14ac:dyDescent="0.2">
      <c r="A251" s="78" t="s">
        <v>91</v>
      </c>
      <c r="B251" s="159"/>
      <c r="H251" s="67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</row>
    <row r="252" spans="1:20" s="11" customFormat="1" ht="15" customHeight="1" x14ac:dyDescent="0.2">
      <c r="A252" s="37" t="s">
        <v>67</v>
      </c>
      <c r="B252" s="211">
        <f>'Exhibit 1'!O143</f>
        <v>0.76207992728968199</v>
      </c>
      <c r="C252" s="67" t="e">
        <f ca="1">(C42+C48+C51)/(C42+C48+C51+C59)</f>
        <v>#DIV/0!</v>
      </c>
      <c r="D252" s="67" t="e">
        <f ca="1">(D42+D48+D51)/(D42+D48+D51+D59)</f>
        <v>#DIV/0!</v>
      </c>
      <c r="E252" s="67" t="e">
        <f ca="1">(E42+E48+E51)/(E42+E48+E51+E59)</f>
        <v>#DIV/0!</v>
      </c>
      <c r="F252" s="67" t="e">
        <f ca="1">(F42+F48+F51)/(F42+F48+F51+F59)</f>
        <v>#DIV/0!</v>
      </c>
      <c r="G252" s="67" t="e">
        <f ca="1">(G42+G48+G51)/(G42+G48+G51+G59)</f>
        <v>#DIV/0!</v>
      </c>
      <c r="H252" s="67" t="e">
        <f ca="1">AVERAGE(C252:G252)</f>
        <v>#DIV/0!</v>
      </c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</row>
    <row r="253" spans="1:20" s="11" customFormat="1" ht="15" customHeight="1" x14ac:dyDescent="0.2">
      <c r="A253" s="37" t="s">
        <v>92</v>
      </c>
      <c r="B253" s="211">
        <f>'Exhibit 1'!O144</f>
        <v>0.23792007271031812</v>
      </c>
      <c r="C253" s="67" t="e">
        <f ca="1">C59/(C42+C48+C51+C59)</f>
        <v>#DIV/0!</v>
      </c>
      <c r="D253" s="67" t="e">
        <f ca="1">D59/(D42+D48+D51+D59)</f>
        <v>#DIV/0!</v>
      </c>
      <c r="E253" s="67" t="e">
        <f ca="1">E59/(E42+E48+E51+E59)</f>
        <v>#DIV/0!</v>
      </c>
      <c r="F253" s="67" t="e">
        <f ca="1">F59/(F42+F48+F51+F59)</f>
        <v>#DIV/0!</v>
      </c>
      <c r="G253" s="67" t="e">
        <f ca="1">G59/(G42+G48+G51+G59)</f>
        <v>#DIV/0!</v>
      </c>
      <c r="H253" s="67" t="e">
        <f ca="1">AVERAGE(C253:G253)</f>
        <v>#DIV/0!</v>
      </c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</row>
    <row r="254" spans="1:20" s="11" customFormat="1" ht="15" customHeight="1" x14ac:dyDescent="0.2">
      <c r="A254" s="37"/>
      <c r="B254" s="211"/>
      <c r="C254" s="67"/>
      <c r="D254" s="37"/>
      <c r="E254" s="37"/>
      <c r="F254" s="37"/>
      <c r="G254" s="37"/>
      <c r="H254" s="67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</row>
    <row r="255" spans="1:20" s="11" customFormat="1" ht="15" customHeight="1" x14ac:dyDescent="0.2">
      <c r="A255" s="78" t="s">
        <v>93</v>
      </c>
      <c r="B255" s="211"/>
      <c r="C255" s="37"/>
      <c r="D255" s="37"/>
      <c r="E255" s="37"/>
      <c r="F255" s="37"/>
      <c r="G255" s="37"/>
      <c r="H255" s="67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</row>
    <row r="256" spans="1:20" s="11" customFormat="1" ht="15" customHeight="1" x14ac:dyDescent="0.2">
      <c r="A256" s="37" t="s">
        <v>94</v>
      </c>
      <c r="B256" s="211">
        <f>'Exhibit 1'!O147</f>
        <v>0</v>
      </c>
      <c r="C256" s="67" t="e">
        <f ca="1">C42/(C42+C48+C59)</f>
        <v>#DIV/0!</v>
      </c>
      <c r="D256" s="67" t="e">
        <f ca="1">D42/(D42+D48+D59)</f>
        <v>#DIV/0!</v>
      </c>
      <c r="E256" s="67" t="e">
        <f ca="1">E42/(E42+E48+E59)</f>
        <v>#DIV/0!</v>
      </c>
      <c r="F256" s="67" t="e">
        <f ca="1">F42/(F42+F48+F59)</f>
        <v>#DIV/0!</v>
      </c>
      <c r="G256" s="67" t="e">
        <f ca="1">G42/(G42+G48+G59)</f>
        <v>#DIV/0!</v>
      </c>
      <c r="H256" s="67" t="e">
        <f ca="1">AVERAGE(C256:G256)</f>
        <v>#DIV/0!</v>
      </c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</row>
    <row r="257" spans="1:20" s="11" customFormat="1" ht="15" customHeight="1" x14ac:dyDescent="0.2">
      <c r="A257" s="37" t="s">
        <v>67</v>
      </c>
      <c r="B257" s="211">
        <f>'Exhibit 1'!O148</f>
        <v>0.76207992728968199</v>
      </c>
      <c r="C257" s="67" t="e">
        <f ca="1">(C42+C48+C51)/(C42+C48+C51+C59)</f>
        <v>#DIV/0!</v>
      </c>
      <c r="D257" s="67" t="e">
        <f ca="1">(D42+D48+D51)/(D42+D48+D51+D59)</f>
        <v>#DIV/0!</v>
      </c>
      <c r="E257" s="67" t="e">
        <f ca="1">(E42+E48+E51)/(E42+E48+E51+E59)</f>
        <v>#DIV/0!</v>
      </c>
      <c r="F257" s="67" t="e">
        <f ca="1">(F42+F48+F51)/(F42+F48+F51+F59)</f>
        <v>#DIV/0!</v>
      </c>
      <c r="G257" s="67" t="e">
        <f ca="1">(G42+G48+G51)/(G42+G48+G51+G59)</f>
        <v>#DIV/0!</v>
      </c>
      <c r="H257" s="67" t="e">
        <f ca="1">AVERAGE(C257:G257)</f>
        <v>#DIV/0!</v>
      </c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</row>
    <row r="258" spans="1:20" s="11" customFormat="1" ht="15" customHeight="1" x14ac:dyDescent="0.2">
      <c r="A258" s="37" t="s">
        <v>5</v>
      </c>
      <c r="B258" s="211">
        <f>'Exhibit 1'!O149</f>
        <v>0.23792007271031812</v>
      </c>
      <c r="C258" s="67" t="e">
        <f ca="1">C59/(C42+C48+C51+C59)</f>
        <v>#DIV/0!</v>
      </c>
      <c r="D258" s="67" t="e">
        <f ca="1">D59/(D42+D48+D51+D59)</f>
        <v>#DIV/0!</v>
      </c>
      <c r="E258" s="67" t="e">
        <f ca="1">E59/(E42+E48+E51+E59)</f>
        <v>#DIV/0!</v>
      </c>
      <c r="F258" s="67" t="e">
        <f ca="1">F59/(F42+F48+F51+F59)</f>
        <v>#DIV/0!</v>
      </c>
      <c r="G258" s="67" t="e">
        <f ca="1">G59/(G42+G48+G51+G59)</f>
        <v>#DIV/0!</v>
      </c>
      <c r="H258" s="67" t="e">
        <f ca="1">AVERAGE(C258:G258)</f>
        <v>#DIV/0!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</row>
    <row r="259" spans="1:20" s="11" customFormat="1" ht="15" customHeight="1" x14ac:dyDescent="0.2">
      <c r="A259" s="37"/>
      <c r="B259" s="208"/>
      <c r="C259" s="37"/>
      <c r="D259" s="37"/>
      <c r="E259" s="37"/>
      <c r="F259" s="37"/>
      <c r="G259" s="37"/>
      <c r="H259" s="67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</row>
    <row r="260" spans="1:20" s="11" customFormat="1" ht="15" customHeight="1" x14ac:dyDescent="0.2">
      <c r="B260" s="66"/>
      <c r="D260" s="15"/>
      <c r="H260" s="67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</row>
    <row r="261" spans="1:20" s="11" customFormat="1" ht="15" customHeight="1" x14ac:dyDescent="0.2">
      <c r="B261" s="66"/>
      <c r="H261" s="67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</row>
    <row r="262" spans="1:20" s="11" customFormat="1" ht="15" customHeight="1" x14ac:dyDescent="0.2">
      <c r="B262" s="66"/>
      <c r="H262" s="67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</row>
    <row r="263" spans="1:20" s="11" customFormat="1" ht="14.25" customHeight="1" x14ac:dyDescent="0.2">
      <c r="A263" s="40"/>
      <c r="B263" s="166"/>
      <c r="C263" s="40"/>
      <c r="D263" s="40"/>
      <c r="H263" s="67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</row>
    <row r="264" spans="1:20" s="11" customFormat="1" ht="15" customHeight="1" x14ac:dyDescent="0.2">
      <c r="A264" s="40"/>
      <c r="B264" s="166"/>
      <c r="C264" s="162"/>
      <c r="D264" s="162"/>
      <c r="E264" s="162"/>
      <c r="F264" s="162"/>
      <c r="G264" s="162"/>
      <c r="H264" s="162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</row>
    <row r="265" spans="1:20" s="11" customFormat="1" ht="15" customHeight="1" x14ac:dyDescent="0.2">
      <c r="A265" s="40"/>
      <c r="B265" s="166"/>
      <c r="C265" s="40"/>
      <c r="D265" s="40"/>
      <c r="E265" s="40"/>
      <c r="F265" s="40"/>
      <c r="G265" s="40"/>
      <c r="H265" s="67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</row>
    <row r="266" spans="1:20" s="11" customFormat="1" ht="15" customHeight="1" x14ac:dyDescent="0.2">
      <c r="A266" s="40"/>
      <c r="B266" s="166"/>
      <c r="C266" s="41"/>
      <c r="D266" s="40"/>
      <c r="H266" s="67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</row>
    <row r="267" spans="1:20" s="11" customFormat="1" ht="15" customHeight="1" x14ac:dyDescent="0.2">
      <c r="A267" s="40"/>
      <c r="B267" s="166"/>
      <c r="C267" s="40"/>
      <c r="D267" s="40"/>
      <c r="H267" s="67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</row>
    <row r="268" spans="1:20" s="11" customFormat="1" ht="15" customHeight="1" x14ac:dyDescent="0.2">
      <c r="A268" s="40"/>
      <c r="B268" s="166"/>
      <c r="C268" s="209"/>
      <c r="D268" s="41"/>
      <c r="H268" s="67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</row>
    <row r="269" spans="1:20" s="11" customFormat="1" ht="15" customHeight="1" x14ac:dyDescent="0.2">
      <c r="A269" s="40"/>
      <c r="B269" s="166"/>
      <c r="C269" s="40"/>
      <c r="D269" s="41"/>
      <c r="H269" s="67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</row>
    <row r="270" spans="1:20" s="11" customFormat="1" ht="15" customHeight="1" x14ac:dyDescent="0.2">
      <c r="A270" s="40"/>
      <c r="B270" s="166"/>
      <c r="C270" s="40"/>
      <c r="D270" s="41"/>
      <c r="H270" s="67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</row>
    <row r="271" spans="1:20" s="11" customFormat="1" ht="15" customHeight="1" x14ac:dyDescent="0.2">
      <c r="A271" s="40"/>
      <c r="B271" s="166"/>
      <c r="C271" s="40"/>
      <c r="D271" s="41"/>
      <c r="H271" s="67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</row>
    <row r="272" spans="1:20" s="11" customFormat="1" ht="15" customHeight="1" x14ac:dyDescent="0.2">
      <c r="A272" s="40"/>
      <c r="B272" s="166"/>
      <c r="C272" s="40"/>
      <c r="D272" s="40"/>
      <c r="H272" s="67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</row>
    <row r="273" spans="2:20" s="11" customFormat="1" ht="15" customHeight="1" x14ac:dyDescent="0.2">
      <c r="B273" s="66"/>
      <c r="H273" s="67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</row>
    <row r="274" spans="2:20" s="11" customFormat="1" ht="15" customHeight="1" x14ac:dyDescent="0.2">
      <c r="B274" s="66"/>
      <c r="H274" s="67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</row>
    <row r="275" spans="2:20" s="11" customFormat="1" ht="15" customHeight="1" x14ac:dyDescent="0.2">
      <c r="B275" s="66"/>
      <c r="H275" s="67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</row>
    <row r="276" spans="2:20" s="11" customFormat="1" ht="15" customHeight="1" x14ac:dyDescent="0.2">
      <c r="B276" s="66"/>
      <c r="H276" s="67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</row>
    <row r="277" spans="2:20" s="11" customFormat="1" ht="15" customHeight="1" x14ac:dyDescent="0.2">
      <c r="B277" s="66"/>
      <c r="H277" s="67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</row>
    <row r="278" spans="2:20" s="11" customFormat="1" ht="15" customHeight="1" x14ac:dyDescent="0.2">
      <c r="B278" s="66"/>
      <c r="H278" s="67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</row>
    <row r="279" spans="2:20" s="11" customFormat="1" ht="15" customHeight="1" x14ac:dyDescent="0.2">
      <c r="B279" s="66"/>
      <c r="H279" s="67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</row>
    <row r="280" spans="2:20" s="11" customFormat="1" ht="15" customHeight="1" x14ac:dyDescent="0.2">
      <c r="B280" s="66"/>
      <c r="H280" s="67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</row>
    <row r="281" spans="2:20" s="11" customFormat="1" ht="15" customHeight="1" x14ac:dyDescent="0.2">
      <c r="B281" s="66"/>
      <c r="H281" s="67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</row>
    <row r="282" spans="2:20" s="11" customFormat="1" ht="15" customHeight="1" x14ac:dyDescent="0.2">
      <c r="B282" s="66"/>
      <c r="H282" s="67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</row>
    <row r="283" spans="2:20" s="11" customFormat="1" ht="15" customHeight="1" x14ac:dyDescent="0.2">
      <c r="B283" s="66"/>
      <c r="H283" s="67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</row>
    <row r="284" spans="2:20" s="11" customFormat="1" ht="15" customHeight="1" x14ac:dyDescent="0.2">
      <c r="B284" s="66"/>
      <c r="C284" s="17"/>
      <c r="H284" s="67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</row>
    <row r="285" spans="2:20" s="11" customFormat="1" ht="15" customHeight="1" x14ac:dyDescent="0.2">
      <c r="B285" s="66"/>
      <c r="H285" s="67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</row>
    <row r="286" spans="2:20" s="11" customFormat="1" ht="15" customHeight="1" x14ac:dyDescent="0.2">
      <c r="B286" s="66"/>
      <c r="H286" s="67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</row>
    <row r="287" spans="2:20" s="11" customFormat="1" ht="15" customHeight="1" x14ac:dyDescent="0.2">
      <c r="B287" s="66"/>
      <c r="H287" s="67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</row>
    <row r="288" spans="2:20" s="11" customFormat="1" ht="15" customHeight="1" x14ac:dyDescent="0.2">
      <c r="B288" s="66"/>
      <c r="H288" s="67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</row>
    <row r="289" spans="2:20" s="11" customFormat="1" ht="15" customHeight="1" x14ac:dyDescent="0.2">
      <c r="B289" s="66"/>
      <c r="H289" s="67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</row>
    <row r="290" spans="2:20" s="11" customFormat="1" ht="15" customHeight="1" x14ac:dyDescent="0.2">
      <c r="B290" s="66"/>
      <c r="H290" s="67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</row>
    <row r="291" spans="2:20" s="11" customFormat="1" ht="15" customHeight="1" x14ac:dyDescent="0.2">
      <c r="B291" s="66"/>
      <c r="H291" s="67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</row>
    <row r="292" spans="2:20" s="11" customFormat="1" ht="15" customHeight="1" x14ac:dyDescent="0.2">
      <c r="B292" s="66"/>
      <c r="H292" s="67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</row>
    <row r="293" spans="2:20" s="11" customFormat="1" ht="15" customHeight="1" x14ac:dyDescent="0.2">
      <c r="B293" s="66"/>
      <c r="H293" s="67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</row>
    <row r="294" spans="2:20" s="11" customFormat="1" ht="15" customHeight="1" x14ac:dyDescent="0.2">
      <c r="B294" s="66"/>
      <c r="H294" s="67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</row>
    <row r="295" spans="2:20" s="11" customFormat="1" ht="15" customHeight="1" x14ac:dyDescent="0.2">
      <c r="B295" s="66"/>
      <c r="H295" s="67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</row>
    <row r="296" spans="2:20" s="11" customFormat="1" ht="15" customHeight="1" x14ac:dyDescent="0.2">
      <c r="B296" s="66"/>
      <c r="H296" s="67"/>
    </row>
    <row r="297" spans="2:20" s="11" customFormat="1" ht="15" customHeight="1" x14ac:dyDescent="0.2">
      <c r="B297" s="66"/>
      <c r="H297" s="67"/>
    </row>
    <row r="298" spans="2:20" s="11" customFormat="1" ht="15" customHeight="1" x14ac:dyDescent="0.2">
      <c r="B298" s="66"/>
      <c r="H298" s="67"/>
    </row>
    <row r="299" spans="2:20" s="11" customFormat="1" ht="15" customHeight="1" x14ac:dyDescent="0.2">
      <c r="B299" s="66"/>
      <c r="H299" s="67"/>
    </row>
    <row r="300" spans="2:20" s="11" customFormat="1" ht="15" customHeight="1" x14ac:dyDescent="0.2">
      <c r="B300" s="66"/>
      <c r="H300" s="67"/>
    </row>
    <row r="301" spans="2:20" s="11" customFormat="1" ht="15" customHeight="1" x14ac:dyDescent="0.2">
      <c r="B301" s="66"/>
      <c r="H301" s="67"/>
    </row>
    <row r="302" spans="2:20" s="11" customFormat="1" ht="15" customHeight="1" x14ac:dyDescent="0.2">
      <c r="B302" s="66"/>
      <c r="H302" s="67"/>
    </row>
    <row r="303" spans="2:20" s="11" customFormat="1" ht="15" customHeight="1" x14ac:dyDescent="0.2">
      <c r="B303" s="66"/>
      <c r="H303" s="67"/>
    </row>
    <row r="304" spans="2:20" s="11" customFormat="1" ht="15" customHeight="1" x14ac:dyDescent="0.2">
      <c r="B304" s="66"/>
      <c r="H304" s="67"/>
    </row>
    <row r="305" spans="2:8" s="11" customFormat="1" ht="15" customHeight="1" x14ac:dyDescent="0.2">
      <c r="B305" s="66"/>
      <c r="H305" s="67"/>
    </row>
    <row r="306" spans="2:8" s="11" customFormat="1" ht="15" customHeight="1" x14ac:dyDescent="0.2">
      <c r="B306" s="66"/>
      <c r="H306" s="67"/>
    </row>
    <row r="307" spans="2:8" s="11" customFormat="1" ht="15" customHeight="1" x14ac:dyDescent="0.2">
      <c r="B307" s="66"/>
      <c r="H307" s="67"/>
    </row>
    <row r="308" spans="2:8" s="11" customFormat="1" ht="15" customHeight="1" x14ac:dyDescent="0.2">
      <c r="B308" s="66"/>
      <c r="H308" s="67"/>
    </row>
    <row r="309" spans="2:8" s="11" customFormat="1" ht="15" customHeight="1" x14ac:dyDescent="0.2">
      <c r="B309" s="66"/>
      <c r="H309" s="67"/>
    </row>
    <row r="310" spans="2:8" s="11" customFormat="1" ht="15" customHeight="1" x14ac:dyDescent="0.2">
      <c r="B310" s="66"/>
      <c r="H310" s="67"/>
    </row>
    <row r="311" spans="2:8" s="11" customFormat="1" ht="15" customHeight="1" x14ac:dyDescent="0.2">
      <c r="B311" s="66"/>
      <c r="H311" s="67"/>
    </row>
    <row r="312" spans="2:8" s="11" customFormat="1" ht="15" customHeight="1" x14ac:dyDescent="0.2">
      <c r="B312" s="66"/>
      <c r="H312" s="67"/>
    </row>
    <row r="313" spans="2:8" s="11" customFormat="1" ht="15" customHeight="1" x14ac:dyDescent="0.2">
      <c r="B313" s="66"/>
      <c r="H313" s="67"/>
    </row>
    <row r="314" spans="2:8" s="11" customFormat="1" ht="15" customHeight="1" x14ac:dyDescent="0.2">
      <c r="B314" s="66"/>
      <c r="H314" s="67"/>
    </row>
    <row r="315" spans="2:8" s="11" customFormat="1" ht="15" customHeight="1" x14ac:dyDescent="0.2">
      <c r="B315" s="66"/>
      <c r="H315" s="67"/>
    </row>
    <row r="316" spans="2:8" s="11" customFormat="1" ht="15" customHeight="1" x14ac:dyDescent="0.2">
      <c r="B316" s="66"/>
      <c r="H316" s="67"/>
    </row>
    <row r="317" spans="2:8" s="11" customFormat="1" ht="15" customHeight="1" x14ac:dyDescent="0.2">
      <c r="B317" s="66"/>
      <c r="H317" s="67"/>
    </row>
    <row r="318" spans="2:8" s="11" customFormat="1" ht="15" customHeight="1" x14ac:dyDescent="0.2">
      <c r="B318" s="66"/>
      <c r="H318" s="67"/>
    </row>
    <row r="319" spans="2:8" s="11" customFormat="1" ht="15" customHeight="1" x14ac:dyDescent="0.2">
      <c r="B319" s="66"/>
      <c r="H319" s="67"/>
    </row>
    <row r="320" spans="2:8" s="11" customFormat="1" ht="15" customHeight="1" x14ac:dyDescent="0.2">
      <c r="B320" s="66"/>
      <c r="H320" s="67"/>
    </row>
    <row r="321" spans="2:8" s="11" customFormat="1" ht="15" customHeight="1" x14ac:dyDescent="0.2">
      <c r="B321" s="66"/>
      <c r="H321" s="67"/>
    </row>
  </sheetData>
  <mergeCells count="14">
    <mergeCell ref="A154:H154"/>
    <mergeCell ref="A155:H155"/>
    <mergeCell ref="A214:H214"/>
    <mergeCell ref="A215:H215"/>
    <mergeCell ref="A68:H68"/>
    <mergeCell ref="A110:H110"/>
    <mergeCell ref="A111:H111"/>
    <mergeCell ref="A112:H112"/>
    <mergeCell ref="A153:H153"/>
    <mergeCell ref="A4:H4"/>
    <mergeCell ref="A5:H5"/>
    <mergeCell ref="A6:H6"/>
    <mergeCell ref="A66:H66"/>
    <mergeCell ref="A67:H67"/>
  </mergeCells>
  <phoneticPr fontId="4" type="noConversion"/>
  <printOptions horizontalCentered="1"/>
  <pageMargins left="0.66" right="0.66" top="0.75" bottom="0.75" header="0.5" footer="0.5"/>
  <pageSetup scale="75" fitToHeight="6" orientation="portrait" r:id="rId1"/>
  <headerFooter alignWithMargins="0"/>
  <rowBreaks count="4" manualBreakCount="4">
    <brk id="62" max="8" man="1"/>
    <brk id="106" max="8" man="1"/>
    <brk id="149" max="7" man="1"/>
    <brk id="20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2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6" style="30" customWidth="1"/>
    <col min="2" max="2" width="21.42578125" style="11" customWidth="1"/>
    <col min="3" max="3" width="13.42578125" style="11" customWidth="1"/>
    <col min="4" max="4" width="16.7109375" style="11" customWidth="1"/>
    <col min="5" max="5" width="23.140625" style="11" customWidth="1"/>
    <col min="6" max="7" width="11" style="11" customWidth="1"/>
    <col min="8" max="8" width="20.7109375" style="11" customWidth="1"/>
    <col min="9" max="9" width="16" style="11" bestFit="1" customWidth="1"/>
    <col min="10" max="10" width="10.85546875" style="11" customWidth="1"/>
    <col min="11" max="11" width="10.85546875" style="11" bestFit="1" customWidth="1"/>
    <col min="12" max="12" width="11.28515625" style="11" customWidth="1"/>
    <col min="13" max="13" width="10.85546875" style="11" bestFit="1" customWidth="1"/>
    <col min="14" max="14" width="11.140625" style="11" customWidth="1"/>
    <col min="15" max="15" width="10.5703125" style="11" customWidth="1"/>
    <col min="16" max="16" width="10.85546875" style="11" bestFit="1" customWidth="1"/>
    <col min="17" max="17" width="11.140625" style="11" customWidth="1"/>
    <col min="18" max="18" width="10.85546875" style="11" customWidth="1"/>
    <col min="19" max="19" width="10.85546875" customWidth="1"/>
  </cols>
  <sheetData>
    <row r="1" spans="1:17" ht="15.75" x14ac:dyDescent="0.25">
      <c r="A1" s="30">
        <v>1</v>
      </c>
      <c r="B1" s="33" t="s">
        <v>15</v>
      </c>
      <c r="D1" s="32">
        <f ca="1">NOW()</f>
        <v>42647.336604745367</v>
      </c>
    </row>
    <row r="2" spans="1:17" ht="7.5" customHeight="1" x14ac:dyDescent="0.25">
      <c r="A2" s="30">
        <f>A1+1</f>
        <v>2</v>
      </c>
      <c r="B2" s="33"/>
      <c r="D2" s="32"/>
    </row>
    <row r="3" spans="1:17" ht="15.75" x14ac:dyDescent="0.25">
      <c r="A3" s="30">
        <f>A2+1</f>
        <v>3</v>
      </c>
      <c r="B3" s="33" t="s">
        <v>53</v>
      </c>
      <c r="C3" s="33"/>
      <c r="D3" s="33" t="s">
        <v>114</v>
      </c>
    </row>
    <row r="4" spans="1:17" ht="7.5" customHeight="1" x14ac:dyDescent="0.2">
      <c r="A4" s="30">
        <f t="shared" ref="A4:A69" si="0">A3+1</f>
        <v>4</v>
      </c>
    </row>
    <row r="5" spans="1:17" x14ac:dyDescent="0.2">
      <c r="A5" s="30">
        <f t="shared" si="0"/>
        <v>5</v>
      </c>
      <c r="B5" s="11" t="s">
        <v>12</v>
      </c>
      <c r="D5" s="15"/>
      <c r="F5" s="17"/>
      <c r="G5" s="15"/>
      <c r="I5" s="19"/>
      <c r="J5" s="19"/>
      <c r="K5" s="19"/>
      <c r="L5" s="45"/>
      <c r="M5" s="25"/>
    </row>
    <row r="6" spans="1:17" x14ac:dyDescent="0.2">
      <c r="A6" s="30">
        <f t="shared" si="0"/>
        <v>6</v>
      </c>
      <c r="B6" s="11" t="s">
        <v>20</v>
      </c>
      <c r="D6" s="15">
        <v>1.4999999999999999E-2</v>
      </c>
      <c r="F6" s="54"/>
      <c r="G6" s="15"/>
      <c r="I6" s="19"/>
    </row>
    <row r="7" spans="1:17" x14ac:dyDescent="0.2">
      <c r="A7" s="30">
        <f t="shared" si="0"/>
        <v>7</v>
      </c>
      <c r="B7" s="11" t="s">
        <v>18</v>
      </c>
      <c r="D7" s="15">
        <v>0.24</v>
      </c>
      <c r="E7" s="61" t="s">
        <v>179</v>
      </c>
      <c r="G7" s="15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">
      <c r="A8" s="30">
        <f t="shared" si="0"/>
        <v>8</v>
      </c>
      <c r="B8" s="11" t="s">
        <v>11</v>
      </c>
      <c r="D8" s="15">
        <f>5%</f>
        <v>0.05</v>
      </c>
      <c r="F8" s="17"/>
      <c r="G8" s="15"/>
    </row>
    <row r="9" spans="1:17" ht="7.5" customHeight="1" x14ac:dyDescent="0.2">
      <c r="A9" s="30">
        <f t="shared" si="0"/>
        <v>9</v>
      </c>
      <c r="D9" s="15"/>
      <c r="F9" s="27"/>
      <c r="G9" s="15"/>
    </row>
    <row r="10" spans="1:17" ht="7.5" customHeight="1" x14ac:dyDescent="0.2">
      <c r="A10" s="30">
        <f t="shared" si="0"/>
        <v>10</v>
      </c>
      <c r="F10" s="21"/>
    </row>
    <row r="11" spans="1:17" ht="7.5" customHeight="1" x14ac:dyDescent="0.2">
      <c r="A11" s="30">
        <f t="shared" si="0"/>
        <v>11</v>
      </c>
    </row>
    <row r="12" spans="1:17" x14ac:dyDescent="0.2">
      <c r="A12" s="30">
        <f t="shared" si="0"/>
        <v>12</v>
      </c>
      <c r="B12" s="18" t="s">
        <v>97</v>
      </c>
      <c r="D12" s="15">
        <f>+'Exhibit 1'!O71</f>
        <v>2.4700822758143277E-3</v>
      </c>
      <c r="E12" s="9" t="s">
        <v>180</v>
      </c>
      <c r="F12" s="21"/>
    </row>
    <row r="13" spans="1:17" x14ac:dyDescent="0.2">
      <c r="A13" s="30">
        <f t="shared" si="0"/>
        <v>13</v>
      </c>
      <c r="B13" s="18" t="s">
        <v>98</v>
      </c>
      <c r="E13" s="28"/>
    </row>
    <row r="14" spans="1:17" x14ac:dyDescent="0.2">
      <c r="A14" s="30">
        <f t="shared" si="0"/>
        <v>14</v>
      </c>
      <c r="B14" s="18"/>
      <c r="D14" s="15"/>
      <c r="F14" s="26"/>
      <c r="H14" s="26"/>
    </row>
    <row r="15" spans="1:17" x14ac:dyDescent="0.2">
      <c r="A15" s="30">
        <f t="shared" si="0"/>
        <v>15</v>
      </c>
      <c r="B15" s="20" t="s">
        <v>26</v>
      </c>
    </row>
    <row r="16" spans="1:17" x14ac:dyDescent="0.2">
      <c r="A16" s="30">
        <f t="shared" si="0"/>
        <v>16</v>
      </c>
      <c r="B16" s="11" t="str">
        <f>'Exhibit 1'!A74</f>
        <v>Fuel (5)</v>
      </c>
      <c r="D16" s="15">
        <f>+'Exhibit 1'!AE74-0.01</f>
        <v>0.40788184482478268</v>
      </c>
      <c r="E16" s="9" t="s">
        <v>180</v>
      </c>
      <c r="F16" s="21"/>
    </row>
    <row r="17" spans="1:17" x14ac:dyDescent="0.2">
      <c r="A17" s="30">
        <f t="shared" si="0"/>
        <v>17</v>
      </c>
      <c r="B17" s="11" t="str">
        <f>'Exhibit 1'!A75</f>
        <v>Power Production (21 - 5)</v>
      </c>
      <c r="D17" s="15">
        <f>+'Exhibit 1'!AE75</f>
        <v>0.13261964776826851</v>
      </c>
      <c r="E17" s="9" t="s">
        <v>180</v>
      </c>
      <c r="F17" s="31"/>
    </row>
    <row r="18" spans="1:17" x14ac:dyDescent="0.2">
      <c r="A18" s="30">
        <f t="shared" si="0"/>
        <v>18</v>
      </c>
      <c r="B18" s="11" t="str">
        <f>'Exhibit 1'!A76</f>
        <v>Cost of Purchased Power (79)</v>
      </c>
      <c r="D18" s="15">
        <f>+'Exhibit 1'!AE76-0.025</f>
        <v>0.13453109022748791</v>
      </c>
      <c r="E18" s="9" t="s">
        <v>180</v>
      </c>
      <c r="F18" s="28"/>
      <c r="I18" s="19">
        <v>2005</v>
      </c>
      <c r="J18" s="19">
        <f>I18+1</f>
        <v>2006</v>
      </c>
      <c r="K18" s="19">
        <f>J18+1</f>
        <v>2007</v>
      </c>
      <c r="L18" s="19">
        <f>K18+1</f>
        <v>2008</v>
      </c>
      <c r="M18" s="64" t="s">
        <v>125</v>
      </c>
      <c r="N18" s="19"/>
      <c r="O18" s="19"/>
      <c r="P18" s="14"/>
      <c r="Q18" s="25"/>
    </row>
    <row r="19" spans="1:17" x14ac:dyDescent="0.2">
      <c r="A19" s="30">
        <f t="shared" si="0"/>
        <v>19</v>
      </c>
      <c r="B19" s="11" t="str">
        <f>'Exhibit 1'!A77</f>
        <v>Operations / Transmission (99)</v>
      </c>
      <c r="D19" s="15">
        <f>+'Exhibit 1'!AE77</f>
        <v>3.8432879655259572E-2</v>
      </c>
      <c r="E19" s="9" t="s">
        <v>180</v>
      </c>
      <c r="F19" s="28"/>
      <c r="I19" s="15">
        <f>'Exhibit 1'!D80/'Exhibit 1'!D21</f>
        <v>3.0260979623393924E-2</v>
      </c>
      <c r="J19" s="15">
        <f>'Exhibit 1'!E80/'Exhibit 1'!E21</f>
        <v>3.0295042743835834E-2</v>
      </c>
      <c r="K19" s="15">
        <f>'Exhibit 1'!F80/'Exhibit 1'!F21</f>
        <v>3.0364679340361571E-2</v>
      </c>
      <c r="L19" s="15">
        <f>'Exhibit 1'!G80/'Exhibit 1'!G21</f>
        <v>3.0212684356590983E-2</v>
      </c>
      <c r="M19" s="22">
        <f>AVERAGE(I19:L19)</f>
        <v>3.028334651604558E-2</v>
      </c>
      <c r="N19" s="22"/>
      <c r="O19" s="22"/>
      <c r="P19" s="22"/>
      <c r="Q19" s="22"/>
    </row>
    <row r="20" spans="1:17" x14ac:dyDescent="0.2">
      <c r="A20" s="30">
        <f t="shared" si="0"/>
        <v>20</v>
      </c>
      <c r="B20" s="11" t="str">
        <f>'Exhibit 1'!A78</f>
        <v>Maintenance (111+156)</v>
      </c>
      <c r="D20" s="15">
        <f>+'Exhibit 1'!AE78</f>
        <v>9.7873906585816371E-3</v>
      </c>
      <c r="E20" s="9" t="s">
        <v>180</v>
      </c>
      <c r="F20" s="28"/>
      <c r="G20" s="29"/>
      <c r="N20" s="22"/>
      <c r="O20" s="22"/>
      <c r="P20" s="22"/>
    </row>
    <row r="21" spans="1:17" x14ac:dyDescent="0.2">
      <c r="A21" s="30">
        <f t="shared" si="0"/>
        <v>21</v>
      </c>
      <c r="B21" s="11" t="str">
        <f>'Exhibit 1'!A79</f>
        <v>Sales General &amp; Admin(164, 178, 197)</v>
      </c>
      <c r="D21" s="15">
        <f>+'Exhibit 1'!AD79</f>
        <v>6.2610174516301617E-2</v>
      </c>
      <c r="E21" s="9" t="s">
        <v>180</v>
      </c>
      <c r="F21" s="21"/>
      <c r="I21" s="15"/>
    </row>
    <row r="22" spans="1:17" x14ac:dyDescent="0.2">
      <c r="A22" s="30">
        <f t="shared" si="0"/>
        <v>22</v>
      </c>
      <c r="B22" s="11" t="str">
        <f>'Exhibit 1'!A80</f>
        <v>Depreciation and Amortization (6, 9)</v>
      </c>
      <c r="D22" s="15">
        <f>+'Exhibit 1'!AE80</f>
        <v>6.1910634654642402E-2</v>
      </c>
      <c r="E22" s="2" t="s">
        <v>181</v>
      </c>
    </row>
    <row r="23" spans="1:17" x14ac:dyDescent="0.2">
      <c r="A23" s="30">
        <f t="shared" si="0"/>
        <v>23</v>
      </c>
      <c r="B23" s="11" t="str">
        <f>'Exhibit 1'!A81</f>
        <v>Taxes, other than income taxes (14, 16, 17)</v>
      </c>
      <c r="D23" s="15">
        <f>+'Exhibit 1'!AE81</f>
        <v>1.7650374140348115E-2</v>
      </c>
      <c r="E23" s="2" t="s">
        <v>106</v>
      </c>
      <c r="F23" s="21"/>
    </row>
    <row r="24" spans="1:17" x14ac:dyDescent="0.2">
      <c r="A24" s="30">
        <f t="shared" si="0"/>
        <v>24</v>
      </c>
      <c r="B24" s="11" t="str">
        <f>'Exhibit 1'!A86</f>
        <v xml:space="preserve">   Interest expense 70</v>
      </c>
      <c r="D24" s="44">
        <f>+'Exhibit 1'!AE86</f>
        <v>0.13622874417142858</v>
      </c>
      <c r="E24" s="13" t="s">
        <v>122</v>
      </c>
      <c r="G24" s="9"/>
    </row>
    <row r="25" spans="1:17" x14ac:dyDescent="0.2">
      <c r="A25" s="30">
        <f t="shared" si="0"/>
        <v>25</v>
      </c>
      <c r="B25" s="11" t="str">
        <f>'Exhibit 1'!A87</f>
        <v xml:space="preserve">   Interest and Other (Income) 37</v>
      </c>
      <c r="D25" s="44">
        <f>+'Exhibit 1'!AE87</f>
        <v>-2.4350744089454698E-2</v>
      </c>
      <c r="E25" s="9" t="s">
        <v>123</v>
      </c>
      <c r="F25" s="21"/>
      <c r="K25" s="29"/>
    </row>
    <row r="26" spans="1:17" x14ac:dyDescent="0.2">
      <c r="A26" s="30">
        <f t="shared" si="0"/>
        <v>26</v>
      </c>
      <c r="B26" s="11" t="str">
        <f>'Exhibit 1'!A88</f>
        <v xml:space="preserve">   Loss (Gain) on Sale of Assets 40</v>
      </c>
      <c r="D26" s="44">
        <f>+'Exhibit 1'!AE88</f>
        <v>-1.8078048184039402E-3</v>
      </c>
      <c r="E26" s="2" t="s">
        <v>120</v>
      </c>
    </row>
    <row r="27" spans="1:17" x14ac:dyDescent="0.2">
      <c r="A27" s="30">
        <f>+A26+1</f>
        <v>27</v>
      </c>
      <c r="B27" s="11" t="str">
        <f>'Exhibit 1'!A89</f>
        <v xml:space="preserve">   Equity in Earnings of Subsidiary Co 36</v>
      </c>
      <c r="D27" s="44">
        <f>+'Exhibit 1'!AE89</f>
        <v>-2.6567119234881875E-2</v>
      </c>
      <c r="E27" s="2"/>
    </row>
    <row r="28" spans="1:17" x14ac:dyDescent="0.2">
      <c r="A28" s="30">
        <f>A27+1</f>
        <v>28</v>
      </c>
      <c r="B28" s="11" t="str">
        <f>'Exhibit 1'!A90</f>
        <v xml:space="preserve">   Other (Income) Expense</v>
      </c>
      <c r="D28" s="44">
        <f>+'Exhibit 1'!AD90</f>
        <v>-9.9824727252812427E-4</v>
      </c>
      <c r="E28" s="2"/>
    </row>
    <row r="29" spans="1:17" x14ac:dyDescent="0.2">
      <c r="A29" s="30">
        <f t="shared" si="0"/>
        <v>29</v>
      </c>
      <c r="B29" s="11" t="str">
        <f>'Exhibit 1'!A94</f>
        <v>Extraordinary Items</v>
      </c>
      <c r="D29" s="47">
        <v>0</v>
      </c>
    </row>
    <row r="30" spans="1:17" x14ac:dyDescent="0.2">
      <c r="A30" s="30">
        <f t="shared" si="0"/>
        <v>30</v>
      </c>
      <c r="B30" s="11" t="s">
        <v>19</v>
      </c>
      <c r="D30" s="44">
        <v>0</v>
      </c>
      <c r="E30" s="56" t="s">
        <v>184</v>
      </c>
    </row>
    <row r="31" spans="1:17" x14ac:dyDescent="0.2">
      <c r="A31" s="30">
        <f t="shared" si="0"/>
        <v>31</v>
      </c>
      <c r="D31" s="15"/>
    </row>
    <row r="32" spans="1:17" x14ac:dyDescent="0.2">
      <c r="A32" s="30">
        <f t="shared" si="0"/>
        <v>32</v>
      </c>
      <c r="B32" s="11" t="str">
        <f>'Exhibit 1'!A98</f>
        <v>Preferred Stock Dividends</v>
      </c>
      <c r="D32" s="15">
        <v>0</v>
      </c>
      <c r="E32" s="11" t="s">
        <v>81</v>
      </c>
      <c r="F32" s="11" t="s">
        <v>87</v>
      </c>
    </row>
    <row r="33" spans="1:15" x14ac:dyDescent="0.2">
      <c r="A33" s="30">
        <f t="shared" si="0"/>
        <v>33</v>
      </c>
      <c r="B33" s="11" t="str">
        <f>'Exhibit 1'!A99</f>
        <v>Return of Patrons Capital</v>
      </c>
      <c r="D33" s="15">
        <v>0.25</v>
      </c>
      <c r="E33" s="2" t="s">
        <v>126</v>
      </c>
    </row>
    <row r="34" spans="1:15" x14ac:dyDescent="0.2">
      <c r="A34" s="30">
        <f t="shared" si="0"/>
        <v>34</v>
      </c>
      <c r="I34" s="19"/>
      <c r="J34" s="19"/>
      <c r="K34" s="19"/>
      <c r="L34" s="19"/>
      <c r="M34" s="19"/>
      <c r="N34" s="19"/>
    </row>
    <row r="35" spans="1:15" x14ac:dyDescent="0.2">
      <c r="A35" s="30">
        <f t="shared" si="0"/>
        <v>35</v>
      </c>
      <c r="B35" s="11" t="str">
        <f>+'Exhibit 1'!A11</f>
        <v>Current Assets:</v>
      </c>
      <c r="D35" s="23"/>
      <c r="E35" s="9"/>
      <c r="F35" s="28"/>
      <c r="I35" s="57"/>
      <c r="J35" s="22"/>
      <c r="K35" s="22"/>
      <c r="L35" s="22"/>
      <c r="M35" s="22"/>
      <c r="N35" s="22"/>
      <c r="O35" s="22"/>
    </row>
    <row r="36" spans="1:15" x14ac:dyDescent="0.2">
      <c r="A36" s="30">
        <f t="shared" si="0"/>
        <v>36</v>
      </c>
      <c r="B36" s="11" t="str">
        <f>+'Exhibit 1'!A12</f>
        <v xml:space="preserve">Unrestricted Cash </v>
      </c>
      <c r="D36" s="44">
        <f>1/13</f>
        <v>7.6923076923076927E-2</v>
      </c>
      <c r="E36" s="2" t="s">
        <v>194</v>
      </c>
      <c r="I36" s="58"/>
    </row>
    <row r="37" spans="1:15" x14ac:dyDescent="0.2">
      <c r="A37" s="30">
        <f t="shared" si="0"/>
        <v>37</v>
      </c>
      <c r="B37" s="11" t="str">
        <f>+'Exhibit 1'!A13</f>
        <v>Restricted Deposits</v>
      </c>
      <c r="D37" s="44">
        <v>0</v>
      </c>
      <c r="E37" s="2" t="s">
        <v>193</v>
      </c>
      <c r="F37" s="2"/>
      <c r="I37" s="15"/>
      <c r="J37" s="15"/>
      <c r="K37" s="15"/>
      <c r="L37" s="15"/>
      <c r="M37" s="15"/>
      <c r="N37" s="15"/>
      <c r="O37" s="22"/>
    </row>
    <row r="38" spans="1:15" x14ac:dyDescent="0.2">
      <c r="A38" s="30">
        <f t="shared" si="0"/>
        <v>38</v>
      </c>
      <c r="B38" s="11" t="str">
        <f>+'Exhibit 1'!A14</f>
        <v>Accounts Receivable, net</v>
      </c>
      <c r="D38" s="44" t="e">
        <f ca="1">+'Exhibit 1'!AN14</f>
        <v>#DIV/0!</v>
      </c>
      <c r="E38" s="2" t="s">
        <v>195</v>
      </c>
      <c r="F38" s="2"/>
      <c r="I38" s="58"/>
    </row>
    <row r="39" spans="1:15" x14ac:dyDescent="0.2">
      <c r="A39" s="30">
        <f t="shared" si="0"/>
        <v>39</v>
      </c>
      <c r="B39" s="11" t="str">
        <f>+'Exhibit 1'!A15</f>
        <v>Fuel Stock</v>
      </c>
      <c r="D39" s="44">
        <f>+'Exhibit 1'!AH15</f>
        <v>6.8765319446830064E-2</v>
      </c>
      <c r="F39" s="2"/>
      <c r="I39" s="58"/>
    </row>
    <row r="40" spans="1:15" x14ac:dyDescent="0.2">
      <c r="A40" s="30">
        <f t="shared" si="0"/>
        <v>40</v>
      </c>
      <c r="B40" s="11" t="str">
        <f>+'Exhibit 1'!A16</f>
        <v>Material and Supplies</v>
      </c>
      <c r="D40" s="44">
        <f>+'Exhibit 1'!AH16</f>
        <v>4.6356659635173304E-2</v>
      </c>
      <c r="F40" s="162">
        <f>+'Exhibit 1'!B16/'Exhibit 1'!B71</f>
        <v>6.0662657066900487E-2</v>
      </c>
      <c r="G40" s="162">
        <f>+'Exhibit 1'!C16/'Exhibit 1'!C71</f>
        <v>6.8430426881739656E-2</v>
      </c>
      <c r="H40" s="162">
        <f>+'Exhibit 1'!D16/'Exhibit 1'!D71</f>
        <v>6.776818039698404E-2</v>
      </c>
      <c r="I40" s="162">
        <f>+'Exhibit 1'!E16/'Exhibit 1'!E71</f>
        <v>7.2199339159182502E-2</v>
      </c>
      <c r="J40" s="162">
        <f>+'Exhibit 1'!F16/'Exhibit 1'!F71</f>
        <v>6.7031846357695588E-2</v>
      </c>
      <c r="K40" s="162">
        <f>+'Exhibit 1'!G16/'Exhibit 1'!G71</f>
        <v>6.7219530487554274E-2</v>
      </c>
      <c r="L40" s="162">
        <f>+'Exhibit 1'!H16/'Exhibit 1'!H71</f>
        <v>7.7253257505649278E-2</v>
      </c>
      <c r="M40" s="162">
        <f>AVERAGE(F40:L40)</f>
        <v>6.8652176836529397E-2</v>
      </c>
    </row>
    <row r="41" spans="1:15" ht="12" customHeight="1" x14ac:dyDescent="0.2">
      <c r="A41" s="30">
        <f t="shared" si="0"/>
        <v>41</v>
      </c>
      <c r="B41" s="11" t="str">
        <f>+'Exhibit 1'!A17</f>
        <v>Other Current Assets</v>
      </c>
      <c r="D41" s="44">
        <f>+'Exhibit 1'!AH17</f>
        <v>9.1361265205997973E-3</v>
      </c>
    </row>
    <row r="42" spans="1:15" x14ac:dyDescent="0.2">
      <c r="A42" s="30">
        <f t="shared" si="0"/>
        <v>42</v>
      </c>
      <c r="B42" s="11" t="str">
        <f>+'Exhibit 1'!A18</f>
        <v>Total Current Assets</v>
      </c>
      <c r="D42" s="44"/>
      <c r="E42" s="9"/>
      <c r="F42" s="46"/>
      <c r="G42" s="46"/>
    </row>
    <row r="43" spans="1:15" x14ac:dyDescent="0.2">
      <c r="A43" s="30">
        <f t="shared" si="0"/>
        <v>43</v>
      </c>
      <c r="D43" s="44"/>
    </row>
    <row r="44" spans="1:15" x14ac:dyDescent="0.2">
      <c r="A44" s="30">
        <f t="shared" si="0"/>
        <v>44</v>
      </c>
      <c r="B44" s="11" t="str">
        <f>+'Exhibit 1'!A20</f>
        <v>Plant &amp; Equipment:</v>
      </c>
      <c r="D44" s="44"/>
      <c r="E44" s="9"/>
      <c r="F44" s="21"/>
    </row>
    <row r="45" spans="1:15" x14ac:dyDescent="0.2">
      <c r="A45" s="30">
        <f t="shared" si="0"/>
        <v>45</v>
      </c>
      <c r="B45" s="11" t="str">
        <f>+'Exhibit 1'!A21</f>
        <v>Plant in Service</v>
      </c>
      <c r="D45" s="44">
        <f>+'Exhibit 1'!O21</f>
        <v>1.1946304795188706E-2</v>
      </c>
    </row>
    <row r="46" spans="1:15" x14ac:dyDescent="0.2">
      <c r="A46" s="30">
        <f t="shared" si="0"/>
        <v>46</v>
      </c>
      <c r="B46" s="11" t="str">
        <f>+'Exhibit 1'!A22</f>
        <v>Construction Work in Progress</v>
      </c>
      <c r="D46" s="44">
        <f>+'Exhibit 1'!AH22</f>
        <v>1.2609391803709137E-2</v>
      </c>
    </row>
    <row r="47" spans="1:15" x14ac:dyDescent="0.2">
      <c r="A47" s="30">
        <f t="shared" si="0"/>
        <v>47</v>
      </c>
      <c r="B47" s="11" t="str">
        <f>+'Exhibit 1'!A23</f>
        <v>Other PP&amp;E</v>
      </c>
      <c r="D47" s="44"/>
      <c r="J47" s="19"/>
      <c r="K47" s="19"/>
      <c r="L47" s="19"/>
      <c r="M47" s="14"/>
      <c r="N47" s="25"/>
    </row>
    <row r="48" spans="1:15" x14ac:dyDescent="0.2">
      <c r="A48" s="30">
        <f t="shared" si="0"/>
        <v>48</v>
      </c>
      <c r="B48" s="11" t="str">
        <f>+'Exhibit 1'!A24</f>
        <v>Total Plant &amp; Equipment:</v>
      </c>
      <c r="D48" s="44">
        <f>+'Exhibit 1'!AH24</f>
        <v>0.96556351711049893</v>
      </c>
      <c r="E48" s="2"/>
      <c r="F48" s="28"/>
      <c r="J48" s="15"/>
      <c r="K48" s="15"/>
      <c r="L48" s="15"/>
      <c r="M48" s="22"/>
      <c r="N48" s="22"/>
    </row>
    <row r="49" spans="1:20" x14ac:dyDescent="0.2">
      <c r="A49" s="30">
        <f t="shared" si="0"/>
        <v>49</v>
      </c>
      <c r="D49" s="44"/>
    </row>
    <row r="50" spans="1:20" x14ac:dyDescent="0.2">
      <c r="A50" s="30">
        <f t="shared" si="0"/>
        <v>50</v>
      </c>
      <c r="B50" s="11" t="str">
        <f>+'Exhibit 1'!A26</f>
        <v>Accumulated Depreciation &amp; Amort.</v>
      </c>
      <c r="D50" s="44">
        <f>+'Exhibit 1'!AH26</f>
        <v>0.67105942097613225</v>
      </c>
      <c r="E50" s="2"/>
      <c r="F50" s="21"/>
    </row>
    <row r="51" spans="1:20" ht="12" customHeight="1" x14ac:dyDescent="0.2">
      <c r="A51" s="30">
        <f t="shared" si="0"/>
        <v>51</v>
      </c>
      <c r="D51" s="44"/>
      <c r="E51" s="2"/>
    </row>
    <row r="52" spans="1:20" x14ac:dyDescent="0.2">
      <c r="A52" s="30">
        <f t="shared" si="0"/>
        <v>52</v>
      </c>
      <c r="B52" s="11" t="str">
        <f>+'Exhibit 1'!A28</f>
        <v>Net Plant &amp; Equipment</v>
      </c>
      <c r="D52" s="44">
        <f>+'Exhibit 1'!AH28</f>
        <v>0.29450409613436668</v>
      </c>
      <c r="E52" s="2"/>
      <c r="F52" s="13"/>
    </row>
    <row r="53" spans="1:20" x14ac:dyDescent="0.2">
      <c r="A53" s="30">
        <f t="shared" si="0"/>
        <v>53</v>
      </c>
      <c r="D53" s="44"/>
      <c r="F53" s="17"/>
    </row>
    <row r="54" spans="1:20" x14ac:dyDescent="0.2">
      <c r="A54" s="30">
        <f t="shared" si="0"/>
        <v>54</v>
      </c>
      <c r="B54" s="11" t="str">
        <f>+'Exhibit 1'!A30</f>
        <v>Other Assets:</v>
      </c>
      <c r="C54" s="23"/>
      <c r="D54" s="44"/>
      <c r="E54" s="9"/>
      <c r="F54" s="61"/>
      <c r="I54" s="19"/>
      <c r="J54" s="19"/>
      <c r="K54" s="19"/>
      <c r="L54" s="45"/>
      <c r="M54" s="19"/>
      <c r="N54" s="19"/>
    </row>
    <row r="55" spans="1:20" x14ac:dyDescent="0.2">
      <c r="A55" s="30">
        <f t="shared" si="0"/>
        <v>55</v>
      </c>
      <c r="B55" s="11" t="str">
        <f>+'Exhibit 1'!A31</f>
        <v>Accumulated Deferred Income Taxes</v>
      </c>
      <c r="C55" s="23"/>
      <c r="D55" s="44">
        <f>+'Exhibit 1'!AH31</f>
        <v>8.2799834215054394E-2</v>
      </c>
      <c r="F55" s="55"/>
      <c r="I55" s="15"/>
      <c r="J55" s="15"/>
      <c r="K55" s="15"/>
      <c r="L55" s="15"/>
      <c r="M55" s="15"/>
      <c r="N55" s="15"/>
      <c r="O55" s="15"/>
    </row>
    <row r="56" spans="1:20" x14ac:dyDescent="0.2">
      <c r="A56" s="30">
        <f t="shared" si="0"/>
        <v>56</v>
      </c>
      <c r="B56" s="11" t="str">
        <f>+'Exhibit 1'!A32</f>
        <v>Investments and Other Property</v>
      </c>
      <c r="C56" s="23"/>
      <c r="D56" s="44">
        <f>+'Exhibit 1'!AH32</f>
        <v>-1.1132462994077892E-2</v>
      </c>
      <c r="F56" s="27"/>
    </row>
    <row r="57" spans="1:20" x14ac:dyDescent="0.2">
      <c r="A57" s="30">
        <f t="shared" si="0"/>
        <v>57</v>
      </c>
      <c r="B57" s="11" t="str">
        <f>+'Exhibit 1'!A33</f>
        <v>Other Deferred Debits and Other Assets</v>
      </c>
      <c r="C57" s="23"/>
      <c r="D57" s="44">
        <f>+'Exhibit 1'!AH33</f>
        <v>0.16552292895984985</v>
      </c>
      <c r="F57" s="55"/>
    </row>
    <row r="58" spans="1:20" x14ac:dyDescent="0.2">
      <c r="A58" s="30">
        <f t="shared" si="0"/>
        <v>58</v>
      </c>
      <c r="B58" s="11" t="str">
        <f>+'Exhibit 1'!A34</f>
        <v>Total Other Assets</v>
      </c>
      <c r="C58" s="23"/>
      <c r="D58" s="44">
        <f>+'Exhibit 1'!AH34</f>
        <v>0.23719030018082637</v>
      </c>
      <c r="E58" s="2"/>
    </row>
    <row r="59" spans="1:20" x14ac:dyDescent="0.2">
      <c r="A59" s="30">
        <f t="shared" si="0"/>
        <v>59</v>
      </c>
      <c r="B59" s="11" t="str">
        <f>+'Exhibit 1'!A35</f>
        <v>Total Non-Current Assets</v>
      </c>
      <c r="C59" s="23"/>
      <c r="D59" s="44">
        <f>+'Exhibit 1'!AH35</f>
        <v>0.76280969981917357</v>
      </c>
      <c r="F59" s="17"/>
      <c r="I59"/>
      <c r="J59"/>
      <c r="K59"/>
      <c r="L59"/>
      <c r="M59"/>
      <c r="N59"/>
      <c r="O59"/>
      <c r="P59"/>
      <c r="Q59"/>
      <c r="R59"/>
      <c r="T59" s="34"/>
    </row>
    <row r="60" spans="1:20" x14ac:dyDescent="0.2">
      <c r="A60" s="30">
        <f t="shared" si="0"/>
        <v>60</v>
      </c>
      <c r="B60" s="11" t="str">
        <f>+'Exhibit 1'!A36</f>
        <v>Total Assets</v>
      </c>
      <c r="C60" s="23"/>
      <c r="D60" s="44">
        <f>+'Exhibit 1'!AH36</f>
        <v>1</v>
      </c>
      <c r="E60" s="9"/>
      <c r="F60" s="28"/>
      <c r="I60" s="30"/>
      <c r="J60" s="30"/>
      <c r="K60" s="30"/>
      <c r="L60" s="30"/>
      <c r="M60" s="63"/>
      <c r="N60"/>
      <c r="O60"/>
      <c r="P60"/>
      <c r="Q60"/>
      <c r="R60"/>
    </row>
    <row r="61" spans="1:20" x14ac:dyDescent="0.2">
      <c r="A61" s="30">
        <f t="shared" si="0"/>
        <v>61</v>
      </c>
      <c r="C61" s="23"/>
      <c r="D61" s="44"/>
      <c r="E61" s="2"/>
      <c r="F61" s="21"/>
      <c r="I61" s="15"/>
      <c r="J61" s="15"/>
      <c r="K61" s="15"/>
      <c r="L61" s="15"/>
      <c r="M61" s="15"/>
      <c r="N61" s="35"/>
      <c r="O61" s="35"/>
      <c r="P61" s="35"/>
      <c r="Q61" s="35"/>
      <c r="R61" s="35"/>
      <c r="S61" s="35"/>
    </row>
    <row r="62" spans="1:20" x14ac:dyDescent="0.2">
      <c r="A62" s="30">
        <f t="shared" si="0"/>
        <v>62</v>
      </c>
      <c r="B62" s="11" t="str">
        <f>+'Exhibit 1'!A38</f>
        <v>Current Liabilities:</v>
      </c>
      <c r="C62" s="23"/>
      <c r="D62" s="44"/>
      <c r="E62" s="2"/>
      <c r="F62" s="21"/>
      <c r="K62" s="172" t="s">
        <v>185</v>
      </c>
    </row>
    <row r="63" spans="1:20" x14ac:dyDescent="0.2">
      <c r="A63" s="30">
        <f t="shared" si="0"/>
        <v>63</v>
      </c>
      <c r="B63" s="11" t="str">
        <f>+'Exhibit 1'!A39</f>
        <v>Current Portion of LTD</v>
      </c>
      <c r="C63" s="23"/>
      <c r="D63" s="44"/>
      <c r="E63" s="2"/>
    </row>
    <row r="64" spans="1:20" x14ac:dyDescent="0.2">
      <c r="A64" s="30">
        <f t="shared" si="0"/>
        <v>64</v>
      </c>
      <c r="B64" s="11" t="str">
        <f>+'Exhibit 1'!A40</f>
        <v>Acounts Payable</v>
      </c>
      <c r="C64" s="23"/>
      <c r="D64" s="44">
        <f>+'Exhibit 1'!X40</f>
        <v>4.2651523472469068E-2</v>
      </c>
      <c r="E64" s="162">
        <f>+'Exhibit 1'!C40/'Exhibit 1'!C69</f>
        <v>4.4096373330010687E-2</v>
      </c>
      <c r="F64" s="162">
        <f>+'Exhibit 1'!D40/'Exhibit 1'!D69</f>
        <v>7.5161826926982811E-2</v>
      </c>
      <c r="G64" s="162">
        <f>+'Exhibit 1'!E40/'Exhibit 1'!E69</f>
        <v>4.8882617518819754E-2</v>
      </c>
      <c r="H64" s="162">
        <f>+'Exhibit 1'!F40/'Exhibit 1'!F69</f>
        <v>4.5758153876089565E-2</v>
      </c>
      <c r="I64" s="162">
        <f>+'Exhibit 1'!G40/'Exhibit 1'!G69</f>
        <v>5.4908767376041688E-2</v>
      </c>
      <c r="J64" s="162">
        <f>+'Exhibit 1'!H40/'Exhibit 1'!H69</f>
        <v>8.615661610092791E-2</v>
      </c>
      <c r="K64" s="162">
        <f>AVERAGE(F64:J64)</f>
        <v>6.2173596359772342E-2</v>
      </c>
      <c r="L64" s="162"/>
    </row>
    <row r="65" spans="1:18" x14ac:dyDescent="0.2">
      <c r="A65" s="30">
        <f t="shared" si="0"/>
        <v>65</v>
      </c>
      <c r="B65" s="11" t="str">
        <f>+'Exhibit 1'!A41</f>
        <v>Customer Deposits</v>
      </c>
      <c r="C65" s="23"/>
      <c r="D65" s="44"/>
      <c r="K65" s="162"/>
    </row>
    <row r="66" spans="1:18" x14ac:dyDescent="0.2">
      <c r="A66" s="30">
        <f t="shared" si="0"/>
        <v>66</v>
      </c>
      <c r="B66" s="11" t="str">
        <f>+'Exhibit 1'!A42</f>
        <v xml:space="preserve">Other </v>
      </c>
      <c r="C66" s="23"/>
      <c r="D66" s="44">
        <f>+'Exhibit 1'!AH42</f>
        <v>3.7621632471323919E-2</v>
      </c>
      <c r="E66" s="17"/>
    </row>
    <row r="67" spans="1:18" x14ac:dyDescent="0.2">
      <c r="A67" s="30">
        <f t="shared" si="0"/>
        <v>67</v>
      </c>
      <c r="B67" s="11" t="str">
        <f>+'Exhibit 1'!A43</f>
        <v>Total Current Liabilities</v>
      </c>
      <c r="C67" s="23"/>
      <c r="D67" s="44">
        <f>+'Exhibit 1'!AH43</f>
        <v>8.0908093314376303E-2</v>
      </c>
    </row>
    <row r="68" spans="1:18" x14ac:dyDescent="0.2">
      <c r="A68" s="30">
        <f t="shared" si="0"/>
        <v>68</v>
      </c>
      <c r="C68" s="23"/>
      <c r="D68" s="44"/>
      <c r="E68" s="9"/>
    </row>
    <row r="69" spans="1:18" x14ac:dyDescent="0.2">
      <c r="A69" s="30">
        <f t="shared" si="0"/>
        <v>69</v>
      </c>
      <c r="B69" s="11" t="str">
        <f>+'Exhibit 1'!A45</f>
        <v>Long-Term Debt</v>
      </c>
      <c r="D69" s="44"/>
    </row>
    <row r="70" spans="1:18" x14ac:dyDescent="0.2">
      <c r="A70" s="30">
        <f>A69+1</f>
        <v>70</v>
      </c>
      <c r="B70" s="11" t="str">
        <f>+'Exhibit 1'!A46</f>
        <v>Deferred Income Taxes</v>
      </c>
      <c r="C70" s="23"/>
      <c r="D70" s="44">
        <f>+'Exhibit 1'!AH46</f>
        <v>0.14347563759985132</v>
      </c>
      <c r="E70" s="2"/>
    </row>
    <row r="71" spans="1:18" x14ac:dyDescent="0.2">
      <c r="A71" s="30">
        <f>A70+1</f>
        <v>71</v>
      </c>
      <c r="B71" s="11" t="str">
        <f>+'Exhibit 1'!A47</f>
        <v>Other Deferred Credits</v>
      </c>
      <c r="C71" s="23"/>
      <c r="D71" s="44">
        <f>+'Exhibit 1'!AH47</f>
        <v>3.3471606093646491E-3</v>
      </c>
      <c r="E71" s="54"/>
    </row>
    <row r="72" spans="1:18" s="59" customFormat="1" x14ac:dyDescent="0.2">
      <c r="A72" s="30">
        <f>A71+1</f>
        <v>72</v>
      </c>
      <c r="B72" s="11" t="str">
        <f>+'Exhibit 1'!A48</f>
        <v>Total LTD &amp; Deferrals</v>
      </c>
      <c r="C72" s="60"/>
      <c r="D72" s="4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x14ac:dyDescent="0.2">
      <c r="A73" s="30">
        <f>A72+1</f>
        <v>73</v>
      </c>
      <c r="D73" s="44"/>
      <c r="E73" s="15"/>
    </row>
    <row r="74" spans="1:18" x14ac:dyDescent="0.2">
      <c r="A74" s="30">
        <f>A73+1</f>
        <v>74</v>
      </c>
      <c r="B74" s="11" t="str">
        <f>+'Exhibit 1'!A50</f>
        <v>Total Liabilities</v>
      </c>
      <c r="D74" s="44"/>
      <c r="E74" s="15"/>
    </row>
    <row r="75" spans="1:18" x14ac:dyDescent="0.2">
      <c r="D75" s="15"/>
      <c r="E75" s="15"/>
    </row>
    <row r="76" spans="1:18" x14ac:dyDescent="0.2">
      <c r="D76" s="15"/>
      <c r="E76" s="15"/>
    </row>
    <row r="77" spans="1:18" x14ac:dyDescent="0.2">
      <c r="D77" s="15"/>
      <c r="E77" s="15"/>
    </row>
    <row r="78" spans="1:18" x14ac:dyDescent="0.2">
      <c r="D78" s="15"/>
      <c r="E78" s="15"/>
    </row>
    <row r="79" spans="1:18" x14ac:dyDescent="0.2">
      <c r="D79" s="15"/>
      <c r="E79" s="15"/>
    </row>
    <row r="80" spans="1:18" x14ac:dyDescent="0.2">
      <c r="D80" s="15"/>
      <c r="E80" s="15"/>
    </row>
    <row r="81" spans="2:5" x14ac:dyDescent="0.2">
      <c r="D81" s="15"/>
      <c r="E81" s="15"/>
    </row>
    <row r="82" spans="2:5" x14ac:dyDescent="0.2">
      <c r="D82" s="15"/>
      <c r="E82" s="15"/>
    </row>
    <row r="83" spans="2:5" x14ac:dyDescent="0.2">
      <c r="D83" s="15"/>
      <c r="E83" s="15"/>
    </row>
    <row r="84" spans="2:5" x14ac:dyDescent="0.2">
      <c r="D84" s="15"/>
      <c r="E84" s="15"/>
    </row>
    <row r="85" spans="2:5" x14ac:dyDescent="0.2">
      <c r="D85" s="15"/>
      <c r="E85" s="15"/>
    </row>
    <row r="86" spans="2:5" x14ac:dyDescent="0.2">
      <c r="D86" s="15"/>
      <c r="E86" s="15"/>
    </row>
    <row r="87" spans="2:5" x14ac:dyDescent="0.2">
      <c r="D87" s="15"/>
      <c r="E87" s="15"/>
    </row>
    <row r="88" spans="2:5" x14ac:dyDescent="0.2">
      <c r="D88" s="15"/>
      <c r="E88" s="15"/>
    </row>
    <row r="89" spans="2:5" x14ac:dyDescent="0.2">
      <c r="D89" s="15"/>
      <c r="E89" s="15"/>
    </row>
    <row r="90" spans="2:5" x14ac:dyDescent="0.2">
      <c r="D90" s="15"/>
      <c r="E90" s="15"/>
    </row>
    <row r="91" spans="2:5" x14ac:dyDescent="0.2">
      <c r="D91" s="15"/>
      <c r="E91" s="15"/>
    </row>
    <row r="92" spans="2:5" x14ac:dyDescent="0.2">
      <c r="D92" s="15"/>
      <c r="E92" s="15"/>
    </row>
    <row r="93" spans="2:5" x14ac:dyDescent="0.2">
      <c r="C93" s="15"/>
      <c r="D93" s="15"/>
    </row>
    <row r="96" spans="2:5" x14ac:dyDescent="0.2">
      <c r="B96" s="15"/>
      <c r="C96" s="15"/>
      <c r="D96" s="15"/>
    </row>
    <row r="97" spans="2:4" x14ac:dyDescent="0.2">
      <c r="B97" s="15"/>
      <c r="C97" s="15"/>
      <c r="D97" s="15"/>
    </row>
    <row r="98" spans="2:4" x14ac:dyDescent="0.2">
      <c r="B98" s="15"/>
      <c r="C98" s="15"/>
      <c r="D98" s="15"/>
    </row>
    <row r="99" spans="2:4" x14ac:dyDescent="0.2">
      <c r="B99" s="15"/>
      <c r="C99" s="15"/>
      <c r="D99" s="15"/>
    </row>
    <row r="100" spans="2:4" x14ac:dyDescent="0.2">
      <c r="B100" s="15"/>
      <c r="C100" s="15"/>
      <c r="D100" s="15"/>
    </row>
    <row r="101" spans="2:4" x14ac:dyDescent="0.2">
      <c r="B101" s="15"/>
      <c r="C101" s="15"/>
      <c r="D101" s="15"/>
    </row>
    <row r="102" spans="2:4" x14ac:dyDescent="0.2">
      <c r="B102" s="15"/>
      <c r="C102" s="15"/>
      <c r="D102" s="15"/>
    </row>
    <row r="103" spans="2:4" x14ac:dyDescent="0.2">
      <c r="B103" s="15"/>
      <c r="C103" s="15"/>
      <c r="D103" s="15"/>
    </row>
    <row r="104" spans="2:4" x14ac:dyDescent="0.2">
      <c r="B104" s="15"/>
      <c r="C104" s="15"/>
      <c r="D104" s="15"/>
    </row>
    <row r="105" spans="2:4" x14ac:dyDescent="0.2">
      <c r="B105" s="15"/>
      <c r="C105" s="15"/>
      <c r="D105" s="15"/>
    </row>
    <row r="106" spans="2:4" x14ac:dyDescent="0.2">
      <c r="B106" s="15"/>
      <c r="C106" s="15"/>
      <c r="D106" s="15"/>
    </row>
    <row r="107" spans="2:4" x14ac:dyDescent="0.2">
      <c r="B107" s="15"/>
      <c r="C107" s="15"/>
      <c r="D107" s="15"/>
    </row>
    <row r="108" spans="2:4" x14ac:dyDescent="0.2">
      <c r="B108" s="15"/>
      <c r="C108" s="15"/>
      <c r="D108" s="15"/>
    </row>
    <row r="109" spans="2:4" x14ac:dyDescent="0.2">
      <c r="B109" s="15"/>
      <c r="C109" s="15"/>
      <c r="D109" s="15"/>
    </row>
    <row r="110" spans="2:4" x14ac:dyDescent="0.2">
      <c r="B110" s="15"/>
      <c r="C110" s="15"/>
      <c r="D110" s="15"/>
    </row>
    <row r="111" spans="2:4" x14ac:dyDescent="0.2">
      <c r="B111" s="15"/>
      <c r="C111" s="15"/>
      <c r="D111" s="15"/>
    </row>
    <row r="112" spans="2:4" x14ac:dyDescent="0.2">
      <c r="B112" s="15"/>
      <c r="C112" s="15"/>
      <c r="D112" s="15"/>
    </row>
    <row r="113" spans="2:4" x14ac:dyDescent="0.2">
      <c r="B113" s="15"/>
      <c r="C113" s="15"/>
      <c r="D113" s="15"/>
    </row>
    <row r="114" spans="2:4" x14ac:dyDescent="0.2">
      <c r="B114" s="15"/>
      <c r="C114" s="15"/>
      <c r="D114" s="15"/>
    </row>
    <row r="115" spans="2:4" x14ac:dyDescent="0.2">
      <c r="B115" s="15"/>
      <c r="C115" s="15"/>
      <c r="D115" s="15"/>
    </row>
    <row r="116" spans="2:4" x14ac:dyDescent="0.2">
      <c r="B116" s="15"/>
      <c r="C116" s="15"/>
      <c r="D116" s="15"/>
    </row>
    <row r="117" spans="2:4" x14ac:dyDescent="0.2">
      <c r="B117" s="15"/>
      <c r="C117" s="15"/>
      <c r="D117" s="15"/>
    </row>
    <row r="118" spans="2:4" x14ac:dyDescent="0.2">
      <c r="B118" s="15"/>
      <c r="C118" s="15"/>
      <c r="D118" s="15"/>
    </row>
    <row r="136" spans="6:6" x14ac:dyDescent="0.2">
      <c r="F136" s="17"/>
    </row>
    <row r="137" spans="6:6" x14ac:dyDescent="0.2">
      <c r="F137" s="17"/>
    </row>
    <row r="138" spans="6:6" x14ac:dyDescent="0.2">
      <c r="F138" s="17"/>
    </row>
    <row r="139" spans="6:6" x14ac:dyDescent="0.2">
      <c r="F139" s="17"/>
    </row>
    <row r="179" spans="6:6" x14ac:dyDescent="0.2">
      <c r="F179" s="17"/>
    </row>
    <row r="180" spans="6:6" x14ac:dyDescent="0.2">
      <c r="F180" s="17"/>
    </row>
    <row r="181" spans="6:6" x14ac:dyDescent="0.2">
      <c r="F181" s="17"/>
    </row>
    <row r="182" spans="6:6" x14ac:dyDescent="0.2">
      <c r="F182" s="17"/>
    </row>
  </sheetData>
  <phoneticPr fontId="4" type="noConversion"/>
  <pageMargins left="0.46" right="0.28000000000000003" top="0.53" bottom="0.53" header="0.5" footer="0.5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 1</vt:lpstr>
      <vt:lpstr>Exhibit 1 page 3</vt:lpstr>
      <vt:lpstr>Exhibit 2</vt:lpstr>
      <vt:lpstr>Assumptions</vt:lpstr>
      <vt:lpstr>Assumptions!Print_Area</vt:lpstr>
      <vt:lpstr>'Exhibit 1'!Print_Area</vt:lpstr>
      <vt:lpstr>'Exhibit 1 page 3'!Print_Area</vt:lpstr>
      <vt:lpstr>'Exhibit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Einfeldt</dc:creator>
  <cp:lastModifiedBy>laurieharris</cp:lastModifiedBy>
  <cp:lastPrinted>2016-09-30T14:48:46Z</cp:lastPrinted>
  <dcterms:created xsi:type="dcterms:W3CDTF">2005-09-19T14:11:29Z</dcterms:created>
  <dcterms:modified xsi:type="dcterms:W3CDTF">2016-10-04T14:04:42Z</dcterms:modified>
</cp:coreProperties>
</file>