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10935" tabRatio="887"/>
  </bookViews>
  <sheets>
    <sheet name="Appendix B.1" sheetId="63" r:id="rId1"/>
    <sheet name="Table 1" sheetId="25" r:id="rId2"/>
    <sheet name="Table 4" sheetId="28" r:id="rId3"/>
    <sheet name="Table 5" sheetId="31" r:id="rId4"/>
    <sheet name="Table 3 TransCost D2 " sheetId="47" state="hidden" r:id="rId5"/>
    <sheet name="Table 3 EV2020 Wind_2020" sheetId="43" state="hidden" r:id="rId6"/>
    <sheet name="Table 3 EV2020 Wind_2021" sheetId="49" state="hidden" r:id="rId7"/>
    <sheet name="Table 3 DJ Wind 2030" sheetId="42" state="hidden" r:id="rId8"/>
    <sheet name="Table 3 ID Wind 2033" sheetId="44" state="hidden" r:id="rId9"/>
    <sheet name="Table 3 WW Wind 2035" sheetId="52" state="hidden" r:id="rId10"/>
    <sheet name="Table 3 YK Wind 2035" sheetId="53" state="hidden" r:id="rId11"/>
    <sheet name="Table 3 OR Wind 2035" sheetId="54" state="hidden" r:id="rId12"/>
    <sheet name="Table 3 UT Wind 2036" sheetId="50" state="hidden" r:id="rId13"/>
    <sheet name="Table 3 YK Solar 2030" sheetId="41" state="hidden" r:id="rId14"/>
    <sheet name="Table 3 YK Solar 2032" sheetId="56" state="hidden" r:id="rId15"/>
    <sheet name="Table 3 YK Solar 2033" sheetId="57" state="hidden" r:id="rId16"/>
    <sheet name="Table 3 UT Solar 2033 ST" sheetId="40" state="hidden" r:id="rId17"/>
    <sheet name="Table 3 UT Solar 2035 ST" sheetId="62" state="hidden" r:id="rId18"/>
    <sheet name="Table 3 UT Solar 2035 FT" sheetId="55" state="hidden" r:id="rId19"/>
    <sheet name="Table 3 OR Solar 2030" sheetId="58" state="hidden" r:id="rId20"/>
    <sheet name="Table 3 OR Solar 2031" sheetId="59" state="hidden" r:id="rId21"/>
    <sheet name="Table 3 OR Solar 2032" sheetId="60" state="hidden" r:id="rId22"/>
    <sheet name="Table 3 OR Solar 2033" sheetId="61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200_SCCT_UtahN">'Table 1'!$I$19</definedName>
    <definedName name="_200_SCCT_WYNE">'Table 1'!$I$21</definedName>
    <definedName name="_30_Geo_West" localSheetId="0">'[1]Table 1'!$I$17</definedName>
    <definedName name="_30_Geo_West" localSheetId="4">'Table 1'!$I$17</definedName>
    <definedName name="_30_Geo_West">'Table 1'!$I$17</definedName>
    <definedName name="_436_CCCT_WestMain" localSheetId="0">'[1]Table 1'!$I$18</definedName>
    <definedName name="_436_CCCT_WestMain" localSheetId="4">'Table 1'!$I$18</definedName>
    <definedName name="_436_CCCT_WestMain">'Table 1'!$I$18</definedName>
    <definedName name="_477_CCCT_WestMain" localSheetId="0">'[1]Table 1'!$I$18</definedName>
    <definedName name="_477_CCCT_WestMain">'[2]Table 1'!$I$18</definedName>
    <definedName name="_477_CCCT_WYNE">'Table 1'!$I$20</definedName>
    <definedName name="_635_CCCT_UtahS" localSheetId="0">'[1]Table 1'!$I$19</definedName>
    <definedName name="_635_CCCT_UtahS">'[2]Table 1'!$I$19</definedName>
    <definedName name="_635_CCCT_WyoNE" localSheetId="0">'[1]Table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 localSheetId="0">'[1]Table 1'!$I$42</definedName>
    <definedName name="Discount_Rate">'Table 1'!$I$39</definedName>
    <definedName name="Discount_Rate_2015_IRP" localSheetId="7">'[5]Table 7 to 8'!$AE$43</definedName>
    <definedName name="Discount_Rate_2015_IRP" localSheetId="5">'[5]Table 7 to 8'!$AE$43</definedName>
    <definedName name="Discount_Rate_2015_IRP" localSheetId="6">'[5]Table 7 to 8'!$AE$43</definedName>
    <definedName name="Discount_Rate_2015_IRP" localSheetId="8">'[5]Table 7 to 8'!$AE$43</definedName>
    <definedName name="Discount_Rate_2015_IRP" localSheetId="1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11">'[5]Table 7 to 8'!$AE$43</definedName>
    <definedName name="Discount_Rate_2015_IRP" localSheetId="4">'[5]Table 7 to 8'!$AE$43</definedName>
    <definedName name="Discount_Rate_2015_IRP" localSheetId="16">'[5]Table 7 to 8'!$AE$43</definedName>
    <definedName name="Discount_Rate_2015_IRP" localSheetId="18">'[5]Table 7 to 8'!$AE$43</definedName>
    <definedName name="Discount_Rate_2015_IRP" localSheetId="17">'[5]Table 7 to 8'!$AE$43</definedName>
    <definedName name="Discount_Rate_2015_IRP" localSheetId="12">'[5]Table 7 to 8'!$AE$43</definedName>
    <definedName name="Discount_Rate_2015_IRP" localSheetId="9">'[5]Table 7 to 8'!$AE$43</definedName>
    <definedName name="Discount_Rate_2015_IRP" localSheetId="13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0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7">'[7]OFPC Source'!$J$8:$M$295</definedName>
    <definedName name="Market" localSheetId="5">'[7]OFPC Source'!$J$8:$M$295</definedName>
    <definedName name="Market" localSheetId="6">'[7]OFPC Source'!$J$8:$M$295</definedName>
    <definedName name="Market" localSheetId="8">'[7]OFPC Source'!$J$8:$M$295</definedName>
    <definedName name="Market" localSheetId="1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11">'[7]OFPC Source'!$J$8:$M$295</definedName>
    <definedName name="Market" localSheetId="4">'[7]OFPC Source'!$J$8:$M$295</definedName>
    <definedName name="Market" localSheetId="16">'[7]OFPC Source'!$J$8:$M$295</definedName>
    <definedName name="Market" localSheetId="18">'[7]OFPC Source'!$J$8:$M$295</definedName>
    <definedName name="Market" localSheetId="17">'[7]OFPC Source'!$J$8:$M$295</definedName>
    <definedName name="Market" localSheetId="12">'[7]OFPC Source'!$J$8:$M$295</definedName>
    <definedName name="Market" localSheetId="9">'[7]OFPC Source'!$J$8:$M$295</definedName>
    <definedName name="Market" localSheetId="13">'[7]OFPC Source'!$J$8:$M$295</definedName>
    <definedName name="Market" localSheetId="14">'[7]OFPC Source'!$J$8:$M$295</definedName>
    <definedName name="Market" localSheetId="15">'[7]OFPC Source'!$J$8:$M$295</definedName>
    <definedName name="Market" localSheetId="10">'[7]OFPC Source'!$J$8:$M$295</definedName>
    <definedName name="Market">'[6]OFPC Source'!$J$8:$M$295</definedName>
    <definedName name="MidC_Flat">[8]Market_Price!#REF!</definedName>
    <definedName name="OR_AC_price">#REF!</definedName>
    <definedName name="_xlnm.Print_Area" localSheetId="0">'Appendix B.1'!$A$1:$L$37</definedName>
    <definedName name="_xlnm.Print_Area" localSheetId="1">'Table 1'!$A$1:$H$57</definedName>
    <definedName name="_xlnm.Print_Area" localSheetId="7">'Table 3 DJ Wind 2030'!$A$1:$K$74</definedName>
    <definedName name="_xlnm.Print_Area" localSheetId="5">'Table 3 EV2020 Wind_2020'!$A$1:$M$74</definedName>
    <definedName name="_xlnm.Print_Area" localSheetId="6">'Table 3 EV2020 Wind_2021'!$A$1:$M$74</definedName>
    <definedName name="_xlnm.Print_Area" localSheetId="8">'Table 3 ID Wind 2033'!$A$1:$K$74</definedName>
    <definedName name="_xlnm.Print_Area" localSheetId="19">'Table 3 OR Solar 2030'!$A$1:$K$74</definedName>
    <definedName name="_xlnm.Print_Area" localSheetId="20">'Table 3 OR Solar 2031'!$A$1:$K$74</definedName>
    <definedName name="_xlnm.Print_Area" localSheetId="21">'Table 3 OR Solar 2032'!$A$1:$K$74</definedName>
    <definedName name="_xlnm.Print_Area" localSheetId="22">'Table 3 OR Solar 2033'!$A$1:$K$74</definedName>
    <definedName name="_xlnm.Print_Area" localSheetId="11">'Table 3 OR Wind 2035'!$A$1:$K$74</definedName>
    <definedName name="_xlnm.Print_Area" localSheetId="4">'Table 3 TransCost D2 '!$A$1:$K$49</definedName>
    <definedName name="_xlnm.Print_Area" localSheetId="16">'Table 3 UT Solar 2033 ST'!$A$1:$K$74</definedName>
    <definedName name="_xlnm.Print_Area" localSheetId="18">'Table 3 UT Solar 2035 FT'!$A$1:$K$74</definedName>
    <definedName name="_xlnm.Print_Area" localSheetId="17">'Table 3 UT Solar 2035 ST'!$A$1:$K$74</definedName>
    <definedName name="_xlnm.Print_Area" localSheetId="12">'Table 3 UT Wind 2036'!$A$1:$K$74</definedName>
    <definedName name="_xlnm.Print_Area" localSheetId="9">'Table 3 WW Wind 2035'!$A$1:$K$74</definedName>
    <definedName name="_xlnm.Print_Area" localSheetId="13">'Table 3 YK Solar 2030'!$A$1:$K$74</definedName>
    <definedName name="_xlnm.Print_Area" localSheetId="14">'Table 3 YK Solar 2032'!$A$1:$K$74</definedName>
    <definedName name="_xlnm.Print_Area" localSheetId="15">'Table 3 YK Solar 2033'!$A$1:$K$74</definedName>
    <definedName name="_xlnm.Print_Area" localSheetId="10">'Table 3 YK Wind 2035'!$A$1:$K$74</definedName>
    <definedName name="_xlnm.Print_Area" localSheetId="2">'Table 4'!$A$1:$E$44</definedName>
    <definedName name="_xlnm.Print_Area" localSheetId="3">'Table 5'!$A$1:$H$266</definedName>
    <definedName name="RenewableMarketShape" localSheetId="7">'[7]OFPC Source'!$P$5:$U$28</definedName>
    <definedName name="RenewableMarketShape" localSheetId="5">'[7]OFPC Source'!$P$5:$U$28</definedName>
    <definedName name="RenewableMarketShape" localSheetId="6">'[7]OFPC Source'!$P$5:$U$28</definedName>
    <definedName name="RenewableMarketShape" localSheetId="8">'[7]OFPC Source'!$P$5:$U$28</definedName>
    <definedName name="RenewableMarketShape" localSheetId="1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11">'[7]OFPC Source'!$P$5:$U$28</definedName>
    <definedName name="RenewableMarketShape" localSheetId="4">'[7]OFPC Source'!$P$5:$U$28</definedName>
    <definedName name="RenewableMarketShape" localSheetId="16">'[7]OFPC Source'!$P$5:$U$28</definedName>
    <definedName name="RenewableMarketShape" localSheetId="18">'[7]OFPC Source'!$P$5:$U$28</definedName>
    <definedName name="RenewableMarketShape" localSheetId="17">'[7]OFPC Source'!$P$5:$U$28</definedName>
    <definedName name="RenewableMarketShape" localSheetId="12">'[7]OFPC Source'!$P$5:$U$28</definedName>
    <definedName name="RenewableMarketShape" localSheetId="9">'[7]OFPC Source'!$P$5:$U$28</definedName>
    <definedName name="RenewableMarketShape" localSheetId="13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0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7">'[7]OFPC Source'!$U$47</definedName>
    <definedName name="Solar_HLH" localSheetId="5">'[7]OFPC Source'!$U$47</definedName>
    <definedName name="Solar_HLH" localSheetId="6">'[7]OFPC Source'!$U$47</definedName>
    <definedName name="Solar_HLH" localSheetId="8">'[7]OFPC Source'!$U$47</definedName>
    <definedName name="Solar_HLH" localSheetId="1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11">'[7]OFPC Source'!$U$47</definedName>
    <definedName name="Solar_HLH" localSheetId="4">'[7]OFPC Source'!$U$47</definedName>
    <definedName name="Solar_HLH" localSheetId="16">'[7]OFPC Source'!$U$47</definedName>
    <definedName name="Solar_HLH" localSheetId="18">'[7]OFPC Source'!$U$47</definedName>
    <definedName name="Solar_HLH" localSheetId="17">'[7]OFPC Source'!$U$47</definedName>
    <definedName name="Solar_HLH" localSheetId="12">'[7]OFPC Source'!$U$47</definedName>
    <definedName name="Solar_HLH" localSheetId="9">'[7]OFPC Source'!$U$47</definedName>
    <definedName name="Solar_HLH" localSheetId="13">'[7]OFPC Source'!$U$47</definedName>
    <definedName name="Solar_HLH" localSheetId="14">'[7]OFPC Source'!$U$47</definedName>
    <definedName name="Solar_HLH" localSheetId="15">'[7]OFPC Source'!$U$47</definedName>
    <definedName name="Solar_HLH" localSheetId="10">'[7]OFPC Source'!$U$47</definedName>
    <definedName name="Solar_HLH">'[6]OFPC Source'!$U$48</definedName>
    <definedName name="Solar_LLH" localSheetId="7">'[7]OFPC Source'!$V$47</definedName>
    <definedName name="Solar_LLH" localSheetId="5">'[7]OFPC Source'!$V$47</definedName>
    <definedName name="Solar_LLH" localSheetId="6">'[7]OFPC Source'!$V$47</definedName>
    <definedName name="Solar_LLH" localSheetId="8">'[7]OFPC Source'!$V$47</definedName>
    <definedName name="Solar_LLH" localSheetId="1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11">'[7]OFPC Source'!$V$47</definedName>
    <definedName name="Solar_LLH" localSheetId="4">'[7]OFPC Source'!$V$47</definedName>
    <definedName name="Solar_LLH" localSheetId="16">'[7]OFPC Source'!$V$47</definedName>
    <definedName name="Solar_LLH" localSheetId="18">'[7]OFPC Source'!$V$47</definedName>
    <definedName name="Solar_LLH" localSheetId="17">'[7]OFPC Source'!$V$47</definedName>
    <definedName name="Solar_LLH" localSheetId="12">'[7]OFPC Source'!$V$47</definedName>
    <definedName name="Solar_LLH" localSheetId="9">'[7]OFPC Source'!$V$47</definedName>
    <definedName name="Solar_LLH" localSheetId="13">'[7]OFPC Source'!$V$47</definedName>
    <definedName name="Solar_LLH" localSheetId="14">'[7]OFPC Source'!$V$47</definedName>
    <definedName name="Solar_LLH" localSheetId="15">'[7]OFPC Source'!$V$47</definedName>
    <definedName name="Solar_LLH" localSheetId="10">'[7]OFPC Source'!$V$47</definedName>
    <definedName name="Solar_LLH">'[6]OFPC Source'!$V$48</definedName>
    <definedName name="Solar_Tracking_integr_cost">'[9]Table 10'!$B$45</definedName>
    <definedName name="Study_Cap_Adj" localSheetId="0">'[1]Table 1'!$I$8</definedName>
    <definedName name="Study_Cap_Adj" localSheetId="4">'Table 1'!$I$8</definedName>
    <definedName name="Study_Cap_Adj">'Table 1'!$I$8</definedName>
    <definedName name="Study_CF" localSheetId="0">'[1]Table 5'!$M$7</definedName>
    <definedName name="Study_CF">'Table 5'!$M$7</definedName>
    <definedName name="Study_MW" localSheetId="0">'[1]Table 5'!$M$6</definedName>
    <definedName name="Study_MW">'Table 5'!$M$6</definedName>
    <definedName name="Study_Name" localSheetId="7">[4]ImportData!$D$7</definedName>
    <definedName name="Study_Name" localSheetId="5">[4]ImportData!$D$7</definedName>
    <definedName name="Study_Name" localSheetId="6">[4]ImportData!$D$7</definedName>
    <definedName name="Study_Name" localSheetId="8">[4]ImportData!$D$7</definedName>
    <definedName name="Study_Name" localSheetId="1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11">[4]ImportData!$D$7</definedName>
    <definedName name="Study_Name" localSheetId="4">[4]ImportData!$D$7</definedName>
    <definedName name="Study_Name" localSheetId="16">[4]ImportData!$D$7</definedName>
    <definedName name="Study_Name" localSheetId="18">[4]ImportData!$D$7</definedName>
    <definedName name="Study_Name" localSheetId="17">[4]ImportData!$D$7</definedName>
    <definedName name="Study_Name" localSheetId="12">[4]ImportData!$D$7</definedName>
    <definedName name="Study_Name" localSheetId="9">[4]ImportData!$D$7</definedName>
    <definedName name="Study_Name" localSheetId="13">[4]ImportData!$D$7</definedName>
    <definedName name="Study_Name" localSheetId="14">[4]ImportData!$D$7</definedName>
    <definedName name="Study_Name" localSheetId="15">[4]ImportData!$D$7</definedName>
    <definedName name="Study_Name" localSheetId="10">[4]ImportData!$D$7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D10" i="63" l="1"/>
  <c r="D16" i="63"/>
  <c r="D11" i="63"/>
  <c r="D17" i="63"/>
  <c r="D12" i="63"/>
  <c r="D8" i="63"/>
  <c r="D14" i="63"/>
  <c r="D15" i="63"/>
  <c r="D9" i="63"/>
  <c r="D13" i="63"/>
  <c r="D22" i="63" l="1"/>
  <c r="D21" i="63"/>
  <c r="D18" i="63"/>
  <c r="D20" i="63"/>
  <c r="D19" i="63" l="1"/>
  <c r="D25" i="63"/>
  <c r="H25" i="63" l="1"/>
  <c r="G25" i="63" l="1"/>
  <c r="F25" i="63" l="1"/>
  <c r="G22" i="63" l="1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C7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L25" i="63"/>
  <c r="L24" i="63"/>
  <c r="B30" i="63"/>
  <c r="I5" i="63" l="1"/>
  <c r="J5" i="63"/>
  <c r="K5" i="63"/>
  <c r="B24" i="63"/>
  <c r="B31" i="63"/>
  <c r="B33" i="63"/>
  <c r="CL9" i="25" l="1"/>
  <c r="CK9" i="25"/>
  <c r="CJ9" i="25"/>
  <c r="CI9" i="25"/>
  <c r="CH9" i="25"/>
  <c r="CG9" i="25"/>
  <c r="CF9" i="25"/>
  <c r="CE9" i="25"/>
  <c r="CD9" i="25"/>
  <c r="CC9" i="25"/>
  <c r="CB9" i="25"/>
  <c r="CA9" i="25"/>
  <c r="BZ9" i="25"/>
  <c r="BY9" i="25"/>
  <c r="BX9" i="25"/>
  <c r="BW9" i="25"/>
  <c r="BV9" i="25"/>
  <c r="BU9" i="25"/>
  <c r="AZ9" i="25"/>
  <c r="AZ8" i="25"/>
  <c r="AY9" i="25"/>
  <c r="AX9" i="25"/>
  <c r="AW9" i="25"/>
  <c r="AV9" i="25"/>
  <c r="AU9" i="25"/>
  <c r="AT9" i="25"/>
  <c r="AS9" i="25"/>
  <c r="AR9" i="25"/>
  <c r="AY8" i="25"/>
  <c r="AX8" i="25"/>
  <c r="AW8" i="25"/>
  <c r="AV8" i="25"/>
  <c r="AU8" i="25"/>
  <c r="AT8" i="25"/>
  <c r="AS8" i="25"/>
  <c r="AR8" i="25"/>
  <c r="AQ8" i="25"/>
  <c r="D44" i="55" l="1"/>
  <c r="C29" i="62"/>
  <c r="D44" i="62"/>
  <c r="D44" i="40"/>
  <c r="D44" i="61"/>
  <c r="D44" i="60"/>
  <c r="D44" i="59"/>
  <c r="D44" i="58"/>
  <c r="D44" i="56"/>
  <c r="D44" i="57" s="1"/>
  <c r="D44" i="41"/>
  <c r="D44" i="49" l="1"/>
  <c r="C67" i="62" l="1"/>
  <c r="C68" i="62" s="1"/>
  <c r="D11" i="62"/>
  <c r="D29" i="62"/>
  <c r="G11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B11" i="62"/>
  <c r="B12" i="62" s="1"/>
  <c r="B3" i="62"/>
  <c r="C52" i="62" s="1"/>
  <c r="B9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BI9" i="25"/>
  <c r="BH9" i="25"/>
  <c r="BG9" i="25"/>
  <c r="BF9" i="25"/>
  <c r="BE9" i="25"/>
  <c r="BD9" i="25"/>
  <c r="BC9" i="25"/>
  <c r="BB9" i="25"/>
  <c r="AQ9" i="25"/>
  <c r="AP9" i="25"/>
  <c r="AO9" i="25"/>
  <c r="AN9" i="25"/>
  <c r="AM9" i="25"/>
  <c r="AL9" i="25"/>
  <c r="AK9" i="25"/>
  <c r="AJ9" i="25"/>
  <c r="AI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D46" i="61"/>
  <c r="G11" i="61"/>
  <c r="K11" i="61"/>
  <c r="E11" i="61"/>
  <c r="C49" i="61"/>
  <c r="D48" i="61"/>
  <c r="C48" i="61"/>
  <c r="C47" i="61"/>
  <c r="C46" i="61"/>
  <c r="C45" i="61"/>
  <c r="D49" i="61"/>
  <c r="H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K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D49" i="50"/>
  <c r="C49" i="50"/>
  <c r="D48" i="50"/>
  <c r="C48" i="50"/>
  <c r="C47" i="50"/>
  <c r="C46" i="50"/>
  <c r="C45" i="50"/>
  <c r="D44" i="50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G12" i="57" l="1"/>
  <c r="H12" i="59"/>
  <c r="B3" i="58"/>
  <c r="C52" i="58" s="1"/>
  <c r="B9" i="58" s="1"/>
  <c r="P12" i="54"/>
  <c r="D27" i="40"/>
  <c r="E21" i="62"/>
  <c r="B3" i="50"/>
  <c r="C52" i="50" s="1"/>
  <c r="B9" i="50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K13" i="50"/>
  <c r="C69" i="50"/>
  <c r="E12" i="50"/>
  <c r="B15" i="49"/>
  <c r="C71" i="49"/>
  <c r="H12" i="49"/>
  <c r="H13" i="49" s="1"/>
  <c r="G13" i="57" l="1"/>
  <c r="G14" i="57" s="1"/>
  <c r="G13" i="59"/>
  <c r="I12" i="59"/>
  <c r="J12" i="59" s="1"/>
  <c r="I12" i="54"/>
  <c r="J12" i="54" s="1"/>
  <c r="G13" i="54"/>
  <c r="H14" i="58"/>
  <c r="I12" i="57"/>
  <c r="J12" i="57" s="1"/>
  <c r="P13" i="54"/>
  <c r="G12" i="61"/>
  <c r="K12" i="60"/>
  <c r="K13" i="60" s="1"/>
  <c r="E12" i="61"/>
  <c r="F12" i="61" s="1"/>
  <c r="H13" i="54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13" i="57"/>
  <c r="F13" i="57" s="1"/>
  <c r="I13" i="57" s="1"/>
  <c r="J13" i="57" s="1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C71" i="58"/>
  <c r="C71" i="57"/>
  <c r="G15" i="57"/>
  <c r="H14" i="56"/>
  <c r="F12" i="56"/>
  <c r="I12" i="56" s="1"/>
  <c r="J12" i="56" s="1"/>
  <c r="E13" i="56"/>
  <c r="C71" i="56"/>
  <c r="H15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K14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G14" i="59" l="1"/>
  <c r="L16" i="49"/>
  <c r="E23" i="62"/>
  <c r="H14" i="54"/>
  <c r="E14" i="57"/>
  <c r="E15" i="57" s="1"/>
  <c r="H16" i="49"/>
  <c r="H15" i="58"/>
  <c r="I12" i="61"/>
  <c r="J12" i="61" s="1"/>
  <c r="P14" i="54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K15" i="58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K15" i="50"/>
  <c r="C71" i="50"/>
  <c r="E14" i="50"/>
  <c r="F13" i="50"/>
  <c r="I13" i="50" s="1"/>
  <c r="J13" i="50" s="1"/>
  <c r="E13" i="49"/>
  <c r="F12" i="49"/>
  <c r="J12" i="49" s="1"/>
  <c r="K12" i="49" s="1"/>
  <c r="B17" i="49"/>
  <c r="H17" i="49"/>
  <c r="C73" i="49"/>
  <c r="D16" i="49"/>
  <c r="G15" i="60" l="1"/>
  <c r="H15" i="54"/>
  <c r="G15" i="59"/>
  <c r="F14" i="57"/>
  <c r="I14" i="57" s="1"/>
  <c r="J14" i="57" s="1"/>
  <c r="K16" i="56"/>
  <c r="H16" i="58"/>
  <c r="K16" i="58"/>
  <c r="G15" i="55"/>
  <c r="H15" i="59"/>
  <c r="G16" i="56"/>
  <c r="H16" i="57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G16" i="60"/>
  <c r="K15" i="60"/>
  <c r="F13" i="60"/>
  <c r="I13" i="60" s="1"/>
  <c r="J13" i="60" s="1"/>
  <c r="E14" i="60"/>
  <c r="C72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K16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H18" i="49"/>
  <c r="D17" i="49"/>
  <c r="L17" i="49"/>
  <c r="G17" i="49"/>
  <c r="B18" i="49"/>
  <c r="P16" i="54" l="1"/>
  <c r="G16" i="59"/>
  <c r="H16" i="59"/>
  <c r="H17" i="58"/>
  <c r="G16" i="55"/>
  <c r="L18" i="49"/>
  <c r="G17" i="56"/>
  <c r="H17" i="57"/>
  <c r="G16" i="53"/>
  <c r="K16" i="54"/>
  <c r="K17" i="56"/>
  <c r="P16" i="53"/>
  <c r="G16" i="54"/>
  <c r="H16" i="54"/>
  <c r="H17" i="56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G17" i="60"/>
  <c r="C73" i="60"/>
  <c r="E16" i="59"/>
  <c r="F15" i="59"/>
  <c r="I15" i="59" s="1"/>
  <c r="J15" i="59" s="1"/>
  <c r="K16" i="59"/>
  <c r="C73" i="59"/>
  <c r="G17" i="58"/>
  <c r="C74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H18" i="56"/>
  <c r="F15" i="56"/>
  <c r="I15" i="56" s="1"/>
  <c r="J15" i="56" s="1"/>
  <c r="E16" i="56"/>
  <c r="H16" i="55"/>
  <c r="C73" i="55"/>
  <c r="E16" i="55"/>
  <c r="D15" i="55"/>
  <c r="F14" i="55"/>
  <c r="I14" i="55" s="1"/>
  <c r="J14" i="55" s="1"/>
  <c r="K16" i="55"/>
  <c r="C73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K17" i="50"/>
  <c r="C73" i="50"/>
  <c r="H19" i="49"/>
  <c r="F66" i="49"/>
  <c r="E15" i="49"/>
  <c r="F14" i="49"/>
  <c r="J14" i="49" s="1"/>
  <c r="K14" i="49" s="1"/>
  <c r="D18" i="49"/>
  <c r="B19" i="49"/>
  <c r="H17" i="59" l="1"/>
  <c r="G17" i="55"/>
  <c r="P17" i="54"/>
  <c r="H18" i="58"/>
  <c r="K26" i="62"/>
  <c r="H18" i="57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C74" i="59"/>
  <c r="E17" i="59"/>
  <c r="F16" i="59"/>
  <c r="I16" i="59" s="1"/>
  <c r="J16" i="59" s="1"/>
  <c r="F16" i="58"/>
  <c r="I16" i="58" s="1"/>
  <c r="J16" i="58" s="1"/>
  <c r="E17" i="58"/>
  <c r="G18" i="58"/>
  <c r="F66" i="58"/>
  <c r="F66" i="57"/>
  <c r="F17" i="57"/>
  <c r="I17" i="57" s="1"/>
  <c r="J17" i="57" s="1"/>
  <c r="E18" i="57"/>
  <c r="G18" i="57"/>
  <c r="F66" i="56"/>
  <c r="H19" i="56"/>
  <c r="F16" i="56"/>
  <c r="I16" i="56" s="1"/>
  <c r="J16" i="56" s="1"/>
  <c r="E17" i="56"/>
  <c r="C74" i="55"/>
  <c r="F15" i="55"/>
  <c r="I15" i="55" s="1"/>
  <c r="J15" i="55" s="1"/>
  <c r="D16" i="55"/>
  <c r="H17" i="55"/>
  <c r="E17" i="55"/>
  <c r="K17" i="54"/>
  <c r="P18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H18" i="59" l="1"/>
  <c r="G18" i="55"/>
  <c r="H19" i="58"/>
  <c r="H19" i="57"/>
  <c r="K19" i="56"/>
  <c r="G18" i="59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F66" i="59"/>
  <c r="E18" i="59"/>
  <c r="F17" i="59"/>
  <c r="I17" i="59" s="1"/>
  <c r="J17" i="59" s="1"/>
  <c r="F17" i="58"/>
  <c r="I17" i="58" s="1"/>
  <c r="J17" i="58" s="1"/>
  <c r="E18" i="58"/>
  <c r="F67" i="58"/>
  <c r="K19" i="58"/>
  <c r="G19" i="58"/>
  <c r="F67" i="57"/>
  <c r="F18" i="57"/>
  <c r="I18" i="57" s="1"/>
  <c r="J18" i="57" s="1"/>
  <c r="E19" i="57"/>
  <c r="F67" i="56"/>
  <c r="H20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H19" i="59" l="1"/>
  <c r="K19" i="55"/>
  <c r="H20" i="57"/>
  <c r="H20" i="58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0" i="59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H21" i="58" l="1"/>
  <c r="K21" i="57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H21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K22" i="57" l="1"/>
  <c r="G22" i="58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G21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G23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H21" i="61" l="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K22" i="52" l="1"/>
  <c r="H22" i="61"/>
  <c r="G24" i="57"/>
  <c r="K24" i="56"/>
  <c r="H24" i="58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G25" i="57" l="1"/>
  <c r="H23" i="61"/>
  <c r="K25" i="56"/>
  <c r="P24" i="54"/>
  <c r="G25" i="56"/>
  <c r="K24" i="59"/>
  <c r="H24" i="60"/>
  <c r="G33" i="62"/>
  <c r="K23" i="61"/>
  <c r="K33" i="62"/>
  <c r="L26" i="49"/>
  <c r="G24" i="50"/>
  <c r="P24" i="53"/>
  <c r="K24" i="55"/>
  <c r="H24" i="55"/>
  <c r="K25" i="57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K26" i="57"/>
  <c r="F73" i="57"/>
  <c r="H25" i="57"/>
  <c r="F24" i="57"/>
  <c r="I24" i="57" s="1"/>
  <c r="J24" i="57" s="1"/>
  <c r="E25" i="57"/>
  <c r="H25" i="56"/>
  <c r="F73" i="56"/>
  <c r="K26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P25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6" i="58" l="1"/>
  <c r="H25" i="54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H27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6" i="53"/>
  <c r="G27" i="57"/>
  <c r="G35" i="62"/>
  <c r="H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K27" i="50" l="1"/>
  <c r="K27" i="54"/>
  <c r="E27" i="59"/>
  <c r="F27" i="59" s="1"/>
  <c r="H28" i="57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K28" i="50" l="1"/>
  <c r="P28" i="54"/>
  <c r="I27" i="50"/>
  <c r="J27" i="50" s="1"/>
  <c r="I28" i="57"/>
  <c r="J28" i="57" s="1"/>
  <c r="E29" i="56"/>
  <c r="G29" i="57"/>
  <c r="L30" i="49"/>
  <c r="I36" i="62"/>
  <c r="J36" i="62" s="1"/>
  <c r="E29" i="57"/>
  <c r="H28" i="53"/>
  <c r="F26" i="55"/>
  <c r="I26" i="55" s="1"/>
  <c r="J26" i="55" s="1"/>
  <c r="D27" i="55"/>
  <c r="D28" i="55" s="1"/>
  <c r="H29" i="57"/>
  <c r="G28" i="54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G28" i="55"/>
  <c r="I67" i="54"/>
  <c r="G29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K29" i="50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K29" i="59" l="1"/>
  <c r="F29" i="57"/>
  <c r="I29" i="57" s="1"/>
  <c r="J29" i="57" s="1"/>
  <c r="E30" i="56"/>
  <c r="D30" i="57"/>
  <c r="H29" i="54"/>
  <c r="F27" i="55"/>
  <c r="I27" i="55" s="1"/>
  <c r="J27" i="55" s="1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I68" i="59"/>
  <c r="K30" i="59"/>
  <c r="E29" i="59"/>
  <c r="H29" i="59"/>
  <c r="G29" i="59"/>
  <c r="D30" i="58"/>
  <c r="F29" i="58"/>
  <c r="I29" i="58" s="1"/>
  <c r="J29" i="58" s="1"/>
  <c r="H31" i="58"/>
  <c r="I69" i="58"/>
  <c r="G30" i="57"/>
  <c r="E30" i="57"/>
  <c r="F30" i="57" s="1"/>
  <c r="H30" i="57"/>
  <c r="K30" i="57"/>
  <c r="I69" i="57"/>
  <c r="D31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K30" i="50"/>
  <c r="I68" i="50"/>
  <c r="P29" i="50"/>
  <c r="J70" i="49"/>
  <c r="H32" i="49"/>
  <c r="E28" i="49"/>
  <c r="F27" i="49"/>
  <c r="J27" i="49" s="1"/>
  <c r="K27" i="49" s="1"/>
  <c r="D31" i="49"/>
  <c r="G31" i="49"/>
  <c r="H30" i="54" l="1"/>
  <c r="K31" i="56"/>
  <c r="E29" i="61"/>
  <c r="K30" i="60"/>
  <c r="P29" i="52"/>
  <c r="H29" i="52"/>
  <c r="G29" i="52"/>
  <c r="P30" i="53"/>
  <c r="E29" i="52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K31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F31" i="57" s="1"/>
  <c r="I30" i="57"/>
  <c r="J30" i="57" s="1"/>
  <c r="D32" i="57"/>
  <c r="I70" i="57"/>
  <c r="G31" i="57"/>
  <c r="I70" i="56"/>
  <c r="H32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P31" i="53"/>
  <c r="I69" i="53"/>
  <c r="F29" i="53"/>
  <c r="I29" i="53" s="1"/>
  <c r="J29" i="53" s="1"/>
  <c r="E30" i="53"/>
  <c r="F30" i="53" s="1"/>
  <c r="K30" i="53"/>
  <c r="F29" i="52"/>
  <c r="D30" i="52"/>
  <c r="I68" i="52"/>
  <c r="F28" i="52"/>
  <c r="I28" i="52" s="1"/>
  <c r="J28" i="52" s="1"/>
  <c r="G30" i="50"/>
  <c r="F29" i="50"/>
  <c r="I29" i="50" s="1"/>
  <c r="J29" i="50" s="1"/>
  <c r="K31" i="50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H31" i="54" l="1"/>
  <c r="I29" i="52"/>
  <c r="J29" i="52" s="1"/>
  <c r="E30" i="61"/>
  <c r="H31" i="53"/>
  <c r="I30" i="53"/>
  <c r="J30" i="53" s="1"/>
  <c r="K32" i="58"/>
  <c r="G31" i="60"/>
  <c r="K31" i="53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K32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I31" i="57"/>
  <c r="J31" i="57" s="1"/>
  <c r="K32" i="57"/>
  <c r="I71" i="57"/>
  <c r="D33" i="57"/>
  <c r="E32" i="57"/>
  <c r="G32" i="56"/>
  <c r="I71" i="56"/>
  <c r="H33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H32" i="54"/>
  <c r="K31" i="54"/>
  <c r="F30" i="54"/>
  <c r="I30" i="54" s="1"/>
  <c r="J30" i="54" s="1"/>
  <c r="P31" i="54"/>
  <c r="G31" i="54"/>
  <c r="I70" i="53"/>
  <c r="P32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K32" i="50"/>
  <c r="I70" i="50"/>
  <c r="E30" i="49"/>
  <c r="F29" i="49"/>
  <c r="J29" i="49" s="1"/>
  <c r="K29" i="49" s="1"/>
  <c r="L33" i="49"/>
  <c r="D33" i="49"/>
  <c r="G33" i="49"/>
  <c r="J72" i="49"/>
  <c r="H34" i="49"/>
  <c r="G32" i="54" l="1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F33" i="57" s="1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P33" i="53"/>
  <c r="I71" i="53"/>
  <c r="I70" i="52"/>
  <c r="D32" i="52"/>
  <c r="F30" i="52"/>
  <c r="I30" i="52" s="1"/>
  <c r="J30" i="52" s="1"/>
  <c r="E32" i="50"/>
  <c r="K33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K34" i="57" l="1"/>
  <c r="I31" i="52"/>
  <c r="J31" i="52" s="1"/>
  <c r="G34" i="56"/>
  <c r="K33" i="54"/>
  <c r="H34" i="56"/>
  <c r="G33" i="54"/>
  <c r="H33" i="50"/>
  <c r="E32" i="52"/>
  <c r="P32" i="52"/>
  <c r="G35" i="49"/>
  <c r="K32" i="52"/>
  <c r="P33" i="54"/>
  <c r="G33" i="55"/>
  <c r="K34" i="56"/>
  <c r="P33" i="50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I33" i="57"/>
  <c r="J33" i="57" s="1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I72" i="54"/>
  <c r="E33" i="53"/>
  <c r="H33" i="53"/>
  <c r="I72" i="53"/>
  <c r="P34" i="53"/>
  <c r="K33" i="53"/>
  <c r="G33" i="53"/>
  <c r="D33" i="53"/>
  <c r="F32" i="53"/>
  <c r="I32" i="53" s="1"/>
  <c r="J32" i="53" s="1"/>
  <c r="F32" i="52"/>
  <c r="G32" i="52"/>
  <c r="H32" i="52"/>
  <c r="D33" i="52"/>
  <c r="I71" i="52"/>
  <c r="D33" i="50"/>
  <c r="F32" i="50"/>
  <c r="I32" i="50" s="1"/>
  <c r="J32" i="50" s="1"/>
  <c r="P34" i="50"/>
  <c r="I72" i="50"/>
  <c r="G33" i="50"/>
  <c r="E33" i="50"/>
  <c r="E32" i="49"/>
  <c r="F31" i="49"/>
  <c r="J31" i="49" s="1"/>
  <c r="K31" i="49" s="1"/>
  <c r="J74" i="49"/>
  <c r="H36" i="49"/>
  <c r="D35" i="49"/>
  <c r="L35" i="49"/>
  <c r="H34" i="59" l="1"/>
  <c r="K34" i="55"/>
  <c r="H35" i="56"/>
  <c r="K34" i="54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P35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P35" i="54" l="1"/>
  <c r="I34" i="55"/>
  <c r="J34" i="55" s="1"/>
  <c r="G36" i="58"/>
  <c r="E36" i="56"/>
  <c r="H36" i="57"/>
  <c r="G35" i="55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P36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F36" i="56" l="1"/>
  <c r="I36" i="56" s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H14" i="43"/>
  <c r="H15" i="43" s="1"/>
  <c r="H16" i="43" s="1"/>
  <c r="H17" i="43" s="1"/>
  <c r="H18" i="43" s="1"/>
  <c r="H19" i="43" s="1"/>
  <c r="C11" i="47" l="1"/>
  <c r="CP5" i="25"/>
  <c r="B38" i="25" l="1"/>
  <c r="B52" i="25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" i="31"/>
  <c r="I14" i="31"/>
  <c r="K9" i="31"/>
  <c r="I253" i="31" l="1"/>
  <c r="I134" i="31"/>
  <c r="I145" i="31"/>
  <c r="I26" i="31"/>
  <c r="I15" i="31"/>
  <c r="I37" i="31"/>
  <c r="I254" i="31" l="1"/>
  <c r="I157" i="31"/>
  <c r="I49" i="31"/>
  <c r="I146" i="31"/>
  <c r="I38" i="31"/>
  <c r="I135" i="31"/>
  <c r="I27" i="31"/>
  <c r="I16" i="31"/>
  <c r="I255" i="31" l="1"/>
  <c r="I147" i="31"/>
  <c r="I39" i="31"/>
  <c r="I169" i="31"/>
  <c r="I61" i="31"/>
  <c r="I136" i="31"/>
  <c r="I17" i="31"/>
  <c r="I28" i="31"/>
  <c r="I158" i="31"/>
  <c r="I50" i="31"/>
  <c r="I256" i="31" l="1"/>
  <c r="I170" i="31"/>
  <c r="I62" i="31"/>
  <c r="I148" i="31"/>
  <c r="I40" i="31"/>
  <c r="I159" i="31"/>
  <c r="I51" i="31"/>
  <c r="I137" i="31"/>
  <c r="I29" i="31"/>
  <c r="I18" i="31"/>
  <c r="I181" i="31"/>
  <c r="I73" i="31"/>
  <c r="I257" i="31" l="1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I258" i="31" l="1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I259" i="31" l="1"/>
  <c r="I217" i="31"/>
  <c r="I151" i="31"/>
  <c r="I43" i="31"/>
  <c r="I195" i="31"/>
  <c r="I87" i="31"/>
  <c r="I162" i="31"/>
  <c r="I54" i="31"/>
  <c r="I109" i="31"/>
  <c r="I184" i="31"/>
  <c r="I76" i="31"/>
  <c r="I140" i="31"/>
  <c r="I21" i="31"/>
  <c r="I32" i="31"/>
  <c r="I206" i="31"/>
  <c r="I98" i="31"/>
  <c r="I173" i="31"/>
  <c r="I65" i="31"/>
  <c r="I218" i="31" l="1"/>
  <c r="I260" i="31"/>
  <c r="I229" i="31"/>
  <c r="I152" i="31"/>
  <c r="I44" i="31"/>
  <c r="I174" i="31"/>
  <c r="I66" i="31"/>
  <c r="I185" i="31"/>
  <c r="I77" i="31"/>
  <c r="I110" i="31"/>
  <c r="I141" i="31"/>
  <c r="I33" i="31"/>
  <c r="I22" i="31"/>
  <c r="I196" i="31"/>
  <c r="I88" i="31"/>
  <c r="I121" i="31"/>
  <c r="I207" i="31"/>
  <c r="I99" i="31"/>
  <c r="I163" i="31"/>
  <c r="I55" i="31"/>
  <c r="I261" i="31" l="1"/>
  <c r="I219" i="31"/>
  <c r="I230" i="31"/>
  <c r="I175" i="31"/>
  <c r="I67" i="31"/>
  <c r="I208" i="31"/>
  <c r="I100" i="31"/>
  <c r="I153" i="31"/>
  <c r="I45" i="31"/>
  <c r="I122" i="31"/>
  <c r="I164" i="31"/>
  <c r="I56" i="31"/>
  <c r="I111" i="31"/>
  <c r="I241" i="31"/>
  <c r="I142" i="31"/>
  <c r="I23" i="31"/>
  <c r="I34" i="31"/>
  <c r="I197" i="31"/>
  <c r="I89" i="31"/>
  <c r="I186" i="31"/>
  <c r="I78" i="31"/>
  <c r="I262" i="31" l="1"/>
  <c r="I220" i="31"/>
  <c r="I231" i="31"/>
  <c r="I198" i="31"/>
  <c r="I90" i="31"/>
  <c r="I143" i="31"/>
  <c r="I35" i="31"/>
  <c r="I24" i="31"/>
  <c r="I123" i="31"/>
  <c r="I242" i="31"/>
  <c r="I187" i="31"/>
  <c r="I79" i="31"/>
  <c r="I209" i="31"/>
  <c r="I101" i="31"/>
  <c r="I154" i="31"/>
  <c r="I46" i="31"/>
  <c r="I176" i="31"/>
  <c r="I68" i="31"/>
  <c r="I165" i="31"/>
  <c r="I57" i="31"/>
  <c r="I112" i="31"/>
  <c r="I232" i="31" l="1"/>
  <c r="I221" i="31"/>
  <c r="I263" i="31"/>
  <c r="I177" i="31"/>
  <c r="I69" i="31"/>
  <c r="I188" i="31"/>
  <c r="I80" i="31"/>
  <c r="I113" i="31"/>
  <c r="I199" i="31"/>
  <c r="I91" i="31"/>
  <c r="I243" i="31"/>
  <c r="I155" i="31"/>
  <c r="I47" i="31"/>
  <c r="I124" i="31"/>
  <c r="I166" i="31"/>
  <c r="I58" i="31"/>
  <c r="I144" i="31"/>
  <c r="I36" i="31"/>
  <c r="I210" i="31"/>
  <c r="I102" i="31"/>
  <c r="I264" i="31" l="1"/>
  <c r="I222" i="31"/>
  <c r="I233" i="31"/>
  <c r="I114" i="31"/>
  <c r="I211" i="31"/>
  <c r="I103" i="31"/>
  <c r="I189" i="31"/>
  <c r="I81" i="31"/>
  <c r="I156" i="31"/>
  <c r="I48" i="31"/>
  <c r="I178" i="31"/>
  <c r="I70" i="31"/>
  <c r="I244" i="31"/>
  <c r="I167" i="31"/>
  <c r="I59" i="31"/>
  <c r="I125" i="31"/>
  <c r="I200" i="31"/>
  <c r="I92" i="31"/>
  <c r="I223" i="31" l="1"/>
  <c r="I234" i="31"/>
  <c r="I212" i="31"/>
  <c r="I104" i="31"/>
  <c r="I190" i="31"/>
  <c r="I82" i="31"/>
  <c r="I201" i="31"/>
  <c r="I93" i="31"/>
  <c r="I245" i="31"/>
  <c r="I179" i="31"/>
  <c r="I71" i="31"/>
  <c r="I168" i="31"/>
  <c r="I60" i="31"/>
  <c r="I115" i="31"/>
  <c r="I126" i="31"/>
  <c r="I224" i="31" l="1"/>
  <c r="I235" i="31"/>
  <c r="I127" i="31"/>
  <c r="I246" i="31"/>
  <c r="I191" i="31"/>
  <c r="I83" i="31"/>
  <c r="I213" i="31"/>
  <c r="I105" i="31"/>
  <c r="I202" i="31"/>
  <c r="I94" i="31"/>
  <c r="I180" i="31"/>
  <c r="I72" i="31"/>
  <c r="I116" i="31"/>
  <c r="I236" i="31" l="1"/>
  <c r="I225" i="31"/>
  <c r="I117" i="31"/>
  <c r="I203" i="31"/>
  <c r="I95" i="31"/>
  <c r="I128" i="31"/>
  <c r="I192" i="31"/>
  <c r="I84" i="31"/>
  <c r="I214" i="31"/>
  <c r="I106" i="31"/>
  <c r="I247" i="31"/>
  <c r="I237" i="31" l="1"/>
  <c r="I226" i="31"/>
  <c r="I118" i="31"/>
  <c r="I248" i="31"/>
  <c r="I215" i="31"/>
  <c r="I107" i="31"/>
  <c r="I204" i="31"/>
  <c r="I96" i="31"/>
  <c r="I129" i="31"/>
  <c r="I227" i="31" l="1"/>
  <c r="I238" i="31"/>
  <c r="I249" i="31"/>
  <c r="I119" i="31"/>
  <c r="I216" i="31"/>
  <c r="I108" i="31"/>
  <c r="I130" i="31"/>
  <c r="I239" i="31" l="1"/>
  <c r="I228" i="31"/>
  <c r="I250" i="31"/>
  <c r="I131" i="31"/>
  <c r="I120" i="31"/>
  <c r="I240" i="31" l="1"/>
  <c r="I251" i="31"/>
  <c r="I132" i="31"/>
  <c r="I252" i="31" l="1"/>
  <c r="B59" i="25" l="1"/>
  <c r="M16" i="28" l="1"/>
  <c r="B60" i="25"/>
  <c r="C9" i="28" l="1"/>
  <c r="C29" i="28" l="1"/>
  <c r="C26" i="28"/>
  <c r="C36" i="28"/>
  <c r="C39" i="28"/>
  <c r="C31" i="28"/>
  <c r="C17" i="28"/>
  <c r="C18" i="28"/>
  <c r="C20" i="28"/>
  <c r="C32" i="28"/>
  <c r="C25" i="28"/>
  <c r="C38" i="28"/>
  <c r="C24" i="28"/>
  <c r="C27" i="28"/>
  <c r="C40" i="28"/>
  <c r="C35" i="28"/>
  <c r="C16" i="28"/>
  <c r="C34" i="28"/>
  <c r="C22" i="28"/>
  <c r="C14" i="28"/>
  <c r="C19" i="28"/>
  <c r="C15" i="28"/>
  <c r="C33" i="28"/>
  <c r="C30" i="28"/>
  <c r="C37" i="28"/>
  <c r="C28" i="28"/>
  <c r="C21" i="28"/>
  <c r="C23" i="28"/>
  <c r="J13" i="31" l="1"/>
  <c r="B13" i="25" s="1"/>
  <c r="B14" i="31"/>
  <c r="L16" i="31"/>
  <c r="B8" i="63" l="1"/>
  <c r="O13" i="25"/>
  <c r="B14" i="25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J14" i="31"/>
  <c r="B15" i="31"/>
  <c r="B9" i="63" l="1"/>
  <c r="AX13" i="25"/>
  <c r="AP13" i="25"/>
  <c r="AL13" i="25"/>
  <c r="AT13" i="25"/>
  <c r="AW13" i="25"/>
  <c r="AO13" i="25"/>
  <c r="AK13" i="25"/>
  <c r="AN13" i="25"/>
  <c r="AZ13" i="25"/>
  <c r="AS13" i="25"/>
  <c r="AM13" i="25"/>
  <c r="AJ13" i="25"/>
  <c r="AV13" i="25"/>
  <c r="AU13" i="25"/>
  <c r="AY13" i="25"/>
  <c r="AR13" i="25"/>
  <c r="BO13" i="25"/>
  <c r="BQ13" i="25"/>
  <c r="BP13" i="25"/>
  <c r="BS13" i="25"/>
  <c r="BR13" i="25"/>
  <c r="BN13" i="25"/>
  <c r="BL13" i="25"/>
  <c r="BK13" i="25"/>
  <c r="BJ13" i="25"/>
  <c r="BM13" i="25"/>
  <c r="BI13" i="25"/>
  <c r="BH13" i="25"/>
  <c r="BF13" i="25"/>
  <c r="BG13" i="25"/>
  <c r="BC13" i="25"/>
  <c r="BB13" i="25"/>
  <c r="CO13" i="25"/>
  <c r="CP13" i="25" s="1"/>
  <c r="CQ13" i="25" s="1"/>
  <c r="B15" i="25"/>
  <c r="O14" i="25"/>
  <c r="B16" i="31"/>
  <c r="J15" i="31"/>
  <c r="BE13" i="25"/>
  <c r="BD13" i="25"/>
  <c r="B10" i="63" l="1"/>
  <c r="AO14" i="25"/>
  <c r="AK14" i="25"/>
  <c r="AY14" i="25"/>
  <c r="AI14" i="25"/>
  <c r="AZ14" i="25"/>
  <c r="AR14" i="25"/>
  <c r="AN14" i="25"/>
  <c r="AJ14" i="25"/>
  <c r="AU14" i="25"/>
  <c r="AM14" i="25"/>
  <c r="AX14" i="25"/>
  <c r="AP14" i="25"/>
  <c r="AT14" i="25"/>
  <c r="AL14" i="25"/>
  <c r="AW14" i="25"/>
  <c r="AS14" i="25"/>
  <c r="AV14" i="25"/>
  <c r="CL13" i="25"/>
  <c r="CF13" i="25"/>
  <c r="CD13" i="25"/>
  <c r="CJ13" i="25"/>
  <c r="CH13" i="25"/>
  <c r="CI13" i="25"/>
  <c r="CE13" i="25"/>
  <c r="CG13" i="25"/>
  <c r="CK13" i="25"/>
  <c r="BV13" i="25"/>
  <c r="BO14" i="25"/>
  <c r="BS14" i="25"/>
  <c r="BP14" i="25"/>
  <c r="BR14" i="25"/>
  <c r="BQ14" i="25"/>
  <c r="CB13" i="25"/>
  <c r="BN14" i="25"/>
  <c r="BL14" i="25"/>
  <c r="BK14" i="25"/>
  <c r="BJ14" i="25"/>
  <c r="BM14" i="25"/>
  <c r="BH14" i="25"/>
  <c r="BG14" i="25"/>
  <c r="BI14" i="25"/>
  <c r="BF14" i="25"/>
  <c r="BC14" i="25"/>
  <c r="BB14" i="25"/>
  <c r="CO14" i="25"/>
  <c r="CP14" i="25" s="1"/>
  <c r="CQ14" i="25" s="1"/>
  <c r="BW13" i="25"/>
  <c r="AI13" i="25"/>
  <c r="J16" i="31"/>
  <c r="B17" i="31"/>
  <c r="BE14" i="25"/>
  <c r="BD14" i="25"/>
  <c r="BX13" i="25"/>
  <c r="B16" i="25"/>
  <c r="O15" i="25"/>
  <c r="B11" i="63" l="1"/>
  <c r="AS15" i="25"/>
  <c r="AM15" i="25"/>
  <c r="AI15" i="25"/>
  <c r="AW15" i="25"/>
  <c r="AK15" i="25"/>
  <c r="AX15" i="25"/>
  <c r="AP15" i="25"/>
  <c r="AL15" i="25"/>
  <c r="AO15" i="25"/>
  <c r="AT15" i="25"/>
  <c r="AN15" i="25"/>
  <c r="AJ15" i="25"/>
  <c r="AV15" i="25"/>
  <c r="AU15" i="25"/>
  <c r="AY15" i="25"/>
  <c r="AZ15" i="25"/>
  <c r="AR15" i="25"/>
  <c r="CG14" i="25"/>
  <c r="CE14" i="25"/>
  <c r="CD14" i="25"/>
  <c r="CF14" i="25"/>
  <c r="CK14" i="25"/>
  <c r="CI14" i="25"/>
  <c r="CH14" i="25"/>
  <c r="CJ14" i="25"/>
  <c r="CL14" i="25"/>
  <c r="CB14" i="25"/>
  <c r="BO15" i="25"/>
  <c r="BS15" i="25"/>
  <c r="BQ15" i="25"/>
  <c r="BR15" i="25"/>
  <c r="BP15" i="25"/>
  <c r="BV14" i="25"/>
  <c r="BN15" i="25"/>
  <c r="BL15" i="25"/>
  <c r="BK15" i="25"/>
  <c r="BJ15" i="25"/>
  <c r="BM15" i="25"/>
  <c r="BG15" i="25"/>
  <c r="BF15" i="25"/>
  <c r="BI15" i="25"/>
  <c r="BH15" i="25"/>
  <c r="BC15" i="25"/>
  <c r="BB15" i="25"/>
  <c r="CO15" i="25"/>
  <c r="CP15" i="25" s="1"/>
  <c r="CQ15" i="25" s="1"/>
  <c r="BW14" i="25"/>
  <c r="BX14" i="25"/>
  <c r="O16" i="25"/>
  <c r="B17" i="25"/>
  <c r="BE15" i="25"/>
  <c r="BD15" i="25"/>
  <c r="B18" i="31"/>
  <c r="J17" i="31"/>
  <c r="BU13" i="25"/>
  <c r="BU14" i="25"/>
  <c r="B12" i="63" l="1"/>
  <c r="AZ16" i="25"/>
  <c r="AV16" i="25"/>
  <c r="AY16" i="25"/>
  <c r="AT16" i="25"/>
  <c r="AL16" i="25"/>
  <c r="AJ16" i="25"/>
  <c r="AS16" i="25"/>
  <c r="AO16" i="25"/>
  <c r="AK16" i="25"/>
  <c r="AR16" i="25"/>
  <c r="AN16" i="25"/>
  <c r="AI16" i="25"/>
  <c r="AM16" i="25"/>
  <c r="AU16" i="25"/>
  <c r="AW16" i="25"/>
  <c r="CF15" i="25"/>
  <c r="CG15" i="25"/>
  <c r="CI15" i="25"/>
  <c r="CJ15" i="25"/>
  <c r="CE15" i="25"/>
  <c r="CL15" i="25"/>
  <c r="CH15" i="25"/>
  <c r="CD15" i="25"/>
  <c r="CK15" i="25"/>
  <c r="AX16" i="25"/>
  <c r="BV15" i="25"/>
  <c r="BO16" i="25"/>
  <c r="BS16" i="25"/>
  <c r="BR16" i="25"/>
  <c r="BQ16" i="25"/>
  <c r="BP16" i="25"/>
  <c r="CB15" i="25"/>
  <c r="BN16" i="25"/>
  <c r="BL16" i="25"/>
  <c r="BK16" i="25"/>
  <c r="BJ16" i="25"/>
  <c r="BM16" i="25"/>
  <c r="BF16" i="25"/>
  <c r="BI16" i="25"/>
  <c r="BG16" i="25"/>
  <c r="BH16" i="25"/>
  <c r="AP16" i="25"/>
  <c r="BC16" i="25"/>
  <c r="BB16" i="25"/>
  <c r="BU15" i="25"/>
  <c r="CO16" i="25"/>
  <c r="CP16" i="25" s="1"/>
  <c r="CQ16" i="25" s="1"/>
  <c r="BX15" i="25"/>
  <c r="BW15" i="25"/>
  <c r="J18" i="31"/>
  <c r="B19" i="31"/>
  <c r="B18" i="25"/>
  <c r="O17" i="25"/>
  <c r="BE16" i="25"/>
  <c r="BD16" i="25"/>
  <c r="B13" i="63" l="1"/>
  <c r="AP17" i="25"/>
  <c r="AL17" i="25"/>
  <c r="AT17" i="25"/>
  <c r="AJ17" i="25"/>
  <c r="AS17" i="25"/>
  <c r="AK17" i="25"/>
  <c r="AO17" i="25"/>
  <c r="AI17" i="25"/>
  <c r="AW17" i="25"/>
  <c r="AN17" i="25"/>
  <c r="AU17" i="25"/>
  <c r="AV17" i="25"/>
  <c r="AR17" i="25"/>
  <c r="AY17" i="25"/>
  <c r="AX17" i="25"/>
  <c r="AZ17" i="25"/>
  <c r="CG16" i="25"/>
  <c r="CL16" i="25"/>
  <c r="CF16" i="25"/>
  <c r="CE16" i="25"/>
  <c r="CI16" i="25"/>
  <c r="CJ16" i="25"/>
  <c r="CH16" i="25"/>
  <c r="CD16" i="25"/>
  <c r="CK16" i="25"/>
  <c r="CB16" i="25"/>
  <c r="BV16" i="25"/>
  <c r="BO17" i="25"/>
  <c r="BQ17" i="25"/>
  <c r="BP17" i="25"/>
  <c r="BS17" i="25"/>
  <c r="BR17" i="25"/>
  <c r="BN17" i="25"/>
  <c r="BL17" i="25"/>
  <c r="BK17" i="25"/>
  <c r="BJ17" i="25"/>
  <c r="BM17" i="25"/>
  <c r="BI17" i="25"/>
  <c r="BH17" i="25"/>
  <c r="BG17" i="25"/>
  <c r="BF17" i="25"/>
  <c r="AM17" i="25"/>
  <c r="BC17" i="25"/>
  <c r="BB17" i="25"/>
  <c r="CO17" i="25"/>
  <c r="CP17" i="25" s="1"/>
  <c r="CQ17" i="25" s="1"/>
  <c r="BU16" i="25"/>
  <c r="BW16" i="25"/>
  <c r="BX16" i="25"/>
  <c r="BE17" i="25"/>
  <c r="BD17" i="25"/>
  <c r="O18" i="25"/>
  <c r="B19" i="25"/>
  <c r="B20" i="31"/>
  <c r="J19" i="31"/>
  <c r="B14" i="63" l="1"/>
  <c r="AS18" i="25"/>
  <c r="AO18" i="25"/>
  <c r="AK18" i="25"/>
  <c r="AU18" i="25"/>
  <c r="AP18" i="25"/>
  <c r="AJ18" i="25"/>
  <c r="AM18" i="25"/>
  <c r="AY18" i="25"/>
  <c r="AT18" i="25"/>
  <c r="AI18" i="25"/>
  <c r="AX18" i="25"/>
  <c r="AL18" i="25"/>
  <c r="AV18" i="25"/>
  <c r="AW18" i="25"/>
  <c r="AZ18" i="25"/>
  <c r="AN18" i="25"/>
  <c r="CD17" i="25"/>
  <c r="CL17" i="25"/>
  <c r="CG17" i="25"/>
  <c r="CJ17" i="25"/>
  <c r="CK17" i="25"/>
  <c r="CH17" i="25"/>
  <c r="CE17" i="25"/>
  <c r="CI17" i="25"/>
  <c r="CF17" i="25"/>
  <c r="CB17" i="25"/>
  <c r="AR18" i="25"/>
  <c r="BV17" i="25"/>
  <c r="BO18" i="25"/>
  <c r="BS18" i="25"/>
  <c r="BP18" i="25"/>
  <c r="BR18" i="25"/>
  <c r="BQ18" i="25"/>
  <c r="BN18" i="25"/>
  <c r="BL18" i="25"/>
  <c r="BK18" i="25"/>
  <c r="BJ18" i="25"/>
  <c r="BM18" i="25"/>
  <c r="BH18" i="25"/>
  <c r="BG18" i="25"/>
  <c r="BF18" i="25"/>
  <c r="BI18" i="25"/>
  <c r="BC18" i="25"/>
  <c r="BB18" i="25"/>
  <c r="CO18" i="25"/>
  <c r="CP18" i="25" s="1"/>
  <c r="CQ18" i="25" s="1"/>
  <c r="BU17" i="25"/>
  <c r="BX17" i="25"/>
  <c r="BW17" i="25"/>
  <c r="J20" i="31"/>
  <c r="B21" i="31"/>
  <c r="B20" i="25"/>
  <c r="O19" i="25"/>
  <c r="BD18" i="25"/>
  <c r="BE18" i="25"/>
  <c r="B15" i="63" l="1"/>
  <c r="AS19" i="25"/>
  <c r="AM19" i="25"/>
  <c r="AI19" i="25"/>
  <c r="AN19" i="25"/>
  <c r="AK19" i="25"/>
  <c r="AT19" i="25"/>
  <c r="AP19" i="25"/>
  <c r="AX19" i="25"/>
  <c r="AJ19" i="25"/>
  <c r="AY19" i="25"/>
  <c r="AR19" i="25"/>
  <c r="AV19" i="25"/>
  <c r="AU19" i="25"/>
  <c r="CL18" i="25"/>
  <c r="CJ18" i="25"/>
  <c r="CE18" i="25"/>
  <c r="CH18" i="25"/>
  <c r="CG18" i="25"/>
  <c r="CI18" i="25"/>
  <c r="CD18" i="25"/>
  <c r="CF18" i="25"/>
  <c r="CK18" i="25"/>
  <c r="AW19" i="25"/>
  <c r="BV18" i="25"/>
  <c r="CB18" i="25"/>
  <c r="BO19" i="25"/>
  <c r="BS19" i="25"/>
  <c r="BQ19" i="25"/>
  <c r="BR19" i="25"/>
  <c r="BP19" i="25"/>
  <c r="BN19" i="25"/>
  <c r="BL19" i="25"/>
  <c r="BK19" i="25"/>
  <c r="BJ19" i="25"/>
  <c r="BM19" i="25"/>
  <c r="BG19" i="25"/>
  <c r="BF19" i="25"/>
  <c r="BH19" i="25"/>
  <c r="BI19" i="25"/>
  <c r="AZ19" i="25"/>
  <c r="AO19" i="25"/>
  <c r="AL19" i="25"/>
  <c r="BC19" i="25"/>
  <c r="BB19" i="25"/>
  <c r="BX18" i="25"/>
  <c r="CO19" i="25"/>
  <c r="CP19" i="25" s="1"/>
  <c r="CQ19" i="25" s="1"/>
  <c r="BU18" i="25"/>
  <c r="BW18" i="25"/>
  <c r="BD19" i="25"/>
  <c r="BE19" i="25"/>
  <c r="O20" i="25"/>
  <c r="B21" i="25"/>
  <c r="J21" i="31"/>
  <c r="B22" i="31"/>
  <c r="B16" i="63" l="1"/>
  <c r="AU20" i="25"/>
  <c r="AX20" i="25"/>
  <c r="AT20" i="25"/>
  <c r="AL20" i="25"/>
  <c r="AW20" i="25"/>
  <c r="AN20" i="25"/>
  <c r="AV20" i="25"/>
  <c r="AO20" i="25"/>
  <c r="AJ20" i="25"/>
  <c r="AS20" i="25"/>
  <c r="AI20" i="25"/>
  <c r="AZ20" i="25"/>
  <c r="AR20" i="25"/>
  <c r="AM20" i="25"/>
  <c r="CL19" i="25"/>
  <c r="AP20" i="25"/>
  <c r="AY20" i="25"/>
  <c r="CH19" i="25"/>
  <c r="CJ19" i="25"/>
  <c r="CI19" i="25"/>
  <c r="CE19" i="25"/>
  <c r="CF19" i="25"/>
  <c r="CK19" i="25"/>
  <c r="CD19" i="25"/>
  <c r="CG19" i="25"/>
  <c r="CB19" i="25"/>
  <c r="BV19" i="25"/>
  <c r="BO20" i="25"/>
  <c r="BS20" i="25"/>
  <c r="BR20" i="25"/>
  <c r="BQ20" i="25"/>
  <c r="BP20" i="25"/>
  <c r="BN20" i="25"/>
  <c r="BL20" i="25"/>
  <c r="BK20" i="25"/>
  <c r="BJ20" i="25"/>
  <c r="BM20" i="25"/>
  <c r="BF20" i="25"/>
  <c r="BI20" i="25"/>
  <c r="AK20" i="25"/>
  <c r="BH20" i="25"/>
  <c r="BG20" i="25"/>
  <c r="BC20" i="25"/>
  <c r="BB20" i="25"/>
  <c r="CO20" i="25"/>
  <c r="CP20" i="25" s="1"/>
  <c r="CQ20" i="25" s="1"/>
  <c r="BX19" i="25"/>
  <c r="BU19" i="25"/>
  <c r="BW19" i="25"/>
  <c r="J22" i="31"/>
  <c r="B23" i="31"/>
  <c r="O21" i="25"/>
  <c r="B22" i="25"/>
  <c r="BE20" i="25"/>
  <c r="BD20" i="25"/>
  <c r="B17" i="63" l="1"/>
  <c r="AO21" i="25"/>
  <c r="AK21" i="25"/>
  <c r="AT21" i="25"/>
  <c r="AJ21" i="25"/>
  <c r="AZ21" i="25"/>
  <c r="AM21" i="25"/>
  <c r="AS21" i="25"/>
  <c r="AI21" i="25"/>
  <c r="AX21" i="25"/>
  <c r="AL21" i="25"/>
  <c r="AP21" i="25"/>
  <c r="AV21" i="25"/>
  <c r="AY21" i="25"/>
  <c r="AU21" i="25"/>
  <c r="AR21" i="25"/>
  <c r="CL20" i="25"/>
  <c r="AN21" i="25"/>
  <c r="AW21" i="25"/>
  <c r="CE20" i="25"/>
  <c r="CF20" i="25"/>
  <c r="CK20" i="25"/>
  <c r="CG20" i="25"/>
  <c r="CD20" i="25"/>
  <c r="CJ20" i="25"/>
  <c r="CH20" i="25"/>
  <c r="CI20" i="25"/>
  <c r="CB20" i="25"/>
  <c r="BV20" i="25"/>
  <c r="BO21" i="25"/>
  <c r="BQ21" i="25"/>
  <c r="BP21" i="25"/>
  <c r="BS21" i="25"/>
  <c r="BR21" i="25"/>
  <c r="BN21" i="25"/>
  <c r="BL21" i="25"/>
  <c r="BK21" i="25"/>
  <c r="BJ21" i="25"/>
  <c r="BM21" i="25"/>
  <c r="BI21" i="25"/>
  <c r="BH21" i="25"/>
  <c r="BF21" i="25"/>
  <c r="BG21" i="25"/>
  <c r="BC21" i="25"/>
  <c r="BB21" i="25"/>
  <c r="CO21" i="25"/>
  <c r="CP21" i="25" s="1"/>
  <c r="CQ21" i="25" s="1"/>
  <c r="BU20" i="25"/>
  <c r="BX20" i="25"/>
  <c r="BW20" i="25"/>
  <c r="BE21" i="25"/>
  <c r="BD21" i="25"/>
  <c r="J23" i="31"/>
  <c r="B24" i="31"/>
  <c r="O22" i="25"/>
  <c r="B23" i="25"/>
  <c r="B18" i="63" l="1"/>
  <c r="AV22" i="25"/>
  <c r="AR22" i="25"/>
  <c r="AN22" i="25"/>
  <c r="AY22" i="25"/>
  <c r="AU22" i="25"/>
  <c r="AM22" i="25"/>
  <c r="AI22" i="25"/>
  <c r="AX22" i="25"/>
  <c r="AP22" i="25"/>
  <c r="AT22" i="25"/>
  <c r="AW22" i="25"/>
  <c r="AO22" i="25"/>
  <c r="AL22" i="25"/>
  <c r="AS22" i="25"/>
  <c r="AK22" i="25"/>
  <c r="AZ22" i="25"/>
  <c r="CL21" i="25"/>
  <c r="CD21" i="25"/>
  <c r="CG21" i="25"/>
  <c r="CK21" i="25"/>
  <c r="CF21" i="25"/>
  <c r="CJ21" i="25"/>
  <c r="CE21" i="25"/>
  <c r="CH21" i="25"/>
  <c r="CI21" i="25"/>
  <c r="CB21" i="25"/>
  <c r="BO22" i="25"/>
  <c r="BS22" i="25"/>
  <c r="BP22" i="25"/>
  <c r="BR22" i="25"/>
  <c r="BQ22" i="25"/>
  <c r="BV21" i="25"/>
  <c r="BN22" i="25"/>
  <c r="BL22" i="25"/>
  <c r="BK22" i="25"/>
  <c r="BJ22" i="25"/>
  <c r="BM22" i="25"/>
  <c r="BH22" i="25"/>
  <c r="BG22" i="25"/>
  <c r="AJ22" i="25"/>
  <c r="BI22" i="25"/>
  <c r="BF22" i="25"/>
  <c r="BC22" i="25"/>
  <c r="BB22" i="25"/>
  <c r="CO22" i="25"/>
  <c r="CP22" i="25" s="1"/>
  <c r="CQ22" i="25" s="1"/>
  <c r="BU21" i="25"/>
  <c r="BX21" i="25"/>
  <c r="BW21" i="25"/>
  <c r="O23" i="25"/>
  <c r="B24" i="25"/>
  <c r="BE22" i="25"/>
  <c r="BD22" i="25"/>
  <c r="J24" i="31"/>
  <c r="B25" i="31"/>
  <c r="B19" i="63" l="1"/>
  <c r="AP23" i="25"/>
  <c r="AL23" i="25"/>
  <c r="AW23" i="25"/>
  <c r="AO23" i="25"/>
  <c r="AK23" i="25"/>
  <c r="AN23" i="25"/>
  <c r="AZ23" i="25"/>
  <c r="AT23" i="25"/>
  <c r="AJ23" i="25"/>
  <c r="AS23" i="25"/>
  <c r="AI23" i="25"/>
  <c r="AY23" i="25"/>
  <c r="AV23" i="25"/>
  <c r="AU23" i="25"/>
  <c r="AR23" i="25"/>
  <c r="AM23" i="25"/>
  <c r="AX23" i="25"/>
  <c r="CL22" i="25"/>
  <c r="CE22" i="25"/>
  <c r="CG22" i="25"/>
  <c r="CI22" i="25"/>
  <c r="CF22" i="25"/>
  <c r="CD22" i="25"/>
  <c r="CK22" i="25"/>
  <c r="CH22" i="25"/>
  <c r="CJ22" i="25"/>
  <c r="CB22" i="25"/>
  <c r="BV22" i="25"/>
  <c r="BO23" i="25"/>
  <c r="BS23" i="25"/>
  <c r="BQ23" i="25"/>
  <c r="BR23" i="25"/>
  <c r="BP23" i="25"/>
  <c r="BN23" i="25"/>
  <c r="BL23" i="25"/>
  <c r="BK23" i="25"/>
  <c r="BJ23" i="25"/>
  <c r="BM23" i="25"/>
  <c r="BG23" i="25"/>
  <c r="BF23" i="25"/>
  <c r="BI23" i="25"/>
  <c r="BH23" i="25"/>
  <c r="BC23" i="25"/>
  <c r="BB23" i="25"/>
  <c r="CO23" i="25"/>
  <c r="CP23" i="25" s="1"/>
  <c r="CQ23" i="25" s="1"/>
  <c r="BU22" i="25"/>
  <c r="BW22" i="25"/>
  <c r="BX22" i="25"/>
  <c r="O24" i="25"/>
  <c r="B25" i="25"/>
  <c r="B26" i="31"/>
  <c r="J25" i="31"/>
  <c r="BD23" i="25"/>
  <c r="BE23" i="25"/>
  <c r="B20" i="63" l="1"/>
  <c r="AS24" i="25"/>
  <c r="AO24" i="25"/>
  <c r="AK24" i="25"/>
  <c r="AZ24" i="25"/>
  <c r="AV24" i="25"/>
  <c r="AR24" i="25"/>
  <c r="AN24" i="25"/>
  <c r="AJ24" i="25"/>
  <c r="AY24" i="25"/>
  <c r="AI24" i="25"/>
  <c r="AM24" i="25"/>
  <c r="AX24" i="25"/>
  <c r="AP24" i="25"/>
  <c r="AU24" i="25"/>
  <c r="AT24" i="25"/>
  <c r="AL24" i="25"/>
  <c r="CL23" i="25"/>
  <c r="CD23" i="25"/>
  <c r="CF23" i="25"/>
  <c r="CK23" i="25"/>
  <c r="CG23" i="25"/>
  <c r="CJ23" i="25"/>
  <c r="CE23" i="25"/>
  <c r="CH23" i="25"/>
  <c r="CI23" i="25"/>
  <c r="AW24" i="25"/>
  <c r="BO24" i="25"/>
  <c r="BS24" i="25"/>
  <c r="BR24" i="25"/>
  <c r="BQ24" i="25"/>
  <c r="BP24" i="25"/>
  <c r="BV23" i="25"/>
  <c r="CB23" i="25"/>
  <c r="BN24" i="25"/>
  <c r="BL24" i="25"/>
  <c r="BK24" i="25"/>
  <c r="BJ24" i="25"/>
  <c r="BM24" i="25"/>
  <c r="BF24" i="25"/>
  <c r="BI24" i="25"/>
  <c r="BG24" i="25"/>
  <c r="BH24" i="25"/>
  <c r="BC24" i="25"/>
  <c r="BB24" i="25"/>
  <c r="CO24" i="25"/>
  <c r="CP24" i="25" s="1"/>
  <c r="CQ24" i="25" s="1"/>
  <c r="BU23" i="25"/>
  <c r="BX23" i="25"/>
  <c r="BW23" i="25"/>
  <c r="J26" i="31"/>
  <c r="B27" i="31"/>
  <c r="B26" i="25"/>
  <c r="O25" i="25"/>
  <c r="BD24" i="25"/>
  <c r="BE24" i="25"/>
  <c r="B21" i="63" l="1"/>
  <c r="AZ25" i="25"/>
  <c r="AS25" i="25"/>
  <c r="AM25" i="25"/>
  <c r="AI25" i="25"/>
  <c r="AX25" i="25"/>
  <c r="AP25" i="25"/>
  <c r="AL25" i="25"/>
  <c r="AO25" i="25"/>
  <c r="AK25" i="25"/>
  <c r="AN25" i="25"/>
  <c r="AT25" i="25"/>
  <c r="AJ25" i="25"/>
  <c r="AU25" i="25"/>
  <c r="AV25" i="25"/>
  <c r="AR25" i="25"/>
  <c r="AY25" i="25"/>
  <c r="CL24" i="25"/>
  <c r="CE24" i="25"/>
  <c r="CF24" i="25"/>
  <c r="CJ24" i="25"/>
  <c r="CG24" i="25"/>
  <c r="CD24" i="25"/>
  <c r="CI24" i="25"/>
  <c r="CH24" i="25"/>
  <c r="CK24" i="25"/>
  <c r="AW25" i="25"/>
  <c r="CB24" i="25"/>
  <c r="BO25" i="25"/>
  <c r="BQ25" i="25"/>
  <c r="BP25" i="25"/>
  <c r="BS25" i="25"/>
  <c r="BR25" i="25"/>
  <c r="BV24" i="25"/>
  <c r="BN25" i="25"/>
  <c r="BM25" i="25"/>
  <c r="BL25" i="25"/>
  <c r="BK25" i="25"/>
  <c r="BJ25" i="25"/>
  <c r="BI25" i="25"/>
  <c r="BH25" i="25"/>
  <c r="BG25" i="25"/>
  <c r="BF25" i="25"/>
  <c r="BC25" i="25"/>
  <c r="BB25" i="25"/>
  <c r="CO25" i="25"/>
  <c r="CP25" i="25" s="1"/>
  <c r="CQ25" i="25" s="1"/>
  <c r="BU24" i="25"/>
  <c r="BW24" i="25"/>
  <c r="BX24" i="25"/>
  <c r="BE25" i="25"/>
  <c r="BD25" i="25"/>
  <c r="B27" i="25"/>
  <c r="O26" i="25"/>
  <c r="B28" i="31"/>
  <c r="J27" i="31"/>
  <c r="B22" i="63" l="1"/>
  <c r="B32" i="63" s="1"/>
  <c r="AT26" i="25"/>
  <c r="AP26" i="25"/>
  <c r="AL26" i="25"/>
  <c r="AS26" i="25"/>
  <c r="AO26" i="25"/>
  <c r="AK26" i="25"/>
  <c r="AR26" i="25"/>
  <c r="AJ26" i="25"/>
  <c r="AY26" i="25"/>
  <c r="AI26" i="25"/>
  <c r="AV26" i="25"/>
  <c r="AN26" i="25"/>
  <c r="AM26" i="25"/>
  <c r="AW26" i="25"/>
  <c r="AZ26" i="25"/>
  <c r="AU26" i="25"/>
  <c r="CL25" i="25"/>
  <c r="CE25" i="25"/>
  <c r="CG25" i="25"/>
  <c r="CK25" i="25"/>
  <c r="CD25" i="25"/>
  <c r="CF25" i="25"/>
  <c r="CJ25" i="25"/>
  <c r="CH25" i="25"/>
  <c r="CI25" i="25"/>
  <c r="AX26" i="25"/>
  <c r="BV25" i="25"/>
  <c r="BO26" i="25"/>
  <c r="BS26" i="25"/>
  <c r="BP26" i="25"/>
  <c r="BR26" i="25"/>
  <c r="BQ26" i="25"/>
  <c r="CB25" i="25"/>
  <c r="BN26" i="25"/>
  <c r="BM26" i="25"/>
  <c r="BL26" i="25"/>
  <c r="BK26" i="25"/>
  <c r="BJ26" i="25"/>
  <c r="BH26" i="25"/>
  <c r="BG26" i="25"/>
  <c r="BF26" i="25"/>
  <c r="BI26" i="25"/>
  <c r="BC26" i="25"/>
  <c r="BB26" i="25"/>
  <c r="BW25" i="25"/>
  <c r="CO26" i="25"/>
  <c r="CP26" i="25" s="1"/>
  <c r="CQ26" i="25" s="1"/>
  <c r="BU25" i="25"/>
  <c r="BX25" i="25"/>
  <c r="BD26" i="25"/>
  <c r="BE26" i="25"/>
  <c r="B29" i="31"/>
  <c r="J28" i="31"/>
  <c r="B28" i="25"/>
  <c r="O27" i="25"/>
  <c r="AJ27" i="25" l="1"/>
  <c r="AZ27" i="25"/>
  <c r="AI27" i="25"/>
  <c r="AP27" i="25"/>
  <c r="AO27" i="25"/>
  <c r="AX27" i="25"/>
  <c r="AW27" i="25"/>
  <c r="AY27" i="25"/>
  <c r="AR27" i="25"/>
  <c r="AV27" i="25"/>
  <c r="AU27" i="25"/>
  <c r="AS27" i="25"/>
  <c r="AK27" i="25"/>
  <c r="CL26" i="25"/>
  <c r="CE26" i="25"/>
  <c r="CG26" i="25"/>
  <c r="CI26" i="25"/>
  <c r="CF26" i="25"/>
  <c r="CD26" i="25"/>
  <c r="CJ26" i="25"/>
  <c r="CH26" i="25"/>
  <c r="CK26" i="25"/>
  <c r="AT27" i="25"/>
  <c r="BV26" i="25"/>
  <c r="CB26" i="25"/>
  <c r="BO27" i="25"/>
  <c r="BS27" i="25"/>
  <c r="BQ27" i="25"/>
  <c r="BR27" i="25"/>
  <c r="BP27" i="25"/>
  <c r="BN27" i="25"/>
  <c r="BL27" i="25"/>
  <c r="BM27" i="25"/>
  <c r="BK27" i="25"/>
  <c r="BJ27" i="25"/>
  <c r="BG27" i="25"/>
  <c r="BF27" i="25"/>
  <c r="AN27" i="25"/>
  <c r="BH27" i="25"/>
  <c r="AM27" i="25"/>
  <c r="BI27" i="25"/>
  <c r="AL27" i="25"/>
  <c r="BC27" i="25"/>
  <c r="BB27" i="25"/>
  <c r="CO27" i="25"/>
  <c r="CP27" i="25" s="1"/>
  <c r="CQ27" i="25" s="1"/>
  <c r="BX26" i="25"/>
  <c r="BU26" i="25"/>
  <c r="BW26" i="25"/>
  <c r="B29" i="25"/>
  <c r="O28" i="25"/>
  <c r="BE27" i="25"/>
  <c r="BD27" i="25"/>
  <c r="B30" i="31"/>
  <c r="J29" i="31"/>
  <c r="AU28" i="25" l="1"/>
  <c r="AM28" i="25"/>
  <c r="AW28" i="25"/>
  <c r="AS28" i="25"/>
  <c r="AO28" i="25"/>
  <c r="AK28" i="25"/>
  <c r="AZ28" i="25"/>
  <c r="AR28" i="25"/>
  <c r="AJ28" i="25"/>
  <c r="AX28" i="25"/>
  <c r="AP28" i="25"/>
  <c r="AN28" i="25"/>
  <c r="AV28" i="25"/>
  <c r="AT28" i="25"/>
  <c r="CL27" i="25"/>
  <c r="AY28" i="25"/>
  <c r="AI28" i="25"/>
  <c r="CE27" i="25"/>
  <c r="CF27" i="25"/>
  <c r="CK27" i="25"/>
  <c r="CD27" i="25"/>
  <c r="CG27" i="25"/>
  <c r="CJ27" i="25"/>
  <c r="CH27" i="25"/>
  <c r="CI27" i="25"/>
  <c r="CB27" i="25"/>
  <c r="BV27" i="25"/>
  <c r="BO28" i="25"/>
  <c r="BS28" i="25"/>
  <c r="BR28" i="25"/>
  <c r="BQ28" i="25"/>
  <c r="BP28" i="25"/>
  <c r="BN28" i="25"/>
  <c r="BL28" i="25"/>
  <c r="BK28" i="25"/>
  <c r="BJ28" i="25"/>
  <c r="BM28" i="25"/>
  <c r="BF28" i="25"/>
  <c r="BI28" i="25"/>
  <c r="AL28" i="25"/>
  <c r="BH28" i="25"/>
  <c r="BG28" i="25"/>
  <c r="BC28" i="25"/>
  <c r="BB28" i="25"/>
  <c r="CO28" i="25"/>
  <c r="CP28" i="25" s="1"/>
  <c r="CQ28" i="25" s="1"/>
  <c r="BX27" i="25"/>
  <c r="BW27" i="25"/>
  <c r="BU27" i="25"/>
  <c r="B31" i="31"/>
  <c r="J30" i="31"/>
  <c r="BD28" i="25"/>
  <c r="BE28" i="25"/>
  <c r="B30" i="25"/>
  <c r="O29" i="25"/>
  <c r="AW29" i="25" l="1"/>
  <c r="AO29" i="25"/>
  <c r="AK29" i="25"/>
  <c r="AZ29" i="25"/>
  <c r="AS29" i="25"/>
  <c r="AM29" i="25"/>
  <c r="AI29" i="25"/>
  <c r="AP29" i="25"/>
  <c r="AL29" i="25"/>
  <c r="AJ29" i="25"/>
  <c r="AX29" i="25"/>
  <c r="AT29" i="25"/>
  <c r="AV29" i="25"/>
  <c r="AU29" i="25"/>
  <c r="AY29" i="25"/>
  <c r="AR29" i="25"/>
  <c r="CL28" i="25"/>
  <c r="CE28" i="25"/>
  <c r="CF28" i="25"/>
  <c r="CK28" i="25"/>
  <c r="CG28" i="25"/>
  <c r="CD28" i="25"/>
  <c r="CI28" i="25"/>
  <c r="CH28" i="25"/>
  <c r="CJ28" i="25"/>
  <c r="CB28" i="25"/>
  <c r="BV28" i="25"/>
  <c r="BO29" i="25"/>
  <c r="BQ29" i="25"/>
  <c r="BP29" i="25"/>
  <c r="BS29" i="25"/>
  <c r="BR29" i="25"/>
  <c r="BN29" i="25"/>
  <c r="BL29" i="25"/>
  <c r="BK29" i="25"/>
  <c r="BJ29" i="25"/>
  <c r="BM29" i="25"/>
  <c r="BI29" i="25"/>
  <c r="BH29" i="25"/>
  <c r="AN29" i="25"/>
  <c r="BF29" i="25"/>
  <c r="BG29" i="25"/>
  <c r="BC29" i="25"/>
  <c r="BB29" i="25"/>
  <c r="CO29" i="25"/>
  <c r="CP29" i="25" s="1"/>
  <c r="CQ29" i="25" s="1"/>
  <c r="BW28" i="25"/>
  <c r="BU28" i="25"/>
  <c r="BX28" i="25"/>
  <c r="B31" i="25"/>
  <c r="O30" i="25"/>
  <c r="BE29" i="25"/>
  <c r="BD29" i="25"/>
  <c r="B32" i="31"/>
  <c r="J31" i="31"/>
  <c r="AZ30" i="25" l="1"/>
  <c r="AV30" i="25"/>
  <c r="AR30" i="25"/>
  <c r="AN30" i="25"/>
  <c r="AJ30" i="25"/>
  <c r="AX30" i="25"/>
  <c r="AT30" i="25"/>
  <c r="AP30" i="25"/>
  <c r="AL30" i="25"/>
  <c r="AK30" i="25"/>
  <c r="AY30" i="25"/>
  <c r="AI30" i="25"/>
  <c r="AO30" i="25"/>
  <c r="AW30" i="25"/>
  <c r="AM30" i="25"/>
  <c r="AU30" i="25"/>
  <c r="CL29" i="25"/>
  <c r="CF29" i="25"/>
  <c r="CD29" i="25"/>
  <c r="CI29" i="25"/>
  <c r="CH29" i="25"/>
  <c r="CJ29" i="25"/>
  <c r="CE29" i="25"/>
  <c r="CG29" i="25"/>
  <c r="CK29" i="25"/>
  <c r="AS30" i="25"/>
  <c r="BV29" i="25"/>
  <c r="BO30" i="25"/>
  <c r="BS30" i="25"/>
  <c r="BP30" i="25"/>
  <c r="BR30" i="25"/>
  <c r="BQ30" i="25"/>
  <c r="CB29" i="25"/>
  <c r="BN30" i="25"/>
  <c r="BL30" i="25"/>
  <c r="BK30" i="25"/>
  <c r="BJ30" i="25"/>
  <c r="BM30" i="25"/>
  <c r="BH30" i="25"/>
  <c r="BG30" i="25"/>
  <c r="BI30" i="25"/>
  <c r="BF30" i="25"/>
  <c r="BC30" i="25"/>
  <c r="BB30" i="25"/>
  <c r="CO30" i="25"/>
  <c r="CP30" i="25" s="1"/>
  <c r="CQ30" i="25" s="1"/>
  <c r="BU29" i="25"/>
  <c r="BW29" i="25"/>
  <c r="BX29" i="25"/>
  <c r="BE30" i="25"/>
  <c r="BD30" i="25"/>
  <c r="B33" i="31"/>
  <c r="J32" i="31"/>
  <c r="B32" i="25"/>
  <c r="O31" i="25"/>
  <c r="AX31" i="25" l="1"/>
  <c r="AP31" i="25"/>
  <c r="AL31" i="25"/>
  <c r="AT31" i="25"/>
  <c r="AJ31" i="25"/>
  <c r="AS31" i="25"/>
  <c r="AI31" i="25"/>
  <c r="AO31" i="25"/>
  <c r="AM31" i="25"/>
  <c r="AK31" i="25"/>
  <c r="AZ31" i="25"/>
  <c r="AW31" i="25"/>
  <c r="AV31" i="25"/>
  <c r="AU31" i="25"/>
  <c r="AR31" i="25"/>
  <c r="AY31" i="25"/>
  <c r="AN31" i="25"/>
  <c r="CL30" i="25"/>
  <c r="CE30" i="25"/>
  <c r="CF30" i="25"/>
  <c r="CD30" i="25"/>
  <c r="CJ30" i="25"/>
  <c r="CH30" i="25"/>
  <c r="CK30" i="25"/>
  <c r="CG30" i="25"/>
  <c r="CI30" i="25"/>
  <c r="CB30" i="25"/>
  <c r="BV30" i="25"/>
  <c r="BO31" i="25"/>
  <c r="BS31" i="25"/>
  <c r="BQ31" i="25"/>
  <c r="BR31" i="25"/>
  <c r="BP31" i="25"/>
  <c r="BN31" i="25"/>
  <c r="BK31" i="25"/>
  <c r="BL31" i="25"/>
  <c r="BJ31" i="25"/>
  <c r="BM31" i="25"/>
  <c r="BG31" i="25"/>
  <c r="BF31" i="25"/>
  <c r="BI31" i="25"/>
  <c r="BH31" i="25"/>
  <c r="BC31" i="25"/>
  <c r="BB31" i="25"/>
  <c r="B33" i="25"/>
  <c r="CO31" i="25"/>
  <c r="BU30" i="25"/>
  <c r="BX30" i="25"/>
  <c r="BW30" i="25"/>
  <c r="O32" i="25"/>
  <c r="J33" i="31"/>
  <c r="B34" i="31"/>
  <c r="BD31" i="25"/>
  <c r="BE31" i="25"/>
  <c r="AW32" i="25" l="1"/>
  <c r="AS32" i="25"/>
  <c r="AK32" i="25"/>
  <c r="AU32" i="25"/>
  <c r="AM32" i="25"/>
  <c r="AI32" i="25"/>
  <c r="AT32" i="25"/>
  <c r="AL32" i="25"/>
  <c r="AZ32" i="25"/>
  <c r="AR32" i="25"/>
  <c r="AJ32" i="25"/>
  <c r="AP32" i="25"/>
  <c r="AX32" i="25"/>
  <c r="AN32" i="25"/>
  <c r="AV32" i="25"/>
  <c r="AO32" i="25"/>
  <c r="CL31" i="25"/>
  <c r="CE31" i="25"/>
  <c r="CD31" i="25"/>
  <c r="CF31" i="25"/>
  <c r="CK31" i="25"/>
  <c r="CG31" i="25"/>
  <c r="CJ31" i="25"/>
  <c r="CH31" i="25"/>
  <c r="CI31" i="25"/>
  <c r="AY32" i="25"/>
  <c r="CB31" i="25"/>
  <c r="BV31" i="25"/>
  <c r="BO32" i="25"/>
  <c r="BS32" i="25"/>
  <c r="BR32" i="25"/>
  <c r="BQ32" i="25"/>
  <c r="BP32" i="25"/>
  <c r="BN32" i="25"/>
  <c r="BL32" i="25"/>
  <c r="BK32" i="25"/>
  <c r="BJ32" i="25"/>
  <c r="BM32" i="25"/>
  <c r="BF32" i="25"/>
  <c r="BI32" i="25"/>
  <c r="BG32" i="25"/>
  <c r="BH32" i="25"/>
  <c r="BC32" i="25"/>
  <c r="BB32" i="25"/>
  <c r="CP31" i="25"/>
  <c r="CQ31" i="25" s="1"/>
  <c r="O33" i="25"/>
  <c r="CO32" i="25"/>
  <c r="BX31" i="25"/>
  <c r="BU31" i="25"/>
  <c r="BW31" i="25"/>
  <c r="B35" i="31"/>
  <c r="J34" i="31"/>
  <c r="BE32" i="25"/>
  <c r="BD32" i="25"/>
  <c r="AS33" i="25" l="1"/>
  <c r="AM33" i="25"/>
  <c r="AO33" i="25"/>
  <c r="AK33" i="25"/>
  <c r="AT33" i="25"/>
  <c r="AJ33" i="25"/>
  <c r="AP33" i="25"/>
  <c r="AN33" i="25"/>
  <c r="AL33" i="25"/>
  <c r="AX33" i="25"/>
  <c r="AV33" i="25"/>
  <c r="AU33" i="25"/>
  <c r="AY33" i="25"/>
  <c r="AR33" i="25"/>
  <c r="CL32" i="25"/>
  <c r="AZ33" i="25"/>
  <c r="AW33" i="25"/>
  <c r="CE32" i="25"/>
  <c r="CF32" i="25"/>
  <c r="CJ32" i="25"/>
  <c r="CG32" i="25"/>
  <c r="CD32" i="25"/>
  <c r="CI32" i="25"/>
  <c r="CH32" i="25"/>
  <c r="CK32" i="25"/>
  <c r="CB32" i="25"/>
  <c r="BV32" i="25"/>
  <c r="BO33" i="25"/>
  <c r="BQ33" i="25"/>
  <c r="BP33" i="25"/>
  <c r="BS33" i="25"/>
  <c r="BR33" i="25"/>
  <c r="BN33" i="25"/>
  <c r="BK33" i="25"/>
  <c r="BL33" i="25"/>
  <c r="BJ33" i="25"/>
  <c r="BM33" i="25"/>
  <c r="BI33" i="25"/>
  <c r="BH33" i="25"/>
  <c r="BG33" i="25"/>
  <c r="BF33" i="25"/>
  <c r="BC33" i="25"/>
  <c r="BB33" i="25"/>
  <c r="CP32" i="25"/>
  <c r="CQ32" i="25" s="1"/>
  <c r="BD33" i="25"/>
  <c r="CO33" i="25"/>
  <c r="BE33" i="25"/>
  <c r="BX32" i="25"/>
  <c r="BU32" i="25"/>
  <c r="BW32" i="25"/>
  <c r="B36" i="31"/>
  <c r="J35" i="31"/>
  <c r="CL33" i="25" l="1"/>
  <c r="CE33" i="25"/>
  <c r="CG33" i="25"/>
  <c r="CK33" i="25"/>
  <c r="CD33" i="25"/>
  <c r="CF33" i="25"/>
  <c r="CJ33" i="25"/>
  <c r="CH33" i="25"/>
  <c r="CI33" i="25"/>
  <c r="CB33" i="25"/>
  <c r="BV33" i="25"/>
  <c r="AI33" i="25"/>
  <c r="BU33" i="25" s="1"/>
  <c r="BW33" i="25"/>
  <c r="CP33" i="25"/>
  <c r="CQ33" i="25" s="1"/>
  <c r="BX33" i="25"/>
  <c r="J36" i="31"/>
  <c r="B37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B49" i="31" l="1"/>
  <c r="J48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B60" i="31" l="1"/>
  <c r="J59" i="31"/>
  <c r="J60" i="31" l="1"/>
  <c r="B61" i="31"/>
  <c r="J61" i="31" l="1"/>
  <c r="B62" i="31"/>
  <c r="J62" i="31" l="1"/>
  <c r="B63" i="31"/>
  <c r="B64" i="31" l="1"/>
  <c r="J63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B86" i="31" l="1"/>
  <c r="J85" i="31"/>
  <c r="B87" i="31" l="1"/>
  <c r="J86" i="31"/>
  <c r="J87" i="31" l="1"/>
  <c r="B88" i="31"/>
  <c r="J88" i="31" l="1"/>
  <c r="B89" i="31"/>
  <c r="B90" i="31" l="1"/>
  <c r="J89" i="31"/>
  <c r="B91" i="31" l="1"/>
  <c r="J90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B98" i="31" l="1"/>
  <c r="J97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B106" i="31" l="1"/>
  <c r="J105" i="31"/>
  <c r="J106" i="31" l="1"/>
  <c r="B107" i="31"/>
  <c r="B108" i="31" l="1"/>
  <c r="J107" i="31"/>
  <c r="J108" i="31" l="1"/>
  <c r="B109" i="31"/>
  <c r="B110" i="31" l="1"/>
  <c r="J109" i="31"/>
  <c r="J110" i="31" l="1"/>
  <c r="B111" i="31"/>
  <c r="J111" i="31" l="1"/>
  <c r="B112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B120" i="31" l="1"/>
  <c r="J119" i="31"/>
  <c r="J120" i="31" l="1"/>
  <c r="B121" i="31"/>
  <c r="J121" i="31" l="1"/>
  <c r="B122" i="31"/>
  <c r="J122" i="31" l="1"/>
  <c r="B123" i="31"/>
  <c r="B124" i="31" l="1"/>
  <c r="J123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B143" i="31" l="1"/>
  <c r="J142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B151" i="31" l="1"/>
  <c r="J150" i="31"/>
  <c r="J151" i="31" l="1"/>
  <c r="B152" i="31"/>
  <c r="J152" i="31" l="1"/>
  <c r="B153" i="31"/>
  <c r="J153" i="31" l="1"/>
  <c r="B154" i="31"/>
  <c r="J154" i="31" l="1"/>
  <c r="B155" i="31"/>
  <c r="B156" i="31" l="1"/>
  <c r="J155" i="31"/>
  <c r="J156" i="31" l="1"/>
  <c r="B157" i="31"/>
  <c r="J157" i="31" l="1"/>
  <c r="B158" i="31"/>
  <c r="J158" i="31" l="1"/>
  <c r="B159" i="31"/>
  <c r="B160" i="31" l="1"/>
  <c r="J159" i="31"/>
  <c r="J160" i="31" l="1"/>
  <c r="B161" i="31"/>
  <c r="B162" i="31" l="1"/>
  <c r="J161" i="31"/>
  <c r="J162" i="31" l="1"/>
  <c r="B163" i="31"/>
  <c r="B164" i="31" l="1"/>
  <c r="J163" i="31"/>
  <c r="B165" i="31" l="1"/>
  <c r="J164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J200" i="31" l="1"/>
  <c r="B201" i="31"/>
  <c r="J201" i="31" l="1"/>
  <c r="B202" i="31"/>
  <c r="J202" i="31" l="1"/>
  <c r="B203" i="31"/>
  <c r="J203" i="31" l="1"/>
  <c r="B204" i="31"/>
  <c r="B205" i="31" l="1"/>
  <c r="J204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J211" i="31" l="1"/>
  <c r="B212" i="31"/>
  <c r="J212" i="31" l="1"/>
  <c r="B213" i="31"/>
  <c r="B214" i="31" l="1"/>
  <c r="J213" i="31"/>
  <c r="J214" i="31" l="1"/>
  <c r="B215" i="31"/>
  <c r="J215" i="31" l="1"/>
  <c r="B216" i="31"/>
  <c r="B217" i="31" s="1"/>
  <c r="B218" i="31" l="1"/>
  <c r="J217" i="31"/>
  <c r="J216" i="31"/>
  <c r="B219" i="31" l="1"/>
  <c r="J218" i="31"/>
  <c r="J219" i="31" l="1"/>
  <c r="B220" i="31"/>
  <c r="J220" i="31" l="1"/>
  <c r="B221" i="31"/>
  <c r="B222" i="31" l="1"/>
  <c r="J221" i="31"/>
  <c r="B223" i="31" l="1"/>
  <c r="J222" i="31"/>
  <c r="J223" i="31" l="1"/>
  <c r="B224" i="31"/>
  <c r="J224" i="31" l="1"/>
  <c r="B225" i="31"/>
  <c r="B226" i="31" l="1"/>
  <c r="J225" i="31"/>
  <c r="B227" i="31" l="1"/>
  <c r="J226" i="31"/>
  <c r="J227" i="31" l="1"/>
  <c r="B228" i="31"/>
  <c r="J228" i="31" l="1"/>
  <c r="B229" i="31"/>
  <c r="B230" i="31" l="1"/>
  <c r="J229" i="31"/>
  <c r="B231" i="31" l="1"/>
  <c r="J230" i="31"/>
  <c r="B232" i="31" l="1"/>
  <c r="J231" i="31"/>
  <c r="J232" i="31" l="1"/>
  <c r="B233" i="31"/>
  <c r="B234" i="31" l="1"/>
  <c r="J233" i="31"/>
  <c r="B235" i="31" l="1"/>
  <c r="J234" i="31"/>
  <c r="B236" i="31" l="1"/>
  <c r="J235" i="31"/>
  <c r="J236" i="31" l="1"/>
  <c r="B237" i="31"/>
  <c r="J237" i="31" l="1"/>
  <c r="B238" i="31"/>
  <c r="B239" i="31" l="1"/>
  <c r="J238" i="31"/>
  <c r="B240" i="31" l="1"/>
  <c r="J240" i="31" s="1"/>
  <c r="J239" i="31"/>
  <c r="B241" i="31" l="1"/>
  <c r="B242" i="31" l="1"/>
  <c r="J241" i="31"/>
  <c r="J242" i="31" l="1"/>
  <c r="B243" i="31"/>
  <c r="B244" i="31" l="1"/>
  <c r="J243" i="31"/>
  <c r="J244" i="31" l="1"/>
  <c r="B245" i="31"/>
  <c r="B246" i="31" l="1"/>
  <c r="J245" i="31"/>
  <c r="J246" i="31" l="1"/>
  <c r="B247" i="31"/>
  <c r="J247" i="31" l="1"/>
  <c r="B248" i="31"/>
  <c r="B249" i="31" l="1"/>
  <c r="J248" i="31"/>
  <c r="J249" i="31" l="1"/>
  <c r="B250" i="31"/>
  <c r="J250" i="31" l="1"/>
  <c r="B251" i="31"/>
  <c r="B252" i="31" l="1"/>
  <c r="J251" i="31"/>
  <c r="B253" i="31" l="1"/>
  <c r="J252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J260" i="31" l="1"/>
  <c r="B261" i="31"/>
  <c r="B262" i="31" l="1"/>
  <c r="J261" i="31"/>
  <c r="J262" i="31" l="1"/>
  <c r="B263" i="31"/>
  <c r="J263" i="31" l="1"/>
  <c r="B264" i="31"/>
  <c r="J264" i="31" l="1"/>
  <c r="BZ13" i="25" l="1"/>
  <c r="BZ14" i="25"/>
  <c r="BZ15" i="25"/>
  <c r="BZ16" i="25"/>
  <c r="BZ17" i="25"/>
  <c r="BZ18" i="25"/>
  <c r="BZ19" i="25"/>
  <c r="BZ20" i="25"/>
  <c r="BZ21" i="25"/>
  <c r="BZ22" i="25"/>
  <c r="BZ23" i="25"/>
  <c r="BZ24" i="25"/>
  <c r="BZ25" i="25"/>
  <c r="BZ26" i="25"/>
  <c r="BZ27" i="25"/>
  <c r="BZ28" i="25"/>
  <c r="BZ29" i="25"/>
  <c r="BZ30" i="25"/>
  <c r="BZ31" i="25"/>
  <c r="BZ32" i="25"/>
  <c r="BZ33" i="25"/>
  <c r="CA13" i="25"/>
  <c r="CA14" i="25"/>
  <c r="CA15" i="25"/>
  <c r="CA16" i="25"/>
  <c r="CA17" i="25"/>
  <c r="CA18" i="25"/>
  <c r="CA19" i="25"/>
  <c r="CA20" i="25"/>
  <c r="CA21" i="25"/>
  <c r="CA22" i="25"/>
  <c r="CA23" i="25"/>
  <c r="CA24" i="25"/>
  <c r="CA25" i="25"/>
  <c r="CA26" i="25"/>
  <c r="CA27" i="25"/>
  <c r="CA28" i="25"/>
  <c r="CA29" i="25"/>
  <c r="CA30" i="25"/>
  <c r="CA31" i="25"/>
  <c r="CA32" i="25"/>
  <c r="CA33" i="25"/>
  <c r="BY13" i="25" l="1"/>
  <c r="BY14" i="25"/>
  <c r="BY15" i="25"/>
  <c r="BY16" i="25"/>
  <c r="BY17" i="25"/>
  <c r="BY18" i="25"/>
  <c r="BY19" i="25"/>
  <c r="BY20" i="25"/>
  <c r="BY21" i="25"/>
  <c r="BY22" i="25"/>
  <c r="BY23" i="25"/>
  <c r="BY24" i="25"/>
  <c r="BY25" i="25"/>
  <c r="BY26" i="25"/>
  <c r="BY27" i="25"/>
  <c r="BY28" i="25"/>
  <c r="BY29" i="25"/>
  <c r="BY30" i="25"/>
  <c r="BY31" i="25"/>
  <c r="BY32" i="25"/>
  <c r="BY33" i="25"/>
  <c r="AQ25" i="25" l="1"/>
  <c r="AQ15" i="25"/>
  <c r="AQ17" i="25"/>
  <c r="AQ19" i="25"/>
  <c r="AQ21" i="25"/>
  <c r="AQ23" i="25"/>
  <c r="AQ26" i="25"/>
  <c r="AQ28" i="25"/>
  <c r="AQ30" i="25"/>
  <c r="AQ32" i="25"/>
  <c r="AQ14" i="25"/>
  <c r="AQ16" i="25"/>
  <c r="AQ18" i="25"/>
  <c r="AQ20" i="25"/>
  <c r="AQ22" i="25"/>
  <c r="AQ24" i="25"/>
  <c r="AQ27" i="25"/>
  <c r="AQ29" i="25"/>
  <c r="AQ31" i="25"/>
  <c r="AQ33" i="25"/>
  <c r="AQ13" i="25"/>
  <c r="CC32" i="25" l="1"/>
  <c r="CM32" i="25" s="1"/>
  <c r="C32" i="25" s="1"/>
  <c r="CC30" i="25"/>
  <c r="CM30" i="25" s="1"/>
  <c r="C30" i="25" s="1"/>
  <c r="CC28" i="25"/>
  <c r="CM28" i="25" s="1"/>
  <c r="C28" i="25" s="1"/>
  <c r="CC26" i="25"/>
  <c r="CM26" i="25" s="1"/>
  <c r="C26" i="25" s="1"/>
  <c r="CC24" i="25"/>
  <c r="CM24" i="25" s="1"/>
  <c r="C24" i="25" s="1"/>
  <c r="CC22" i="25"/>
  <c r="CM22" i="25" s="1"/>
  <c r="C22" i="25" s="1"/>
  <c r="CC20" i="25"/>
  <c r="CM20" i="25" s="1"/>
  <c r="C20" i="25" s="1"/>
  <c r="CC18" i="25"/>
  <c r="CM18" i="25" s="1"/>
  <c r="C18" i="25" s="1"/>
  <c r="CC16" i="25"/>
  <c r="CM16" i="25" s="1"/>
  <c r="C16" i="25" s="1"/>
  <c r="CC33" i="25"/>
  <c r="CC31" i="25"/>
  <c r="CM31" i="25" s="1"/>
  <c r="C31" i="25" s="1"/>
  <c r="CC29" i="25"/>
  <c r="CM29" i="25" s="1"/>
  <c r="C29" i="25" s="1"/>
  <c r="CC27" i="25"/>
  <c r="CM27" i="25" s="1"/>
  <c r="C27" i="25" s="1"/>
  <c r="CC25" i="25"/>
  <c r="CM25" i="25" s="1"/>
  <c r="C25" i="25" s="1"/>
  <c r="CC23" i="25"/>
  <c r="CM23" i="25" s="1"/>
  <c r="C23" i="25" s="1"/>
  <c r="CC21" i="25"/>
  <c r="CM21" i="25" s="1"/>
  <c r="C21" i="25" s="1"/>
  <c r="CC19" i="25"/>
  <c r="CM19" i="25" s="1"/>
  <c r="C19" i="25" s="1"/>
  <c r="CC17" i="25"/>
  <c r="CM17" i="25" s="1"/>
  <c r="C17" i="25" s="1"/>
  <c r="CC15" i="25"/>
  <c r="CM15" i="25" s="1"/>
  <c r="C15" i="25" s="1"/>
  <c r="CC13" i="25"/>
  <c r="CM13" i="25" s="1"/>
  <c r="C13" i="25" s="1"/>
  <c r="CC14" i="25"/>
  <c r="CM14" i="25" s="1"/>
  <c r="C14" i="25" s="1"/>
  <c r="CM33" i="25"/>
  <c r="C33" i="25" s="1"/>
  <c r="A62" i="25"/>
  <c r="A63" i="25"/>
  <c r="K232" i="31" l="1"/>
  <c r="K216" i="31"/>
  <c r="D216" i="31"/>
  <c r="K200" i="31"/>
  <c r="D200" i="31"/>
  <c r="D184" i="31"/>
  <c r="K184" i="31"/>
  <c r="D168" i="31"/>
  <c r="K168" i="31"/>
  <c r="D152" i="31"/>
  <c r="K152" i="31"/>
  <c r="D136" i="31"/>
  <c r="K136" i="31"/>
  <c r="K135" i="31"/>
  <c r="D135" i="31"/>
  <c r="K156" i="31"/>
  <c r="D156" i="31"/>
  <c r="D140" i="31"/>
  <c r="K140" i="31"/>
  <c r="K235" i="31"/>
  <c r="K219" i="31"/>
  <c r="D219" i="31"/>
  <c r="D203" i="31"/>
  <c r="K203" i="31"/>
  <c r="K187" i="31"/>
  <c r="D187" i="31"/>
  <c r="K171" i="31"/>
  <c r="D171" i="31"/>
  <c r="D155" i="31"/>
  <c r="K155" i="31"/>
  <c r="K139" i="31"/>
  <c r="D139" i="31"/>
  <c r="K234" i="31"/>
  <c r="D218" i="31"/>
  <c r="K218" i="31"/>
  <c r="K202" i="31"/>
  <c r="D202" i="31"/>
  <c r="K186" i="31"/>
  <c r="D186" i="31"/>
  <c r="K170" i="31"/>
  <c r="D170" i="31"/>
  <c r="K154" i="31"/>
  <c r="D154" i="31"/>
  <c r="K138" i="31"/>
  <c r="D138" i="31"/>
  <c r="K237" i="31"/>
  <c r="K221" i="31"/>
  <c r="D221" i="31"/>
  <c r="K193" i="31"/>
  <c r="O31" i="31"/>
  <c r="D193" i="31"/>
  <c r="K173" i="31"/>
  <c r="D173" i="31"/>
  <c r="D145" i="31"/>
  <c r="O27" i="31"/>
  <c r="K145" i="31"/>
  <c r="O32" i="31"/>
  <c r="K205" i="31"/>
  <c r="D205" i="31"/>
  <c r="K185" i="31"/>
  <c r="D185" i="31"/>
  <c r="O28" i="31"/>
  <c r="D157" i="31"/>
  <c r="K157" i="31"/>
  <c r="D137" i="31"/>
  <c r="K137" i="31"/>
  <c r="K239" i="31"/>
  <c r="D223" i="31"/>
  <c r="K223" i="31"/>
  <c r="D207" i="31"/>
  <c r="K207" i="31"/>
  <c r="K191" i="31"/>
  <c r="D191" i="31"/>
  <c r="K175" i="31"/>
  <c r="D175" i="31"/>
  <c r="K159" i="31"/>
  <c r="D159" i="31"/>
  <c r="K230" i="31"/>
  <c r="D214" i="31"/>
  <c r="K214" i="31"/>
  <c r="K198" i="31"/>
  <c r="D198" i="31"/>
  <c r="K182" i="31"/>
  <c r="D182" i="31"/>
  <c r="D166" i="31"/>
  <c r="K166" i="31"/>
  <c r="D150" i="31"/>
  <c r="K150" i="31"/>
  <c r="K134" i="31"/>
  <c r="D134" i="31"/>
  <c r="K233" i="31"/>
  <c r="D217" i="31"/>
  <c r="O33" i="31"/>
  <c r="K217" i="31"/>
  <c r="D197" i="31"/>
  <c r="K197" i="31"/>
  <c r="D169" i="31"/>
  <c r="O29" i="31"/>
  <c r="K169" i="31"/>
  <c r="K149" i="31"/>
  <c r="D149" i="31"/>
  <c r="K209" i="31"/>
  <c r="D209" i="31"/>
  <c r="O30" i="31"/>
  <c r="K181" i="31"/>
  <c r="D181" i="31"/>
  <c r="D161" i="31"/>
  <c r="K161" i="31"/>
  <c r="K133" i="31"/>
  <c r="O26" i="31"/>
  <c r="D133" i="31"/>
  <c r="K228" i="31"/>
  <c r="D228" i="31"/>
  <c r="K212" i="31"/>
  <c r="D212" i="31"/>
  <c r="D196" i="31"/>
  <c r="K196" i="31"/>
  <c r="D180" i="31"/>
  <c r="K180" i="31"/>
  <c r="K240" i="31"/>
  <c r="D224" i="31"/>
  <c r="K224" i="31"/>
  <c r="K208" i="31"/>
  <c r="D208" i="31"/>
  <c r="D192" i="31"/>
  <c r="K192" i="31"/>
  <c r="K176" i="31"/>
  <c r="D176" i="31"/>
  <c r="D160" i="31"/>
  <c r="K160" i="31"/>
  <c r="D144" i="31"/>
  <c r="K144" i="31"/>
  <c r="D143" i="31"/>
  <c r="K143" i="31"/>
  <c r="K164" i="31"/>
  <c r="D164" i="31"/>
  <c r="K148" i="31"/>
  <c r="D148" i="31"/>
  <c r="D227" i="31"/>
  <c r="K227" i="31"/>
  <c r="D211" i="31"/>
  <c r="K211" i="31"/>
  <c r="K195" i="31"/>
  <c r="D195" i="31"/>
  <c r="D179" i="31"/>
  <c r="K179" i="31"/>
  <c r="D163" i="31"/>
  <c r="K163" i="31"/>
  <c r="D147" i="31"/>
  <c r="K147" i="31"/>
  <c r="D226" i="31"/>
  <c r="K226" i="31"/>
  <c r="D210" i="31"/>
  <c r="K210" i="31"/>
  <c r="D194" i="31"/>
  <c r="K194" i="31"/>
  <c r="D178" i="31"/>
  <c r="K178" i="31"/>
  <c r="D162" i="31"/>
  <c r="K162" i="31"/>
  <c r="D146" i="31"/>
  <c r="K146" i="31"/>
  <c r="D229" i="31"/>
  <c r="O34" i="31"/>
  <c r="K229" i="31"/>
  <c r="D201" i="31"/>
  <c r="K201" i="31"/>
  <c r="D153" i="31"/>
  <c r="K153" i="31"/>
  <c r="D213" i="31"/>
  <c r="K213" i="31"/>
  <c r="K165" i="31"/>
  <c r="D165" i="31"/>
  <c r="K231" i="31"/>
  <c r="K215" i="31"/>
  <c r="D215" i="31"/>
  <c r="D199" i="31"/>
  <c r="K199" i="31"/>
  <c r="D183" i="31"/>
  <c r="K183" i="31"/>
  <c r="D167" i="31"/>
  <c r="K167" i="31"/>
  <c r="D151" i="31"/>
  <c r="K151" i="31"/>
  <c r="K238" i="31"/>
  <c r="K222" i="31"/>
  <c r="D222" i="31"/>
  <c r="K206" i="31"/>
  <c r="D206" i="31"/>
  <c r="D190" i="31"/>
  <c r="K190" i="31"/>
  <c r="K174" i="31"/>
  <c r="D174" i="31"/>
  <c r="K158" i="31"/>
  <c r="D158" i="31"/>
  <c r="D142" i="31"/>
  <c r="K142" i="31"/>
  <c r="D225" i="31"/>
  <c r="K225" i="31"/>
  <c r="K177" i="31"/>
  <c r="D177" i="31"/>
  <c r="K189" i="31"/>
  <c r="D189" i="31"/>
  <c r="K141" i="31"/>
  <c r="D141" i="31"/>
  <c r="K236" i="31"/>
  <c r="K220" i="31"/>
  <c r="D220" i="31"/>
  <c r="K204" i="31"/>
  <c r="D204" i="31"/>
  <c r="D188" i="31"/>
  <c r="K188" i="31"/>
  <c r="D172" i="31"/>
  <c r="K172" i="31"/>
  <c r="D236" i="31" l="1"/>
  <c r="D238" i="31"/>
  <c r="D231" i="31"/>
  <c r="K248" i="31"/>
  <c r="K243" i="31"/>
  <c r="D232" i="31"/>
  <c r="K241" i="31"/>
  <c r="D242" i="31"/>
  <c r="D241" i="31"/>
  <c r="O35" i="31"/>
  <c r="N26" i="31"/>
  <c r="N29" i="31"/>
  <c r="D233" i="31"/>
  <c r="K249" i="31"/>
  <c r="D234" i="31"/>
  <c r="K250" i="31"/>
  <c r="D240" i="31"/>
  <c r="N33" i="31"/>
  <c r="K245" i="31"/>
  <c r="D230" i="31"/>
  <c r="D239" i="31"/>
  <c r="N28" i="31"/>
  <c r="D235" i="31"/>
  <c r="K244" i="31"/>
  <c r="K252" i="31"/>
  <c r="K251" i="31"/>
  <c r="N32" i="31"/>
  <c r="N27" i="31"/>
  <c r="N31" i="31"/>
  <c r="K246" i="31"/>
  <c r="N30" i="31"/>
  <c r="K242" i="31"/>
  <c r="D237" i="31"/>
  <c r="K247" i="31"/>
  <c r="N34" i="31" l="1"/>
  <c r="R34" i="31" s="1"/>
  <c r="D248" i="31"/>
  <c r="D259" i="31"/>
  <c r="K259" i="31"/>
  <c r="D254" i="31"/>
  <c r="K254" i="31"/>
  <c r="R30" i="31"/>
  <c r="D250" i="31"/>
  <c r="D261" i="31"/>
  <c r="K261" i="31"/>
  <c r="R26" i="31"/>
  <c r="D247" i="31"/>
  <c r="D258" i="31"/>
  <c r="K258" i="31"/>
  <c r="R31" i="31"/>
  <c r="D251" i="31"/>
  <c r="D252" i="31"/>
  <c r="D256" i="31"/>
  <c r="K256" i="31"/>
  <c r="R28" i="31"/>
  <c r="D257" i="31"/>
  <c r="K257" i="31"/>
  <c r="R29" i="31"/>
  <c r="D246" i="31"/>
  <c r="R27" i="31"/>
  <c r="D264" i="31"/>
  <c r="K264" i="31"/>
  <c r="R33" i="31"/>
  <c r="D262" i="31"/>
  <c r="K262" i="31"/>
  <c r="K253" i="31"/>
  <c r="D253" i="31"/>
  <c r="O36" i="31"/>
  <c r="D243" i="31"/>
  <c r="K260" i="31"/>
  <c r="D260" i="31"/>
  <c r="R32" i="31"/>
  <c r="D263" i="31"/>
  <c r="K263" i="31"/>
  <c r="D244" i="31"/>
  <c r="D245" i="31"/>
  <c r="D249" i="31"/>
  <c r="K255" i="31"/>
  <c r="D255" i="31"/>
  <c r="N35" i="31" l="1"/>
  <c r="N36" i="31"/>
  <c r="R35" i="31" l="1"/>
  <c r="R36" i="31"/>
  <c r="E151" i="31"/>
  <c r="E152" i="31"/>
  <c r="E216" i="31"/>
  <c r="E187" i="31"/>
  <c r="E228" i="31"/>
  <c r="E207" i="31"/>
  <c r="E186" i="31"/>
  <c r="E209" i="31"/>
  <c r="E160" i="31"/>
  <c r="E211" i="31"/>
  <c r="E144" i="31"/>
  <c r="E166" i="31"/>
  <c r="E139" i="31"/>
  <c r="E168" i="31"/>
  <c r="E165" i="31"/>
  <c r="E143" i="31"/>
  <c r="E179" i="31"/>
  <c r="E219" i="31"/>
  <c r="E201" i="31"/>
  <c r="E190" i="31"/>
  <c r="E178" i="31"/>
  <c r="E185" i="31"/>
  <c r="E164" i="31"/>
  <c r="E177" i="31"/>
  <c r="E213" i="31"/>
  <c r="E210" i="31"/>
  <c r="E167" i="31"/>
  <c r="E192" i="31"/>
  <c r="E188" i="31"/>
  <c r="E159" i="31"/>
  <c r="E148" i="31"/>
  <c r="E134" i="31"/>
  <c r="E149" i="31"/>
  <c r="E224" i="31"/>
  <c r="E198" i="31"/>
  <c r="E222" i="31"/>
  <c r="E172" i="31"/>
  <c r="E182" i="31"/>
  <c r="E161" i="31"/>
  <c r="E191" i="31"/>
  <c r="E150" i="31"/>
  <c r="E215" i="31"/>
  <c r="E202" i="31"/>
  <c r="E227" i="31"/>
  <c r="E199" i="31"/>
  <c r="E155" i="31"/>
  <c r="E196" i="31"/>
  <c r="E146" i="31"/>
  <c r="E147" i="31"/>
  <c r="E137" i="31"/>
  <c r="E194" i="31"/>
  <c r="E203" i="31"/>
  <c r="E136" i="31"/>
  <c r="E138" i="31"/>
  <c r="E204" i="31"/>
  <c r="E189" i="31"/>
  <c r="E173" i="31"/>
  <c r="E218" i="31"/>
  <c r="E212" i="31"/>
  <c r="E153" i="31"/>
  <c r="E158" i="31"/>
  <c r="E226" i="31"/>
  <c r="E154" i="31"/>
  <c r="E184" i="31"/>
  <c r="E162" i="31"/>
  <c r="E156" i="31"/>
  <c r="E174" i="31"/>
  <c r="E223" i="31"/>
  <c r="E214" i="31"/>
  <c r="E176" i="31"/>
  <c r="E200" i="31"/>
  <c r="E141" i="31"/>
  <c r="E140" i="31"/>
  <c r="E208" i="31"/>
  <c r="E135" i="31"/>
  <c r="E221" i="31"/>
  <c r="E197" i="31"/>
  <c r="E206" i="31"/>
  <c r="E225" i="31"/>
  <c r="E171" i="31"/>
  <c r="E163" i="31"/>
  <c r="E220" i="31"/>
  <c r="E195" i="31"/>
  <c r="E183" i="31"/>
  <c r="E180" i="31"/>
  <c r="E142" i="31"/>
  <c r="E170" i="31"/>
  <c r="E175" i="31"/>
  <c r="E235" i="31" l="1"/>
  <c r="C247" i="31"/>
  <c r="G162" i="31"/>
  <c r="G218" i="31"/>
  <c r="G203" i="31"/>
  <c r="G148" i="31"/>
  <c r="G177" i="31"/>
  <c r="G166" i="31"/>
  <c r="E234" i="31"/>
  <c r="C246" i="31"/>
  <c r="G151" i="31"/>
  <c r="G142" i="31"/>
  <c r="G183" i="31"/>
  <c r="C251" i="31"/>
  <c r="E239" i="31"/>
  <c r="G154" i="31"/>
  <c r="G189" i="31"/>
  <c r="G163" i="31"/>
  <c r="G225" i="31"/>
  <c r="G206" i="31"/>
  <c r="G221" i="31"/>
  <c r="G135" i="31"/>
  <c r="G208" i="31"/>
  <c r="G140" i="31"/>
  <c r="G174" i="31"/>
  <c r="G153" i="31"/>
  <c r="G138" i="31"/>
  <c r="G147" i="31"/>
  <c r="G155" i="31"/>
  <c r="G161" i="31"/>
  <c r="G149" i="31"/>
  <c r="G167" i="31"/>
  <c r="G164" i="31"/>
  <c r="G185" i="31"/>
  <c r="G201" i="31"/>
  <c r="G179" i="31"/>
  <c r="G160" i="31"/>
  <c r="G207" i="31"/>
  <c r="G228" i="31"/>
  <c r="G187" i="31"/>
  <c r="G152" i="31"/>
  <c r="G170" i="31"/>
  <c r="G226" i="31"/>
  <c r="G137" i="31"/>
  <c r="G227" i="31"/>
  <c r="G215" i="31"/>
  <c r="G222" i="31"/>
  <c r="G213" i="31"/>
  <c r="G168" i="31"/>
  <c r="G180" i="31"/>
  <c r="G141" i="31"/>
  <c r="G220" i="31"/>
  <c r="G197" i="31"/>
  <c r="G202" i="31"/>
  <c r="G150" i="31"/>
  <c r="G191" i="31"/>
  <c r="G224" i="31"/>
  <c r="E230" i="31"/>
  <c r="C242" i="31"/>
  <c r="G210" i="31"/>
  <c r="G178" i="31"/>
  <c r="G190" i="31"/>
  <c r="G219" i="31"/>
  <c r="G143" i="31"/>
  <c r="C252" i="31"/>
  <c r="E240" i="31"/>
  <c r="C244" i="31"/>
  <c r="E232" i="31"/>
  <c r="G211" i="31"/>
  <c r="G209" i="31"/>
  <c r="C250" i="31"/>
  <c r="E238" i="31"/>
  <c r="G216" i="31"/>
  <c r="C245" i="31"/>
  <c r="E233" i="31"/>
  <c r="G176" i="31"/>
  <c r="E237" i="31"/>
  <c r="C249" i="31"/>
  <c r="G192" i="31"/>
  <c r="G171" i="31"/>
  <c r="G175" i="31"/>
  <c r="C243" i="31"/>
  <c r="E231" i="31"/>
  <c r="G195" i="31"/>
  <c r="G200" i="31"/>
  <c r="G214" i="31"/>
  <c r="G223" i="31"/>
  <c r="E236" i="31"/>
  <c r="C248" i="31"/>
  <c r="G156" i="31"/>
  <c r="G184" i="31"/>
  <c r="G158" i="31"/>
  <c r="G212" i="31"/>
  <c r="G173" i="31"/>
  <c r="G204" i="31"/>
  <c r="G136" i="31"/>
  <c r="G194" i="31"/>
  <c r="G146" i="31"/>
  <c r="G196" i="31"/>
  <c r="G199" i="31"/>
  <c r="G182" i="31"/>
  <c r="G172" i="31"/>
  <c r="G198" i="31"/>
  <c r="G134" i="31"/>
  <c r="G159" i="31"/>
  <c r="G188" i="31"/>
  <c r="G165" i="31"/>
  <c r="G139" i="31"/>
  <c r="G144" i="31"/>
  <c r="G186" i="31"/>
  <c r="E169" i="31" l="1"/>
  <c r="M29" i="31"/>
  <c r="E229" i="31"/>
  <c r="M34" i="31"/>
  <c r="C241" i="31"/>
  <c r="C260" i="31"/>
  <c r="E260" i="31" s="1"/>
  <c r="E248" i="31"/>
  <c r="E249" i="31"/>
  <c r="C261" i="31"/>
  <c r="E261" i="31" s="1"/>
  <c r="E244" i="31"/>
  <c r="C256" i="31"/>
  <c r="E256" i="31" s="1"/>
  <c r="G239" i="31"/>
  <c r="C258" i="31"/>
  <c r="E258" i="31" s="1"/>
  <c r="E246" i="31"/>
  <c r="E133" i="31"/>
  <c r="M26" i="31"/>
  <c r="G236" i="31"/>
  <c r="G237" i="31"/>
  <c r="G233" i="31"/>
  <c r="G238" i="31"/>
  <c r="G240" i="31"/>
  <c r="C254" i="31"/>
  <c r="E254" i="31" s="1"/>
  <c r="E242" i="31"/>
  <c r="E251" i="31"/>
  <c r="C263" i="31"/>
  <c r="E263" i="31" s="1"/>
  <c r="G234" i="31"/>
  <c r="E205" i="31"/>
  <c r="M32" i="31"/>
  <c r="E157" i="31"/>
  <c r="M28" i="31"/>
  <c r="E193" i="31"/>
  <c r="M31" i="31"/>
  <c r="E181" i="31"/>
  <c r="M30" i="31"/>
  <c r="G231" i="31"/>
  <c r="E245" i="31"/>
  <c r="C257" i="31"/>
  <c r="E257" i="31" s="1"/>
  <c r="E250" i="31"/>
  <c r="C262" i="31"/>
  <c r="E262" i="31" s="1"/>
  <c r="E252" i="31"/>
  <c r="C264" i="31"/>
  <c r="E264" i="31" s="1"/>
  <c r="G230" i="31"/>
  <c r="E247" i="31"/>
  <c r="C259" i="31"/>
  <c r="E259" i="31" s="1"/>
  <c r="M33" i="31"/>
  <c r="E217" i="31"/>
  <c r="E243" i="31"/>
  <c r="C255" i="31"/>
  <c r="E255" i="31" s="1"/>
  <c r="G232" i="31"/>
  <c r="G235" i="31"/>
  <c r="Q33" i="31" l="1"/>
  <c r="P33" i="31"/>
  <c r="G262" i="31"/>
  <c r="P30" i="31"/>
  <c r="Q30" i="31"/>
  <c r="Q28" i="31"/>
  <c r="P28" i="31"/>
  <c r="G251" i="31"/>
  <c r="Q34" i="31"/>
  <c r="P34" i="31"/>
  <c r="G243" i="31"/>
  <c r="E145" i="31"/>
  <c r="M27" i="31"/>
  <c r="G259" i="31"/>
  <c r="G250" i="31"/>
  <c r="G181" i="31"/>
  <c r="G157" i="31"/>
  <c r="Q26" i="31"/>
  <c r="P26" i="31"/>
  <c r="G261" i="31"/>
  <c r="G229" i="31"/>
  <c r="G247" i="31"/>
  <c r="G264" i="31"/>
  <c r="G257" i="31"/>
  <c r="Q31" i="31"/>
  <c r="P31" i="31"/>
  <c r="Q32" i="31"/>
  <c r="P32" i="31"/>
  <c r="G242" i="31"/>
  <c r="G133" i="31"/>
  <c r="G246" i="31"/>
  <c r="G256" i="31"/>
  <c r="G249" i="31"/>
  <c r="G248" i="31"/>
  <c r="P29" i="31"/>
  <c r="Q29" i="31"/>
  <c r="G255" i="31"/>
  <c r="G217" i="31"/>
  <c r="G252" i="31"/>
  <c r="G245" i="31"/>
  <c r="G193" i="31"/>
  <c r="G205" i="31"/>
  <c r="G263" i="31"/>
  <c r="G254" i="31"/>
  <c r="G258" i="31"/>
  <c r="G244" i="31"/>
  <c r="G260" i="31"/>
  <c r="C253" i="31"/>
  <c r="M35" i="31"/>
  <c r="E241" i="31"/>
  <c r="G169" i="31"/>
  <c r="G241" i="31" l="1"/>
  <c r="G145" i="31"/>
  <c r="Q35" i="31"/>
  <c r="P35" i="31"/>
  <c r="E253" i="31"/>
  <c r="M36" i="31"/>
  <c r="P27" i="31"/>
  <c r="Q27" i="31"/>
  <c r="G253" i="31" l="1"/>
  <c r="Q36" i="31"/>
  <c r="P36" i="31"/>
  <c r="J19" i="63" l="1"/>
  <c r="J22" i="63"/>
  <c r="J20" i="63"/>
  <c r="J21" i="63"/>
  <c r="J18" i="63"/>
  <c r="J25" i="63" l="1"/>
  <c r="J17" i="63" l="1"/>
  <c r="J13" i="63"/>
  <c r="J10" i="63"/>
  <c r="J8" i="63"/>
  <c r="J15" i="63"/>
  <c r="J16" i="63"/>
  <c r="J12" i="63"/>
  <c r="J11" i="63"/>
  <c r="J9" i="63"/>
  <c r="J14" i="63"/>
  <c r="K69" i="31" l="1"/>
  <c r="D69" i="31"/>
  <c r="K123" i="31"/>
  <c r="D123" i="31"/>
  <c r="D18" i="31"/>
  <c r="K18" i="31"/>
  <c r="D51" i="31"/>
  <c r="K51" i="31"/>
  <c r="D76" i="31"/>
  <c r="K76" i="31"/>
  <c r="D106" i="31"/>
  <c r="K106" i="31"/>
  <c r="K34" i="31"/>
  <c r="D34" i="31"/>
  <c r="D57" i="31"/>
  <c r="K57" i="31"/>
  <c r="D86" i="31"/>
  <c r="K86" i="31"/>
  <c r="D19" i="31"/>
  <c r="K19" i="31"/>
  <c r="D31" i="31"/>
  <c r="K31" i="31"/>
  <c r="K67" i="31"/>
  <c r="D67" i="31"/>
  <c r="K98" i="31"/>
  <c r="D98" i="31"/>
  <c r="K126" i="31"/>
  <c r="D126" i="31"/>
  <c r="K131" i="31"/>
  <c r="D131" i="31"/>
  <c r="D40" i="31"/>
  <c r="K40" i="31"/>
  <c r="K72" i="31"/>
  <c r="D72" i="31"/>
  <c r="K129" i="31"/>
  <c r="D129" i="31"/>
  <c r="D38" i="31"/>
  <c r="K38" i="31"/>
  <c r="D80" i="31"/>
  <c r="K80" i="31"/>
  <c r="D20" i="31"/>
  <c r="K20" i="31"/>
  <c r="K90" i="31"/>
  <c r="D90" i="31"/>
  <c r="D23" i="31"/>
  <c r="K23" i="31"/>
  <c r="D52" i="31"/>
  <c r="K52" i="31"/>
  <c r="D130" i="31"/>
  <c r="K130" i="31"/>
  <c r="D105" i="31"/>
  <c r="K105" i="31"/>
  <c r="D14" i="31"/>
  <c r="K14" i="31"/>
  <c r="D28" i="31"/>
  <c r="K28" i="31"/>
  <c r="D44" i="31"/>
  <c r="K44" i="31"/>
  <c r="D62" i="31"/>
  <c r="K62" i="31"/>
  <c r="D73" i="31"/>
  <c r="O21" i="31"/>
  <c r="K73" i="31"/>
  <c r="D88" i="31"/>
  <c r="K88" i="31"/>
  <c r="D108" i="31"/>
  <c r="K108" i="31"/>
  <c r="D43" i="31"/>
  <c r="K43" i="31"/>
  <c r="D58" i="31"/>
  <c r="K58" i="31"/>
  <c r="D71" i="31"/>
  <c r="K71" i="31"/>
  <c r="D87" i="31"/>
  <c r="K87" i="31"/>
  <c r="K100" i="31"/>
  <c r="D100" i="31"/>
  <c r="D27" i="31"/>
  <c r="K27" i="31"/>
  <c r="K39" i="31"/>
  <c r="D39" i="31"/>
  <c r="O19" i="31"/>
  <c r="K49" i="31"/>
  <c r="D49" i="31"/>
  <c r="K65" i="31"/>
  <c r="D65" i="31"/>
  <c r="D83" i="31"/>
  <c r="K83" i="31"/>
  <c r="D94" i="31"/>
  <c r="K94" i="31"/>
  <c r="D104" i="31"/>
  <c r="K104" i="31"/>
  <c r="O17" i="31"/>
  <c r="D25" i="31"/>
  <c r="D12" i="31"/>
  <c r="G12" i="31" s="1"/>
  <c r="K25" i="31"/>
  <c r="D36" i="31"/>
  <c r="K36" i="31"/>
  <c r="K56" i="31"/>
  <c r="D56" i="31"/>
  <c r="K75" i="31"/>
  <c r="D75" i="31"/>
  <c r="K89" i="31"/>
  <c r="D89" i="31"/>
  <c r="K117" i="31"/>
  <c r="D117" i="31"/>
  <c r="K114" i="31"/>
  <c r="D114" i="31"/>
  <c r="D132" i="31"/>
  <c r="K132" i="31"/>
  <c r="K107" i="31"/>
  <c r="D107" i="31"/>
  <c r="D122" i="31"/>
  <c r="K122" i="31"/>
  <c r="K22" i="31"/>
  <c r="D22" i="31"/>
  <c r="D54" i="31"/>
  <c r="K54" i="31"/>
  <c r="K81" i="31"/>
  <c r="D81" i="31"/>
  <c r="D99" i="31"/>
  <c r="K99" i="31"/>
  <c r="D32" i="31"/>
  <c r="K32" i="31"/>
  <c r="K61" i="31"/>
  <c r="O20" i="31"/>
  <c r="D61" i="31"/>
  <c r="D95" i="31"/>
  <c r="K95" i="31"/>
  <c r="K16" i="31"/>
  <c r="D16" i="31"/>
  <c r="D46" i="31"/>
  <c r="K46" i="31"/>
  <c r="D74" i="31"/>
  <c r="K74" i="31"/>
  <c r="O23" i="31"/>
  <c r="D97" i="31"/>
  <c r="K97" i="31"/>
  <c r="K120" i="31"/>
  <c r="D120" i="31"/>
  <c r="D45" i="31"/>
  <c r="K45" i="31"/>
  <c r="D82" i="31"/>
  <c r="K82" i="31"/>
  <c r="D124" i="31"/>
  <c r="K124" i="31"/>
  <c r="K116" i="31"/>
  <c r="D116" i="31"/>
  <c r="K24" i="31"/>
  <c r="D24" i="31"/>
  <c r="D59" i="31"/>
  <c r="K59" i="31"/>
  <c r="K102" i="31"/>
  <c r="D102" i="31"/>
  <c r="D21" i="31"/>
  <c r="K21" i="31"/>
  <c r="D55" i="31"/>
  <c r="K55" i="31"/>
  <c r="K64" i="31"/>
  <c r="D64" i="31"/>
  <c r="K113" i="31"/>
  <c r="D113" i="31"/>
  <c r="K37" i="31"/>
  <c r="D37" i="31"/>
  <c r="O18" i="31"/>
  <c r="K48" i="31"/>
  <c r="D48" i="31"/>
  <c r="K79" i="31"/>
  <c r="D79" i="31"/>
  <c r="K101" i="31"/>
  <c r="D101" i="31"/>
  <c r="D125" i="31"/>
  <c r="K125" i="31"/>
  <c r="D35" i="31"/>
  <c r="K35" i="31"/>
  <c r="D70" i="31"/>
  <c r="K70" i="31"/>
  <c r="D84" i="31"/>
  <c r="K84" i="31"/>
  <c r="D109" i="31"/>
  <c r="K109" i="31"/>
  <c r="O24" i="31"/>
  <c r="D111" i="31"/>
  <c r="K111" i="31"/>
  <c r="K119" i="31"/>
  <c r="D119" i="31"/>
  <c r="D17" i="31"/>
  <c r="K17" i="31"/>
  <c r="K33" i="31"/>
  <c r="D33" i="31"/>
  <c r="D50" i="31"/>
  <c r="K50" i="31"/>
  <c r="K66" i="31"/>
  <c r="D66" i="31"/>
  <c r="K77" i="31"/>
  <c r="D77" i="31"/>
  <c r="K93" i="31"/>
  <c r="D93" i="31"/>
  <c r="D115" i="31"/>
  <c r="K115" i="31"/>
  <c r="O16" i="31"/>
  <c r="K13" i="31"/>
  <c r="D13" i="31"/>
  <c r="K29" i="31"/>
  <c r="D29" i="31"/>
  <c r="D47" i="31"/>
  <c r="K47" i="31"/>
  <c r="K60" i="31"/>
  <c r="D60" i="31"/>
  <c r="K91" i="31"/>
  <c r="D91" i="31"/>
  <c r="D103" i="31"/>
  <c r="K103" i="31"/>
  <c r="K128" i="31"/>
  <c r="D128" i="31"/>
  <c r="K30" i="31"/>
  <c r="D30" i="31"/>
  <c r="K42" i="31"/>
  <c r="D42" i="31"/>
  <c r="K53" i="31"/>
  <c r="D53" i="31"/>
  <c r="D68" i="31"/>
  <c r="K68" i="31"/>
  <c r="K85" i="31"/>
  <c r="D85" i="31"/>
  <c r="O22" i="31"/>
  <c r="D96" i="31"/>
  <c r="K96" i="31"/>
  <c r="K110" i="31"/>
  <c r="D110" i="31"/>
  <c r="D15" i="31"/>
  <c r="K15" i="31"/>
  <c r="K26" i="31"/>
  <c r="D26" i="31"/>
  <c r="K41" i="31"/>
  <c r="D41" i="31"/>
  <c r="D63" i="31"/>
  <c r="K63" i="31"/>
  <c r="K78" i="31"/>
  <c r="D78" i="31"/>
  <c r="D92" i="31"/>
  <c r="K92" i="31"/>
  <c r="K121" i="31"/>
  <c r="O25" i="31"/>
  <c r="D121" i="31"/>
  <c r="D118" i="31"/>
  <c r="K118" i="31"/>
  <c r="D112" i="31"/>
  <c r="K112" i="31"/>
  <c r="K127" i="31"/>
  <c r="D127" i="31"/>
  <c r="N25" i="31" l="1"/>
  <c r="R25" i="31" s="1"/>
  <c r="N16" i="31"/>
  <c r="R16" i="31" s="1"/>
  <c r="K5" i="31"/>
  <c r="N22" i="31"/>
  <c r="R22" i="31" s="1"/>
  <c r="N23" i="31"/>
  <c r="R23" i="31" s="1"/>
  <c r="N20" i="31"/>
  <c r="R20" i="31" s="1"/>
  <c r="N21" i="31"/>
  <c r="R21" i="31" s="1"/>
  <c r="N24" i="31"/>
  <c r="R24" i="31" s="1"/>
  <c r="N18" i="31"/>
  <c r="R18" i="31" s="1"/>
  <c r="N17" i="31"/>
  <c r="R17" i="31" s="1"/>
  <c r="N19" i="31"/>
  <c r="R19" i="31" s="1"/>
  <c r="O40" i="31" l="1"/>
  <c r="A10" i="31"/>
  <c r="A51" i="25" s="1"/>
  <c r="K3" i="25"/>
  <c r="O41" i="31"/>
  <c r="K6" i="31"/>
  <c r="K4" i="25" s="1"/>
  <c r="M7" i="31"/>
  <c r="A9" i="31"/>
  <c r="A37" i="25" s="1"/>
  <c r="P5" i="31"/>
  <c r="A7" i="31"/>
  <c r="A41" i="25" s="1"/>
  <c r="B5" i="31" l="1"/>
  <c r="G9" i="25"/>
  <c r="B5" i="25"/>
  <c r="Q5" i="31"/>
  <c r="P6" i="31"/>
  <c r="Q6" i="31" s="1"/>
  <c r="R6" i="31" s="1"/>
  <c r="E27" i="25"/>
  <c r="E25" i="25"/>
  <c r="G27" i="25"/>
  <c r="G23" i="25"/>
  <c r="E29" i="25"/>
  <c r="G31" i="25"/>
  <c r="G33" i="25"/>
  <c r="G32" i="25"/>
  <c r="G24" i="25"/>
  <c r="G28" i="25"/>
  <c r="G26" i="25"/>
  <c r="E31" i="25"/>
  <c r="Q40" i="31"/>
  <c r="E28" i="25"/>
  <c r="G29" i="25"/>
  <c r="E23" i="25"/>
  <c r="E33" i="25"/>
  <c r="E32" i="25"/>
  <c r="E24" i="25"/>
  <c r="E26" i="25"/>
  <c r="G30" i="25"/>
  <c r="E30" i="25"/>
  <c r="S40" i="31"/>
  <c r="G25" i="25"/>
  <c r="C21" i="63" l="1"/>
  <c r="I21" i="63" s="1"/>
  <c r="C18" i="63"/>
  <c r="I18" i="63" s="1"/>
  <c r="C19" i="63"/>
  <c r="I19" i="63" s="1"/>
  <c r="C20" i="63"/>
  <c r="I20" i="63" s="1"/>
  <c r="C22" i="63"/>
  <c r="I22" i="63" s="1"/>
  <c r="B5" i="28"/>
  <c r="B4" i="31"/>
  <c r="R5" i="31"/>
  <c r="F9" i="31"/>
  <c r="Q41" i="31"/>
  <c r="D7" i="31"/>
  <c r="S41" i="31"/>
  <c r="D9" i="31"/>
  <c r="F7" i="31"/>
  <c r="C39" i="25" l="1"/>
  <c r="C43" i="25"/>
  <c r="F10" i="31"/>
  <c r="D10" i="31"/>
  <c r="C53" i="25" l="1"/>
  <c r="E94" i="31" l="1"/>
  <c r="G94" i="31" s="1"/>
  <c r="E118" i="31"/>
  <c r="G118" i="31" s="1"/>
  <c r="E80" i="31"/>
  <c r="G80" i="31" s="1"/>
  <c r="E68" i="31"/>
  <c r="G68" i="31" s="1"/>
  <c r="E108" i="31"/>
  <c r="G108" i="31" s="1"/>
  <c r="E101" i="31"/>
  <c r="G101" i="31" s="1"/>
  <c r="E32" i="31"/>
  <c r="G32" i="31" s="1"/>
  <c r="E71" i="31"/>
  <c r="G71" i="31" s="1"/>
  <c r="E92" i="31"/>
  <c r="G92" i="31" s="1"/>
  <c r="E23" i="31"/>
  <c r="G23" i="31" s="1"/>
  <c r="E122" i="31"/>
  <c r="G122" i="31" s="1"/>
  <c r="E89" i="31"/>
  <c r="G89" i="31" s="1"/>
  <c r="E55" i="31"/>
  <c r="G55" i="31" s="1"/>
  <c r="E115" i="31"/>
  <c r="G115" i="31" s="1"/>
  <c r="E56" i="31"/>
  <c r="G56" i="31" s="1"/>
  <c r="E17" i="31"/>
  <c r="G17" i="31" s="1"/>
  <c r="E51" i="31"/>
  <c r="G51" i="31" s="1"/>
  <c r="E77" i="31"/>
  <c r="G77" i="31" s="1"/>
  <c r="E99" i="31"/>
  <c r="G99" i="31" s="1"/>
  <c r="E53" i="31"/>
  <c r="G53" i="31" s="1"/>
  <c r="E128" i="31"/>
  <c r="G128" i="31" s="1"/>
  <c r="E59" i="31"/>
  <c r="G59" i="31" s="1"/>
  <c r="E105" i="31"/>
  <c r="G105" i="31" s="1"/>
  <c r="E79" i="31"/>
  <c r="G79" i="31" s="1"/>
  <c r="E31" i="31"/>
  <c r="G31" i="31" s="1"/>
  <c r="E36" i="31"/>
  <c r="G36" i="31" s="1"/>
  <c r="E91" i="31"/>
  <c r="G91" i="31" s="1"/>
  <c r="E124" i="31"/>
  <c r="G124" i="31" s="1"/>
  <c r="E14" i="31"/>
  <c r="G14" i="31" s="1"/>
  <c r="E123" i="31"/>
  <c r="G123" i="31" s="1"/>
  <c r="E52" i="31"/>
  <c r="G52" i="31" s="1"/>
  <c r="E76" i="31"/>
  <c r="G76" i="31" s="1"/>
  <c r="E117" i="31"/>
  <c r="G117" i="31" s="1"/>
  <c r="E72" i="31"/>
  <c r="G72" i="31" s="1"/>
  <c r="E70" i="31"/>
  <c r="G70" i="31" s="1"/>
  <c r="E93" i="31"/>
  <c r="G93" i="31" s="1"/>
  <c r="E26" i="31"/>
  <c r="G26" i="31" s="1"/>
  <c r="E127" i="31"/>
  <c r="G127" i="31" s="1"/>
  <c r="E86" i="31"/>
  <c r="G86" i="31" s="1"/>
  <c r="E87" i="31"/>
  <c r="G87" i="31" s="1"/>
  <c r="E30" i="31"/>
  <c r="G30" i="31" s="1"/>
  <c r="E39" i="31"/>
  <c r="G39" i="31" s="1"/>
  <c r="E44" i="31"/>
  <c r="G44" i="31" s="1"/>
  <c r="E100" i="31"/>
  <c r="G100" i="31" s="1"/>
  <c r="E132" i="31"/>
  <c r="G132" i="31" s="1"/>
  <c r="E29" i="31"/>
  <c r="G29" i="31" s="1"/>
  <c r="E120" i="31"/>
  <c r="G120" i="31" s="1"/>
  <c r="E22" i="31"/>
  <c r="G22" i="31" s="1"/>
  <c r="E112" i="31"/>
  <c r="G112" i="31" s="1"/>
  <c r="E82" i="31"/>
  <c r="G82" i="31" s="1"/>
  <c r="E78" i="31"/>
  <c r="G78" i="31" s="1"/>
  <c r="E33" i="31"/>
  <c r="G33" i="31" s="1"/>
  <c r="E28" i="31"/>
  <c r="G28" i="31" s="1"/>
  <c r="E125" i="31"/>
  <c r="G125" i="31" s="1"/>
  <c r="E107" i="31"/>
  <c r="G107" i="31" s="1"/>
  <c r="E54" i="31"/>
  <c r="G54" i="31" s="1"/>
  <c r="E103" i="31"/>
  <c r="G103" i="31" s="1"/>
  <c r="E46" i="31"/>
  <c r="G46" i="31" s="1"/>
  <c r="E64" i="31"/>
  <c r="G64" i="31" s="1"/>
  <c r="E19" i="31"/>
  <c r="G19" i="31" s="1"/>
  <c r="E21" i="31"/>
  <c r="G21" i="31" s="1"/>
  <c r="E88" i="31"/>
  <c r="G88" i="31" s="1"/>
  <c r="E58" i="31"/>
  <c r="G58" i="31" s="1"/>
  <c r="E110" i="31"/>
  <c r="G110" i="31" s="1"/>
  <c r="E106" i="31"/>
  <c r="G106" i="31" s="1"/>
  <c r="E47" i="31"/>
  <c r="G47" i="31" s="1"/>
  <c r="E42" i="31"/>
  <c r="G42" i="31" s="1"/>
  <c r="E24" i="31"/>
  <c r="G24" i="31" s="1"/>
  <c r="E102" i="31"/>
  <c r="G102" i="31" s="1"/>
  <c r="E111" i="31"/>
  <c r="G111" i="31" s="1"/>
  <c r="E84" i="31"/>
  <c r="G84" i="31" s="1"/>
  <c r="E45" i="31"/>
  <c r="G45" i="31" s="1"/>
  <c r="E50" i="31"/>
  <c r="G50" i="31" s="1"/>
  <c r="E104" i="31"/>
  <c r="G104" i="31" s="1"/>
  <c r="E113" i="31"/>
  <c r="G113" i="31" s="1"/>
  <c r="E66" i="31"/>
  <c r="G66" i="31" s="1"/>
  <c r="E38" i="31"/>
  <c r="G38" i="31" s="1"/>
  <c r="E75" i="31"/>
  <c r="G75" i="31" s="1"/>
  <c r="E116" i="31"/>
  <c r="G116" i="31" s="1"/>
  <c r="E20" i="31"/>
  <c r="G20" i="31" s="1"/>
  <c r="E15" i="31"/>
  <c r="G15" i="31" s="1"/>
  <c r="E57" i="31"/>
  <c r="G57" i="31" s="1"/>
  <c r="E96" i="31"/>
  <c r="G96" i="31" s="1"/>
  <c r="E131" i="31"/>
  <c r="G131" i="31" s="1"/>
  <c r="E67" i="31"/>
  <c r="G67" i="31" s="1"/>
  <c r="E41" i="31"/>
  <c r="G41" i="31" s="1"/>
  <c r="E74" i="31"/>
  <c r="G74" i="31" s="1"/>
  <c r="E95" i="31"/>
  <c r="G95" i="31" s="1"/>
  <c r="E98" i="31"/>
  <c r="G98" i="31" s="1"/>
  <c r="E114" i="31"/>
  <c r="G114" i="31" s="1"/>
  <c r="E65" i="31"/>
  <c r="G65" i="31" s="1"/>
  <c r="E35" i="31"/>
  <c r="G35" i="31" s="1"/>
  <c r="E119" i="31"/>
  <c r="G119" i="31" s="1"/>
  <c r="E27" i="31"/>
  <c r="G27" i="31" s="1"/>
  <c r="E43" i="31"/>
  <c r="G43" i="31" s="1"/>
  <c r="E130" i="31"/>
  <c r="G130" i="31" s="1"/>
  <c r="E81" i="31"/>
  <c r="G81" i="31" s="1"/>
  <c r="E34" i="31"/>
  <c r="G34" i="31" s="1"/>
  <c r="E63" i="31"/>
  <c r="G63" i="31" s="1"/>
  <c r="E18" i="31"/>
  <c r="G18" i="31" s="1"/>
  <c r="E16" i="31"/>
  <c r="G16" i="31" s="1"/>
  <c r="E69" i="31"/>
  <c r="G69" i="31" s="1"/>
  <c r="E83" i="31"/>
  <c r="G83" i="31" s="1"/>
  <c r="E90" i="31"/>
  <c r="G90" i="31" s="1"/>
  <c r="E60" i="31"/>
  <c r="G60" i="31" s="1"/>
  <c r="E126" i="31"/>
  <c r="G126" i="31" s="1"/>
  <c r="E129" i="31"/>
  <c r="G129" i="31" s="1"/>
  <c r="E48" i="31"/>
  <c r="G48" i="31" s="1"/>
  <c r="E62" i="31"/>
  <c r="G62" i="31" s="1"/>
  <c r="E40" i="31"/>
  <c r="G40" i="31" s="1"/>
  <c r="E14" i="25"/>
  <c r="E20" i="25"/>
  <c r="E16" i="25"/>
  <c r="C10" i="31"/>
  <c r="E15" i="25"/>
  <c r="E21" i="25"/>
  <c r="E13" i="25"/>
  <c r="P40" i="31"/>
  <c r="E22" i="25"/>
  <c r="P41" i="31"/>
  <c r="E19" i="25"/>
  <c r="E17" i="25"/>
  <c r="C7" i="31"/>
  <c r="E18" i="25"/>
  <c r="C9" i="31"/>
  <c r="E40" i="25" l="1"/>
  <c r="G9" i="31"/>
  <c r="G40" i="25" s="1"/>
  <c r="E44" i="25"/>
  <c r="G7" i="31"/>
  <c r="G44" i="25" s="1"/>
  <c r="E54" i="25"/>
  <c r="G10" i="31"/>
  <c r="G54" i="25" s="1"/>
  <c r="M21" i="31"/>
  <c r="E73" i="31"/>
  <c r="M23" i="31"/>
  <c r="E97" i="31"/>
  <c r="M25" i="31"/>
  <c r="E121" i="31"/>
  <c r="E37" i="31"/>
  <c r="M18" i="31"/>
  <c r="M20" i="31"/>
  <c r="E61" i="31"/>
  <c r="E85" i="31"/>
  <c r="M22" i="31"/>
  <c r="E49" i="31"/>
  <c r="M19" i="31"/>
  <c r="M16" i="31"/>
  <c r="E13" i="31"/>
  <c r="E109" i="31"/>
  <c r="M24" i="31"/>
  <c r="M17" i="31"/>
  <c r="E25" i="31"/>
  <c r="E7" i="31"/>
  <c r="G20" i="25"/>
  <c r="E9" i="31"/>
  <c r="G16" i="25"/>
  <c r="G21" i="25"/>
  <c r="R41" i="31"/>
  <c r="G19" i="25"/>
  <c r="G14" i="25"/>
  <c r="G18" i="25"/>
  <c r="G22" i="25"/>
  <c r="G13" i="25"/>
  <c r="G17" i="25"/>
  <c r="E10" i="31"/>
  <c r="G15" i="25"/>
  <c r="R40" i="31"/>
  <c r="C17" i="63" l="1"/>
  <c r="I17" i="63" s="1"/>
  <c r="C13" i="63"/>
  <c r="I13" i="63" s="1"/>
  <c r="C9" i="63"/>
  <c r="I9" i="63" s="1"/>
  <c r="C8" i="63"/>
  <c r="I8" i="63" s="1"/>
  <c r="I65" i="25"/>
  <c r="C15" i="63"/>
  <c r="I15" i="63" s="1"/>
  <c r="C12" i="63"/>
  <c r="I12" i="63" s="1"/>
  <c r="C16" i="63"/>
  <c r="I16" i="63" s="1"/>
  <c r="C11" i="63"/>
  <c r="I11" i="63" s="1"/>
  <c r="T41" i="31"/>
  <c r="C14" i="63"/>
  <c r="I14" i="63" s="1"/>
  <c r="C10" i="63"/>
  <c r="I10" i="63" s="1"/>
  <c r="T40" i="31"/>
  <c r="Q19" i="31"/>
  <c r="P19" i="31"/>
  <c r="G121" i="31"/>
  <c r="G73" i="31"/>
  <c r="P20" i="31"/>
  <c r="Q20" i="31"/>
  <c r="P21" i="31"/>
  <c r="Q21" i="31"/>
  <c r="G25" i="31"/>
  <c r="G13" i="31"/>
  <c r="P22" i="31"/>
  <c r="Q22" i="31"/>
  <c r="Q18" i="31"/>
  <c r="P18" i="31"/>
  <c r="G97" i="31"/>
  <c r="I66" i="25"/>
  <c r="C25" i="63"/>
  <c r="I25" i="63" s="1"/>
  <c r="Q24" i="31"/>
  <c r="P24" i="31"/>
  <c r="G61" i="31"/>
  <c r="G109" i="31"/>
  <c r="G49" i="31"/>
  <c r="P25" i="31"/>
  <c r="Q25" i="31"/>
  <c r="Q17" i="31"/>
  <c r="P17" i="31"/>
  <c r="Q16" i="31"/>
  <c r="P16" i="31"/>
  <c r="G85" i="31"/>
  <c r="G37" i="31"/>
  <c r="Q23" i="31"/>
  <c r="P23" i="31"/>
  <c r="E15" i="63" l="1"/>
  <c r="K15" i="63" s="1"/>
  <c r="E9" i="63"/>
  <c r="K9" i="63" s="1"/>
  <c r="E11" i="63"/>
  <c r="K11" i="63" s="1"/>
  <c r="E12" i="63"/>
  <c r="K12" i="63" s="1"/>
  <c r="E17" i="63"/>
  <c r="K17" i="63" s="1"/>
  <c r="E10" i="63"/>
  <c r="K10" i="63" s="1"/>
  <c r="E8" i="63"/>
  <c r="K8" i="63" s="1"/>
  <c r="E16" i="63"/>
  <c r="K16" i="63" s="1"/>
  <c r="E14" i="63"/>
  <c r="K14" i="63" s="1"/>
  <c r="E13" i="63"/>
  <c r="K13" i="63" s="1"/>
  <c r="E20" i="63" l="1"/>
  <c r="K20" i="63" s="1"/>
  <c r="E22" i="63"/>
  <c r="K22" i="63" s="1"/>
  <c r="E18" i="63"/>
  <c r="K18" i="63" s="1"/>
  <c r="E21" i="63"/>
  <c r="K21" i="63" s="1"/>
  <c r="E19" i="63" l="1"/>
  <c r="K19" i="63" s="1"/>
  <c r="E25" i="63"/>
  <c r="K25" i="63" s="1"/>
</calcChain>
</file>

<file path=xl/sharedStrings.xml><?xml version="1.0" encoding="utf-8"?>
<sst xmlns="http://schemas.openxmlformats.org/spreadsheetml/2006/main" count="1234" uniqueCount="183">
  <si>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</si>
  <si>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</si>
  <si>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</si>
  <si>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</si>
  <si>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</si>
  <si>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</si>
  <si>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</si>
  <si>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</si>
  <si>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</si>
  <si>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</si>
  <si>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</si>
  <si>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</si>
  <si>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</si>
  <si>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</si>
  <si>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</si>
  <si>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</si>
  <si>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</si>
  <si>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</si>
  <si>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</si>
  <si>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</si>
  <si>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</si>
  <si>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</si>
  <si>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</si>
  <si>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</si>
  <si>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</si>
  <si>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</si>
  <si>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</si>
  <si>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</si>
  <si>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</si>
  <si>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</si>
  <si>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</si>
  <si>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</si>
  <si>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</si>
  <si>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</si>
  <si>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</si>
  <si>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</si>
  <si>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</si>
  <si>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</si>
  <si>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</si>
  <si>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</si>
  <si>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</si>
  <si>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</si>
  <si>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</si>
  <si>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</si>
  <si>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</si>
  <si>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</si>
  <si>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</si>
  <si>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</si>
  <si>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</si>
  <si>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</si>
  <si>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</si>
  <si>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</si>
  <si>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</si>
  <si>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</si>
  <si>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</si>
  <si>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</si>
  <si>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</si>
  <si>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</si>
  <si>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</si>
  <si>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</si>
  <si>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</si>
  <si>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</si>
  <si>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</si>
  <si>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</si>
  <si>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</si>
  <si>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</si>
  <si>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</si>
  <si>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Discount Rate - 2017 IRP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</si>
  <si>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</si>
  <si>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</si>
  <si>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</si>
  <si>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</si>
  <si>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</si>
  <si>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</si>
  <si>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</si>
  <si>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</si>
  <si>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</si>
  <si>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</si>
  <si>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</si>
  <si>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</si>
  <si>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</si>
  <si>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</si>
  <si>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</si>
  <si>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</si>
  <si>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</si>
  <si>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</si>
  <si>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</si>
  <si>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</si>
  <si>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</si>
  <si>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</si>
  <si>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</si>
  <si>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</si>
  <si>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</si>
  <si>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</si>
  <si>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</si>
  <si>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</si>
  <si>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</si>
  <si>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</si>
  <si>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</si>
  <si>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</si>
  <si>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</si>
  <si>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</si>
  <si>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</si>
  <si>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</si>
  <si>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</si>
  <si>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</si>
  <si>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</si>
  <si>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15 Year Starting 2018</t>
  </si>
  <si>
    <t>15 Year Starting 2019</t>
  </si>
  <si>
    <t>20 Year Starting 2019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</si>
  <si>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</si>
  <si>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</si>
  <si>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</si>
  <si>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</si>
  <si>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</si>
  <si>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</si>
  <si>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</si>
  <si>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</si>
  <si>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</si>
  <si>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</si>
  <si>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</si>
  <si>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</si>
  <si>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</si>
  <si>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</si>
  <si>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</si>
  <si>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</si>
  <si>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</si>
  <si>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</si>
  <si>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</si>
  <si>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</si>
  <si>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</si>
  <si>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</si>
  <si>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</si>
  <si>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</si>
  <si>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</si>
  <si>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</si>
  <si>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</si>
  <si>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</si>
  <si>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</si>
  <si>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</si>
  <si>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</si>
  <si>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</si>
  <si>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</si>
  <si>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</si>
  <si>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</si>
  <si>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</si>
  <si>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</si>
  <si>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</si>
  <si>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</si>
  <si>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</si>
  <si>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</si>
  <si>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</si>
  <si>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</si>
  <si>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</si>
  <si>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</si>
  <si>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</si>
  <si>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</si>
  <si>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</si>
  <si>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</si>
  <si>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</si>
  <si>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</si>
  <si>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</si>
  <si>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</si>
  <si>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</si>
  <si>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</si>
  <si>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</si>
  <si>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</si>
  <si>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</si>
  <si>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</si>
  <si>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2018-2032</t>
  </si>
  <si>
    <t>Difference</t>
  </si>
  <si>
    <t>Filing</t>
  </si>
  <si>
    <t>31.0% CF (2)</t>
  </si>
  <si>
    <t>31.1% CF (2)</t>
  </si>
  <si>
    <t>Avoided Cost at</t>
  </si>
  <si>
    <t>Solar Tracking</t>
  </si>
  <si>
    <t>Thermal</t>
  </si>
  <si>
    <t>Avoided Cost Prices $/MWh</t>
  </si>
  <si>
    <t>Appendix B.1</t>
  </si>
  <si>
    <t>UT 2017.Q4</t>
  </si>
  <si>
    <t>Utah 2018.Q1 Sch 38</t>
  </si>
  <si>
    <t>Utah 2018.Q1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</si>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</sst>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  <numFmt numFmtId="184" formatCode="&quot;$&quot;#,##0.00_)\(\4\)"/>
  </numFmts>
  <fonts count="34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2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3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19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28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18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7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19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0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5" fillId="0" borderId="0" xfId="0" applyFont="1"/>
    <xf numFmtId="171" fontId="25" fillId="0" borderId="7" xfId="0" applyFont="1" applyBorder="1"/>
    <xf numFmtId="167" fontId="24" fillId="0" borderId="7" xfId="24" applyNumberFormat="1" applyFont="1" applyFill="1" applyBorder="1"/>
    <xf numFmtId="171" fontId="24" fillId="0" borderId="0" xfId="0" applyFont="1"/>
    <xf numFmtId="9" fontId="24" fillId="0" borderId="0" xfId="8" applyFont="1"/>
    <xf numFmtId="43" fontId="3" fillId="0" borderId="0" xfId="10" applyNumberFormat="1" applyFont="1"/>
    <xf numFmtId="171" fontId="26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7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28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4" fillId="0" borderId="0" xfId="2" applyFont="1" applyFill="1"/>
    <xf numFmtId="174" fontId="29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28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4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0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1" fillId="0" borderId="0" xfId="0" applyNumberFormat="1" applyFont="1"/>
    <xf numFmtId="171" fontId="32" fillId="0" borderId="0" xfId="25" applyFont="1" applyFill="1"/>
    <xf numFmtId="9" fontId="32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2" fillId="0" borderId="0" xfId="25" applyNumberFormat="1" applyFont="1" applyFill="1"/>
    <xf numFmtId="179" fontId="28" fillId="0" borderId="0" xfId="0" applyNumberFormat="1" applyFont="1" applyFill="1"/>
    <xf numFmtId="174" fontId="28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5" fillId="0" borderId="6" xfId="0" applyFont="1" applyBorder="1" applyAlignment="1">
      <alignment horizontal="center" wrapText="1"/>
    </xf>
    <xf numFmtId="171" fontId="24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1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8" fontId="5" fillId="0" borderId="0" xfId="11" applyNumberFormat="1" applyFont="1" applyFill="1"/>
    <xf numFmtId="8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2" fontId="5" fillId="0" borderId="0" xfId="11" applyNumberFormat="1" applyFont="1" applyFill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39" fontId="5" fillId="0" borderId="0" xfId="31" quotePrefix="1" applyNumberFormat="1" applyFont="1" applyFill="1" applyBorder="1" applyAlignment="1">
      <alignment horizontal="center"/>
    </xf>
    <xf numFmtId="8" fontId="5" fillId="0" borderId="0" xfId="11" applyNumberFormat="1"/>
    <xf numFmtId="41" fontId="5" fillId="0" borderId="0" xfId="1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174" fontId="21" fillId="0" borderId="0" xfId="8" applyNumberFormat="1" applyFont="1" applyFill="1"/>
    <xf numFmtId="184" fontId="5" fillId="0" borderId="0" xfId="11" applyNumberFormat="1" applyFont="1" applyFill="1" applyBorder="1" applyAlignment="1">
      <alignment horizontal="center"/>
    </xf>
    <xf numFmtId="41" fontId="21" fillId="0" borderId="0" xfId="11" applyFont="1" applyFill="1"/>
    <xf numFmtId="41" fontId="5" fillId="0" borderId="0" xfId="11" applyFont="1" applyFill="1" applyAlignment="1">
      <alignment horizontal="center"/>
    </xf>
    <xf numFmtId="168" fontId="33" fillId="0" borderId="0" xfId="11" applyNumberFormat="1" applyFont="1" applyFill="1" applyBorder="1" applyAlignment="1">
      <alignment horizontal="centerContinuous"/>
    </xf>
    <xf numFmtId="8" fontId="5" fillId="0" borderId="12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0" fontId="5" fillId="0" borderId="22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10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41" fontId="5" fillId="0" borderId="0" xfId="11" applyFont="1" applyFill="1" applyAlignment="1"/>
    <xf numFmtId="41" fontId="5" fillId="0" borderId="0" xfId="11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0" fontId="5" fillId="0" borderId="0" xfId="7" applyFont="1" applyFill="1" applyBorder="1" applyAlignment="1">
      <alignment horizontal="center"/>
    </xf>
    <xf numFmtId="17" fontId="5" fillId="0" borderId="0" xfId="11" applyNumberFormat="1" applyFont="1" applyFill="1" applyBorder="1" applyAlignment="1"/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41" fontId="5" fillId="0" borderId="0" xfId="11" applyFont="1" applyFill="1" applyBorder="1"/>
    <xf numFmtId="41" fontId="6" fillId="0" borderId="0" xfId="11" applyFont="1" applyFill="1" applyAlignment="1">
      <alignment horizontal="centerContinuous"/>
    </xf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4"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4%20-%20UT%202017.Q4%20-%20AC%20Study%20NON-CONF%20Thermal_NonRouti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1%20(5-31-18)\Working%20Docs\4_Appendix%20B.3%20-%20UT%202018.Q1%20-%20AC%20Study%20NON-CONF%20Sola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1%20(5-31-18)\Working%20Docs\4_Appendix%20B.2%20-%20UT%202018.Q1%20-%20AC%20Study%20NON-CONF%20Win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6%20-%20UT%202017.Q4%20-%20AC%20Study%20NON-CONF%20Solar_NonRout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5%20-%20UT%202017.Q4%20-%20AC%20Study%20NON-CONF%20Wind_NonRout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9">
          <cell r="G9">
            <v>0.85</v>
          </cell>
        </row>
        <row r="13">
          <cell r="G13">
            <v>19.377099803641613</v>
          </cell>
        </row>
        <row r="14">
          <cell r="G14">
            <v>19.0360484141789</v>
          </cell>
        </row>
        <row r="15">
          <cell r="G15">
            <v>15.307389236431815</v>
          </cell>
        </row>
        <row r="16">
          <cell r="G16">
            <v>13.313189526334478</v>
          </cell>
        </row>
        <row r="17">
          <cell r="G17">
            <v>14.654243288614994</v>
          </cell>
        </row>
        <row r="18">
          <cell r="G18">
            <v>14.278020055467543</v>
          </cell>
        </row>
        <row r="19">
          <cell r="G19">
            <v>16.559084015277705</v>
          </cell>
        </row>
        <row r="20">
          <cell r="G20">
            <v>19.813001946118224</v>
          </cell>
        </row>
        <row r="21">
          <cell r="G21">
            <v>19.318712273238468</v>
          </cell>
        </row>
        <row r="22">
          <cell r="G22">
            <v>19.651034315441112</v>
          </cell>
        </row>
        <row r="23">
          <cell r="G23">
            <v>23.889468771995524</v>
          </cell>
        </row>
        <row r="24">
          <cell r="G24">
            <v>26.345993686477897</v>
          </cell>
        </row>
        <row r="25">
          <cell r="G25">
            <v>29.714970007014795</v>
          </cell>
        </row>
        <row r="26">
          <cell r="G26">
            <v>31.170183536791004</v>
          </cell>
        </row>
        <row r="27">
          <cell r="G27">
            <v>32.991244145698118</v>
          </cell>
        </row>
        <row r="40">
          <cell r="G40">
            <v>19.724446690206552</v>
          </cell>
        </row>
        <row r="57">
          <cell r="B57" t="str">
            <v>(2)   'Energy Only' is the GRID calculated costs and includes some capacity costs.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G13">
            <v>13.891059523384715</v>
          </cell>
        </row>
        <row r="14">
          <cell r="G14">
            <v>13.494324082994893</v>
          </cell>
        </row>
        <row r="15">
          <cell r="G15">
            <v>11.948307981846712</v>
          </cell>
        </row>
        <row r="16">
          <cell r="G16">
            <v>5.9893696871940296</v>
          </cell>
        </row>
        <row r="17">
          <cell r="G17">
            <v>5.6043926316505344</v>
          </cell>
        </row>
        <row r="18">
          <cell r="G18">
            <v>6.1425554331937997</v>
          </cell>
        </row>
        <row r="19">
          <cell r="G19">
            <v>7.8100099732969808</v>
          </cell>
        </row>
        <row r="20">
          <cell r="G20">
            <v>9.7978401345695207</v>
          </cell>
        </row>
        <row r="21">
          <cell r="G21">
            <v>10.190759686065608</v>
          </cell>
        </row>
        <row r="22">
          <cell r="G22">
            <v>9.8747598244462598</v>
          </cell>
        </row>
        <row r="23">
          <cell r="G23">
            <v>12.68616095731651</v>
          </cell>
        </row>
        <row r="24">
          <cell r="G24">
            <v>14.660599383199093</v>
          </cell>
        </row>
        <row r="25">
          <cell r="G25">
            <v>15.859868964597368</v>
          </cell>
        </row>
        <row r="26">
          <cell r="G26">
            <v>17.421076133516454</v>
          </cell>
        </row>
        <row r="27">
          <cell r="G27">
            <v>18.517945460349676</v>
          </cell>
        </row>
        <row r="40">
          <cell r="G40">
            <v>11.043316785747873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 refreshError="1"/>
      <sheetData sheetId="1">
        <row r="13">
          <cell r="G13">
            <v>14.039132881139894</v>
          </cell>
        </row>
        <row r="14">
          <cell r="G14">
            <v>14.731984215518219</v>
          </cell>
        </row>
        <row r="15">
          <cell r="G15">
            <v>12.155046403287004</v>
          </cell>
        </row>
        <row r="16">
          <cell r="G16">
            <v>13.042190855475017</v>
          </cell>
        </row>
        <row r="17">
          <cell r="G17">
            <v>14.637627585434304</v>
          </cell>
        </row>
        <row r="18">
          <cell r="G18">
            <v>14.5752915458721</v>
          </cell>
        </row>
        <row r="19">
          <cell r="G19">
            <v>15.797140787837629</v>
          </cell>
        </row>
        <row r="20">
          <cell r="G20">
            <v>16.11933275506734</v>
          </cell>
        </row>
        <row r="21">
          <cell r="G21">
            <v>17.368180324986955</v>
          </cell>
        </row>
        <row r="22">
          <cell r="G22">
            <v>17.252806964223517</v>
          </cell>
        </row>
        <row r="23">
          <cell r="G23">
            <v>11.475517120993214</v>
          </cell>
        </row>
        <row r="24">
          <cell r="G24">
            <v>10.616240178253664</v>
          </cell>
        </row>
        <row r="25">
          <cell r="G25">
            <v>18.564820421479638</v>
          </cell>
        </row>
        <row r="26">
          <cell r="G26">
            <v>61.930286915873303</v>
          </cell>
        </row>
        <row r="27">
          <cell r="G27">
            <v>63.119932493858897</v>
          </cell>
        </row>
        <row r="40">
          <cell r="G40">
            <v>18.550844254589176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6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G13">
            <v>19.328404402546269</v>
          </cell>
        </row>
        <row r="14">
          <cell r="G14">
            <v>17.836868198537179</v>
          </cell>
        </row>
        <row r="15">
          <cell r="G15">
            <v>9.4810002882463937</v>
          </cell>
        </row>
        <row r="16">
          <cell r="G16">
            <v>2.6029008457419285</v>
          </cell>
        </row>
        <row r="17">
          <cell r="G17">
            <v>4.3991474162629673</v>
          </cell>
        </row>
        <row r="18">
          <cell r="G18">
            <v>3.3748068104195421</v>
          </cell>
        </row>
        <row r="19">
          <cell r="G19">
            <v>3.9697622243601423</v>
          </cell>
        </row>
        <row r="20">
          <cell r="G20">
            <v>6.5029760302718023</v>
          </cell>
        </row>
        <row r="21">
          <cell r="G21">
            <v>5.4287358077756469</v>
          </cell>
        </row>
        <row r="22">
          <cell r="G22">
            <v>5.3456391983190326</v>
          </cell>
        </row>
        <row r="23">
          <cell r="G23">
            <v>8.6505354395139182</v>
          </cell>
        </row>
        <row r="24">
          <cell r="G24">
            <v>9.3494670462473479</v>
          </cell>
        </row>
        <row r="25">
          <cell r="G25">
            <v>9.7931167359139533</v>
          </cell>
        </row>
        <row r="26">
          <cell r="G26">
            <v>11.192070311418789</v>
          </cell>
        </row>
        <row r="27">
          <cell r="G27">
            <v>11.70924942694363</v>
          </cell>
        </row>
        <row r="40">
          <cell r="G40">
            <v>8.9770645241829765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5"/>
      <sheetName val="Table 1"/>
      <sheetName val="Table 2"/>
      <sheetName val="Table 3 TransCost D2 "/>
      <sheetName val="Table 3 WY Wind 2021"/>
      <sheetName val="Table 3 DJ Wind 2031"/>
      <sheetName val="Table 4"/>
      <sheetName val="Table 5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G13">
            <v>17.833113681650993</v>
          </cell>
        </row>
        <row r="14">
          <cell r="G14">
            <v>17.516273747473477</v>
          </cell>
        </row>
        <row r="15">
          <cell r="G15">
            <v>14.099132483358499</v>
          </cell>
        </row>
        <row r="16">
          <cell r="G16">
            <v>23.330784464662699</v>
          </cell>
        </row>
        <row r="17">
          <cell r="G17">
            <v>24.97268883342592</v>
          </cell>
        </row>
        <row r="18">
          <cell r="G18">
            <v>24.319210514463922</v>
          </cell>
        </row>
        <row r="19">
          <cell r="G19">
            <v>26.539382850649929</v>
          </cell>
        </row>
        <row r="20">
          <cell r="G20">
            <v>29.674806670136633</v>
          </cell>
        </row>
        <row r="21">
          <cell r="G21">
            <v>29.016324821425279</v>
          </cell>
        </row>
        <row r="22">
          <cell r="G22">
            <v>29.498974188645423</v>
          </cell>
        </row>
        <row r="23">
          <cell r="G23">
            <v>28.729950858713799</v>
          </cell>
        </row>
        <row r="24">
          <cell r="G24">
            <v>30.785832354210758</v>
          </cell>
        </row>
        <row r="25">
          <cell r="G25">
            <v>31.833015644263909</v>
          </cell>
        </row>
        <row r="26">
          <cell r="G26">
            <v>63.213292782815131</v>
          </cell>
        </row>
        <row r="27">
          <cell r="G27">
            <v>63.419816917373147</v>
          </cell>
        </row>
        <row r="40">
          <cell r="G40">
            <v>27.424997353719686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BreakPreview" zoomScale="70" zoomScaleNormal="70" zoomScaleSheetLayoutView="70" workbookViewId="0">
      <selection activeCell="F7" sqref="F7"/>
    </sheetView>
  </sheetViews>
  <sheetFormatPr defaultColWidth="9.33203125" defaultRowHeight="12.75" outlineLevelCol="1"/>
  <cols>
    <col min="1" max="1" width="11.83203125" style="54" customWidth="1"/>
    <col min="2" max="2" width="11.6640625" style="54" customWidth="1"/>
    <col min="3" max="5" width="17.5" style="54" customWidth="1"/>
    <col min="6" max="8" width="17.5" style="54" customWidth="1" outlineLevel="1"/>
    <col min="9" max="11" width="17.5" style="54" customWidth="1"/>
    <col min="12" max="12" width="9.33203125" style="54" hidden="1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78" t="s">
        <v>178</v>
      </c>
      <c r="C1" s="281"/>
      <c r="D1" s="281"/>
      <c r="E1" s="281"/>
      <c r="F1" s="281"/>
      <c r="G1" s="281"/>
      <c r="H1" s="281"/>
      <c r="I1" s="280"/>
      <c r="J1" s="280"/>
      <c r="K1" s="280"/>
      <c r="L1" s="277"/>
    </row>
    <row r="2" spans="2:12" ht="5.25" customHeight="1">
      <c r="B2" s="278"/>
      <c r="C2" s="281"/>
      <c r="D2" s="281"/>
      <c r="E2" s="281"/>
      <c r="F2" s="281"/>
      <c r="G2" s="281"/>
      <c r="H2" s="281"/>
      <c r="I2" s="280"/>
      <c r="J2" s="280"/>
      <c r="K2" s="280"/>
      <c r="L2" s="277"/>
    </row>
    <row r="3" spans="2:12" ht="15.75">
      <c r="B3" s="279" t="s">
        <v>177</v>
      </c>
      <c r="C3" s="279"/>
      <c r="D3" s="279"/>
      <c r="E3" s="279"/>
      <c r="F3" s="279"/>
      <c r="G3" s="279"/>
      <c r="H3" s="279"/>
      <c r="I3" s="278"/>
      <c r="J3" s="278"/>
      <c r="K3" s="278"/>
      <c r="L3" s="277"/>
    </row>
    <row r="4" spans="2:12" ht="15.75">
      <c r="B4" s="4" t="s">
        <v>180</v>
      </c>
      <c r="C4" s="279"/>
      <c r="D4" s="279"/>
      <c r="E4" s="279"/>
      <c r="F4" s="279"/>
      <c r="G4" s="279"/>
      <c r="H4" s="279"/>
      <c r="I4" s="278"/>
      <c r="J4" s="278"/>
      <c r="K4" s="278"/>
      <c r="L4" s="277"/>
    </row>
    <row r="5" spans="2:12" ht="25.5" customHeight="1">
      <c r="C5" s="260" t="s">
        <v>176</v>
      </c>
      <c r="D5" s="260" t="s">
        <v>175</v>
      </c>
      <c r="E5" s="260" t="s">
        <v>77</v>
      </c>
      <c r="F5" s="260" t="s">
        <v>176</v>
      </c>
      <c r="G5" s="260" t="s">
        <v>175</v>
      </c>
      <c r="H5" s="260" t="s">
        <v>77</v>
      </c>
      <c r="I5" s="260" t="str">
        <f>C5</f>
        <v>Thermal</v>
      </c>
      <c r="J5" s="260" t="str">
        <f>D5</f>
        <v>Solar Tracking</v>
      </c>
      <c r="K5" s="260" t="str">
        <f>E5</f>
        <v>Wind</v>
      </c>
      <c r="L5" s="277"/>
    </row>
    <row r="6" spans="2:12">
      <c r="B6" s="260" t="s">
        <v>0</v>
      </c>
      <c r="C6" s="276" t="s">
        <v>174</v>
      </c>
      <c r="D6" s="276" t="s">
        <v>174</v>
      </c>
      <c r="E6" s="276" t="s">
        <v>174</v>
      </c>
      <c r="F6" s="276" t="s">
        <v>179</v>
      </c>
      <c r="G6" s="276" t="s">
        <v>179</v>
      </c>
      <c r="H6" s="276" t="s">
        <v>179</v>
      </c>
      <c r="I6" s="275"/>
      <c r="J6" s="275"/>
      <c r="K6" s="275"/>
      <c r="L6" s="274"/>
    </row>
    <row r="7" spans="2:12">
      <c r="B7" s="260"/>
      <c r="C7" s="273" t="str">
        <f>TEXT('[1]Table 1'!G9,"0.0%")&amp;" CF (2)"</f>
        <v>85.0% CF (2)</v>
      </c>
      <c r="D7" s="273" t="s">
        <v>173</v>
      </c>
      <c r="E7" s="273" t="s">
        <v>172</v>
      </c>
      <c r="F7" s="272" t="s">
        <v>171</v>
      </c>
      <c r="G7" s="272" t="s">
        <v>171</v>
      </c>
      <c r="H7" s="272" t="s">
        <v>171</v>
      </c>
      <c r="I7" s="271" t="s">
        <v>170</v>
      </c>
      <c r="J7" s="271" t="s">
        <v>170</v>
      </c>
      <c r="K7" s="271" t="s">
        <v>170</v>
      </c>
      <c r="L7" s="270"/>
    </row>
    <row r="8" spans="2:12">
      <c r="B8" s="269">
        <f>'Table 1'!B13</f>
        <v>2018</v>
      </c>
      <c r="C8" s="268">
        <f ca="1">'Table 1'!G13</f>
        <v>16.09150783587064</v>
      </c>
      <c r="D8" s="268">
        <f>'[10]Table 1'!G13</f>
        <v>13.891059523384715</v>
      </c>
      <c r="E8" s="268">
        <f>'[11]Table 1'!G13</f>
        <v>14.039132881139894</v>
      </c>
      <c r="F8" s="268">
        <f>'[1]Table 1'!G13</f>
        <v>19.377099803641613</v>
      </c>
      <c r="G8" s="268">
        <f>'[12]Table 1'!G13</f>
        <v>19.328404402546269</v>
      </c>
      <c r="H8" s="268">
        <f>'[13]Table 1'!G13</f>
        <v>17.833113681650993</v>
      </c>
      <c r="I8" s="268">
        <f t="shared" ref="I8:I22" ca="1" si="0">C8-F8</f>
        <v>-3.2855919677709728</v>
      </c>
      <c r="J8" s="268">
        <f t="shared" ref="J8:J22" si="1">D8-G8</f>
        <v>-5.4373448791615537</v>
      </c>
      <c r="K8" s="267">
        <f t="shared" ref="K8:K22" si="2">E8-H8</f>
        <v>-3.7939808005110986</v>
      </c>
      <c r="L8" s="261"/>
    </row>
    <row r="9" spans="2:12">
      <c r="B9" s="266">
        <f>'Table 1'!B14</f>
        <v>2019</v>
      </c>
      <c r="C9" s="249">
        <f ca="1">'Table 1'!G14</f>
        <v>16.770993493534256</v>
      </c>
      <c r="D9" s="249">
        <f>'[10]Table 1'!G14</f>
        <v>13.494324082994893</v>
      </c>
      <c r="E9" s="249">
        <f>'[11]Table 1'!G14</f>
        <v>14.731984215518219</v>
      </c>
      <c r="F9" s="249">
        <f>'[1]Table 1'!G14</f>
        <v>19.0360484141789</v>
      </c>
      <c r="G9" s="249">
        <f>'[12]Table 1'!G14</f>
        <v>17.836868198537179</v>
      </c>
      <c r="H9" s="249">
        <f>'[13]Table 1'!G14</f>
        <v>17.516273747473477</v>
      </c>
      <c r="I9" s="249">
        <f t="shared" ca="1" si="0"/>
        <v>-2.2650549206446442</v>
      </c>
      <c r="J9" s="249">
        <f t="shared" si="1"/>
        <v>-4.3425441155422853</v>
      </c>
      <c r="K9" s="265">
        <f t="shared" si="2"/>
        <v>-2.7842895319552579</v>
      </c>
      <c r="L9" s="261"/>
    </row>
    <row r="10" spans="2:12">
      <c r="B10" s="266">
        <f>'Table 1'!B15</f>
        <v>2020</v>
      </c>
      <c r="C10" s="249">
        <f ca="1">'Table 1'!G15</f>
        <v>16.456006894524446</v>
      </c>
      <c r="D10" s="249">
        <f>'[10]Table 1'!G15</f>
        <v>11.948307981846712</v>
      </c>
      <c r="E10" s="249">
        <f>'[11]Table 1'!G15</f>
        <v>12.155046403287004</v>
      </c>
      <c r="F10" s="249">
        <f>'[1]Table 1'!G15</f>
        <v>15.307389236431815</v>
      </c>
      <c r="G10" s="249">
        <f>'[12]Table 1'!G15</f>
        <v>9.4810002882463937</v>
      </c>
      <c r="H10" s="249">
        <f>'[13]Table 1'!G15</f>
        <v>14.099132483358499</v>
      </c>
      <c r="I10" s="249">
        <f t="shared" ca="1" si="0"/>
        <v>1.1486176580926308</v>
      </c>
      <c r="J10" s="249">
        <f t="shared" si="1"/>
        <v>2.4673076936003184</v>
      </c>
      <c r="K10" s="265">
        <f t="shared" si="2"/>
        <v>-1.9440860800714947</v>
      </c>
      <c r="L10" s="261"/>
    </row>
    <row r="11" spans="2:12">
      <c r="B11" s="266">
        <f>'Table 1'!B16</f>
        <v>2021</v>
      </c>
      <c r="C11" s="249">
        <f ca="1">'Table 1'!G16</f>
        <v>16.750913055904796</v>
      </c>
      <c r="D11" s="249">
        <f>'[10]Table 1'!G16</f>
        <v>5.9893696871940296</v>
      </c>
      <c r="E11" s="249">
        <f>'[11]Table 1'!G16</f>
        <v>13.042190855475017</v>
      </c>
      <c r="F11" s="249">
        <f>'[1]Table 1'!G16</f>
        <v>13.313189526334478</v>
      </c>
      <c r="G11" s="249">
        <f>'[12]Table 1'!G16</f>
        <v>2.6029008457419285</v>
      </c>
      <c r="H11" s="249">
        <f>'[13]Table 1'!G16</f>
        <v>23.330784464662699</v>
      </c>
      <c r="I11" s="249">
        <f t="shared" ca="1" si="0"/>
        <v>3.4377235295703183</v>
      </c>
      <c r="J11" s="249">
        <f t="shared" si="1"/>
        <v>3.3864688414521011</v>
      </c>
      <c r="K11" s="265">
        <f t="shared" si="2"/>
        <v>-10.288593609187682</v>
      </c>
      <c r="L11" s="261"/>
    </row>
    <row r="12" spans="2:12">
      <c r="B12" s="266">
        <f>'Table 1'!B17</f>
        <v>2022</v>
      </c>
      <c r="C12" s="249">
        <f ca="1">'Table 1'!G17</f>
        <v>16.869190236747411</v>
      </c>
      <c r="D12" s="249">
        <f>'[10]Table 1'!G17</f>
        <v>5.6043926316505344</v>
      </c>
      <c r="E12" s="249">
        <f>'[11]Table 1'!G17</f>
        <v>14.637627585434304</v>
      </c>
      <c r="F12" s="249">
        <f>'[1]Table 1'!G17</f>
        <v>14.654243288614994</v>
      </c>
      <c r="G12" s="249">
        <f>'[12]Table 1'!G17</f>
        <v>4.3991474162629673</v>
      </c>
      <c r="H12" s="249">
        <f>'[13]Table 1'!G17</f>
        <v>24.97268883342592</v>
      </c>
      <c r="I12" s="249">
        <f t="shared" ca="1" si="0"/>
        <v>2.2149469481324164</v>
      </c>
      <c r="J12" s="249">
        <f t="shared" si="1"/>
        <v>1.205245215387567</v>
      </c>
      <c r="K12" s="265">
        <f t="shared" si="2"/>
        <v>-10.335061247991616</v>
      </c>
      <c r="L12" s="261"/>
    </row>
    <row r="13" spans="2:12">
      <c r="B13" s="266">
        <f>'Table 1'!B18</f>
        <v>2023</v>
      </c>
      <c r="C13" s="249">
        <f ca="1">'Table 1'!G18</f>
        <v>17.618837023362449</v>
      </c>
      <c r="D13" s="249">
        <f>'[10]Table 1'!G18</f>
        <v>6.1425554331937997</v>
      </c>
      <c r="E13" s="249">
        <f>'[11]Table 1'!G18</f>
        <v>14.5752915458721</v>
      </c>
      <c r="F13" s="249">
        <f>'[1]Table 1'!G18</f>
        <v>14.278020055467543</v>
      </c>
      <c r="G13" s="249">
        <f>'[12]Table 1'!G18</f>
        <v>3.3748068104195421</v>
      </c>
      <c r="H13" s="249">
        <f>'[13]Table 1'!G18</f>
        <v>24.319210514463922</v>
      </c>
      <c r="I13" s="249">
        <f t="shared" ca="1" si="0"/>
        <v>3.3408169678949058</v>
      </c>
      <c r="J13" s="249">
        <f t="shared" si="1"/>
        <v>2.7677486227742576</v>
      </c>
      <c r="K13" s="265">
        <f t="shared" si="2"/>
        <v>-9.7439189685918226</v>
      </c>
      <c r="L13" s="261"/>
    </row>
    <row r="14" spans="2:12">
      <c r="B14" s="266">
        <f>'Table 1'!B19</f>
        <v>2024</v>
      </c>
      <c r="C14" s="249">
        <f ca="1">'Table 1'!G19</f>
        <v>19.699093345682208</v>
      </c>
      <c r="D14" s="249">
        <f>'[10]Table 1'!G19</f>
        <v>7.8100099732969808</v>
      </c>
      <c r="E14" s="249">
        <f>'[11]Table 1'!G19</f>
        <v>15.797140787837629</v>
      </c>
      <c r="F14" s="249">
        <f>'[1]Table 1'!G19</f>
        <v>16.559084015277705</v>
      </c>
      <c r="G14" s="249">
        <f>'[12]Table 1'!G19</f>
        <v>3.9697622243601423</v>
      </c>
      <c r="H14" s="249">
        <f>'[13]Table 1'!G19</f>
        <v>26.539382850649929</v>
      </c>
      <c r="I14" s="249">
        <f t="shared" ca="1" si="0"/>
        <v>3.1400093304045029</v>
      </c>
      <c r="J14" s="249">
        <f t="shared" si="1"/>
        <v>3.8402477489368385</v>
      </c>
      <c r="K14" s="265">
        <f t="shared" si="2"/>
        <v>-10.7422420628123</v>
      </c>
      <c r="L14" s="261"/>
    </row>
    <row r="15" spans="2:12">
      <c r="B15" s="266">
        <f>'Table 1'!B20</f>
        <v>2025</v>
      </c>
      <c r="C15" s="249">
        <f ca="1">'Table 1'!G20</f>
        <v>23.790786502864066</v>
      </c>
      <c r="D15" s="249">
        <f>'[10]Table 1'!G20</f>
        <v>9.7978401345695207</v>
      </c>
      <c r="E15" s="249">
        <f>'[11]Table 1'!G20</f>
        <v>16.11933275506734</v>
      </c>
      <c r="F15" s="249">
        <f>'[1]Table 1'!G20</f>
        <v>19.813001946118224</v>
      </c>
      <c r="G15" s="249">
        <f>'[12]Table 1'!G20</f>
        <v>6.5029760302718023</v>
      </c>
      <c r="H15" s="249">
        <f>'[13]Table 1'!G20</f>
        <v>29.674806670136633</v>
      </c>
      <c r="I15" s="249">
        <f t="shared" ca="1" si="0"/>
        <v>3.9777845567458421</v>
      </c>
      <c r="J15" s="249">
        <f t="shared" si="1"/>
        <v>3.2948641042977185</v>
      </c>
      <c r="K15" s="265">
        <f t="shared" si="2"/>
        <v>-13.555473915069292</v>
      </c>
      <c r="L15" s="261"/>
    </row>
    <row r="16" spans="2:12">
      <c r="B16" s="266">
        <f>'Table 1'!B21</f>
        <v>2026</v>
      </c>
      <c r="C16" s="249">
        <f ca="1">'Table 1'!G21</f>
        <v>24.630561279387198</v>
      </c>
      <c r="D16" s="249">
        <f>'[10]Table 1'!G21</f>
        <v>10.190759686065608</v>
      </c>
      <c r="E16" s="249">
        <f>'[11]Table 1'!G21</f>
        <v>17.368180324986955</v>
      </c>
      <c r="F16" s="249">
        <f>'[1]Table 1'!G21</f>
        <v>19.318712273238468</v>
      </c>
      <c r="G16" s="249">
        <f>'[12]Table 1'!G21</f>
        <v>5.4287358077756469</v>
      </c>
      <c r="H16" s="249">
        <f>'[13]Table 1'!G21</f>
        <v>29.016324821425279</v>
      </c>
      <c r="I16" s="249">
        <f t="shared" ca="1" si="0"/>
        <v>5.31184900614873</v>
      </c>
      <c r="J16" s="249">
        <f t="shared" si="1"/>
        <v>4.7620238782899609</v>
      </c>
      <c r="K16" s="265">
        <f t="shared" si="2"/>
        <v>-11.648144496438324</v>
      </c>
      <c r="L16" s="261"/>
    </row>
    <row r="17" spans="1:12">
      <c r="B17" s="266">
        <f>'Table 1'!B22</f>
        <v>2027</v>
      </c>
      <c r="C17" s="249">
        <f ca="1">'Table 1'!G22</f>
        <v>25.287983711178551</v>
      </c>
      <c r="D17" s="249">
        <f>'[10]Table 1'!G22</f>
        <v>9.8747598244462598</v>
      </c>
      <c r="E17" s="249">
        <f>'[11]Table 1'!G22</f>
        <v>17.252806964223517</v>
      </c>
      <c r="F17" s="249">
        <f>'[1]Table 1'!G22</f>
        <v>19.651034315441112</v>
      </c>
      <c r="G17" s="249">
        <f>'[12]Table 1'!G22</f>
        <v>5.3456391983190326</v>
      </c>
      <c r="H17" s="249">
        <f>'[13]Table 1'!G22</f>
        <v>29.498974188645423</v>
      </c>
      <c r="I17" s="249">
        <f t="shared" ca="1" si="0"/>
        <v>5.6369493957374388</v>
      </c>
      <c r="J17" s="249">
        <f t="shared" si="1"/>
        <v>4.5291206261272272</v>
      </c>
      <c r="K17" s="265">
        <f t="shared" si="2"/>
        <v>-12.246167224421907</v>
      </c>
      <c r="L17" s="261"/>
    </row>
    <row r="18" spans="1:12">
      <c r="B18" s="266">
        <f>'Table 1'!B23</f>
        <v>2028</v>
      </c>
      <c r="C18" s="249">
        <f ca="1">'Table 1'!G23</f>
        <v>28.793915565728962</v>
      </c>
      <c r="D18" s="249">
        <f>'[10]Table 1'!G23</f>
        <v>12.68616095731651</v>
      </c>
      <c r="E18" s="249">
        <f>'[11]Table 1'!G23</f>
        <v>11.475517120993214</v>
      </c>
      <c r="F18" s="249">
        <f>'[1]Table 1'!G23</f>
        <v>23.889468771995524</v>
      </c>
      <c r="G18" s="249">
        <f>'[12]Table 1'!G23</f>
        <v>8.6505354395139182</v>
      </c>
      <c r="H18" s="249">
        <f>'[13]Table 1'!G23</f>
        <v>28.729950858713799</v>
      </c>
      <c r="I18" s="249">
        <f t="shared" ca="1" si="0"/>
        <v>4.9044467937334382</v>
      </c>
      <c r="J18" s="249">
        <f t="shared" si="1"/>
        <v>4.0356255178025915</v>
      </c>
      <c r="K18" s="265">
        <f t="shared" si="2"/>
        <v>-17.254433737720586</v>
      </c>
      <c r="L18" s="261"/>
    </row>
    <row r="19" spans="1:12">
      <c r="B19" s="266">
        <f>'Table 1'!B24</f>
        <v>2029</v>
      </c>
      <c r="C19" s="249">
        <f ca="1">'Table 1'!G24</f>
        <v>32.123816433374003</v>
      </c>
      <c r="D19" s="249">
        <f>'[10]Table 1'!G24</f>
        <v>14.660599383199093</v>
      </c>
      <c r="E19" s="249">
        <f>'[11]Table 1'!G24</f>
        <v>10.616240178253664</v>
      </c>
      <c r="F19" s="249">
        <f>'[1]Table 1'!G24</f>
        <v>26.345993686477897</v>
      </c>
      <c r="G19" s="249">
        <f>'[12]Table 1'!G24</f>
        <v>9.3494670462473479</v>
      </c>
      <c r="H19" s="249">
        <f>'[13]Table 1'!G24</f>
        <v>30.785832354210758</v>
      </c>
      <c r="I19" s="249">
        <f t="shared" ca="1" si="0"/>
        <v>5.7778227468961063</v>
      </c>
      <c r="J19" s="249">
        <f t="shared" si="1"/>
        <v>5.3111323369517454</v>
      </c>
      <c r="K19" s="265">
        <f t="shared" si="2"/>
        <v>-20.169592175957092</v>
      </c>
      <c r="L19" s="261"/>
    </row>
    <row r="20" spans="1:12">
      <c r="B20" s="266">
        <f>'Table 1'!B25</f>
        <v>2030</v>
      </c>
      <c r="C20" s="249">
        <f ca="1">'Table 1'!G25</f>
        <v>35.673372342000178</v>
      </c>
      <c r="D20" s="249">
        <f>'[10]Table 1'!G25</f>
        <v>15.859868964597368</v>
      </c>
      <c r="E20" s="249">
        <f>'[11]Table 1'!G25</f>
        <v>18.564820421479638</v>
      </c>
      <c r="F20" s="249">
        <f>'[1]Table 1'!G25</f>
        <v>29.714970007014795</v>
      </c>
      <c r="G20" s="249">
        <f>'[12]Table 1'!G25</f>
        <v>9.7931167359139533</v>
      </c>
      <c r="H20" s="249">
        <f>'[13]Table 1'!G25</f>
        <v>31.833015644263909</v>
      </c>
      <c r="I20" s="249">
        <f t="shared" ca="1" si="0"/>
        <v>5.958402334985383</v>
      </c>
      <c r="J20" s="249">
        <f t="shared" si="1"/>
        <v>6.0667522286834146</v>
      </c>
      <c r="K20" s="265">
        <f t="shared" si="2"/>
        <v>-13.268195222784271</v>
      </c>
      <c r="L20" s="261"/>
    </row>
    <row r="21" spans="1:12">
      <c r="B21" s="266">
        <f>'Table 1'!B26</f>
        <v>2031</v>
      </c>
      <c r="C21" s="249">
        <f ca="1">'Table 1'!G26</f>
        <v>37.269180510555351</v>
      </c>
      <c r="D21" s="249">
        <f>'[10]Table 1'!G26</f>
        <v>17.421076133516454</v>
      </c>
      <c r="E21" s="249">
        <f>'[11]Table 1'!G26</f>
        <v>61.930286915873303</v>
      </c>
      <c r="F21" s="249">
        <f>'[1]Table 1'!G26</f>
        <v>31.170183536791004</v>
      </c>
      <c r="G21" s="249">
        <f>'[12]Table 1'!G26</f>
        <v>11.192070311418789</v>
      </c>
      <c r="H21" s="249">
        <f>'[13]Table 1'!G26</f>
        <v>63.213292782815131</v>
      </c>
      <c r="I21" s="249">
        <f t="shared" ca="1" si="0"/>
        <v>6.098996973764347</v>
      </c>
      <c r="J21" s="249">
        <f t="shared" si="1"/>
        <v>6.2290058220976654</v>
      </c>
      <c r="K21" s="265">
        <f t="shared" si="2"/>
        <v>-1.2830058669418278</v>
      </c>
      <c r="L21" s="261"/>
    </row>
    <row r="22" spans="1:12">
      <c r="B22" s="264">
        <f>'Table 1'!B27</f>
        <v>2032</v>
      </c>
      <c r="C22" s="263">
        <f ca="1">'Table 1'!G27</f>
        <v>39.966623413699502</v>
      </c>
      <c r="D22" s="263">
        <f>'[10]Table 1'!G27</f>
        <v>18.517945460349676</v>
      </c>
      <c r="E22" s="263">
        <f>'[11]Table 1'!G27</f>
        <v>63.119932493858897</v>
      </c>
      <c r="F22" s="263">
        <f>'[1]Table 1'!G27</f>
        <v>32.991244145698118</v>
      </c>
      <c r="G22" s="263">
        <f>'[12]Table 1'!G27</f>
        <v>11.70924942694363</v>
      </c>
      <c r="H22" s="263">
        <f>'[13]Table 1'!G27</f>
        <v>63.419816917373147</v>
      </c>
      <c r="I22" s="263">
        <f t="shared" ca="1" si="0"/>
        <v>6.9753792680013831</v>
      </c>
      <c r="J22" s="263">
        <f t="shared" si="1"/>
        <v>6.8086960334060453</v>
      </c>
      <c r="K22" s="262">
        <f t="shared" si="2"/>
        <v>-0.29988442351424993</v>
      </c>
      <c r="L22" s="261"/>
    </row>
    <row r="23" spans="1:12">
      <c r="F23" s="260"/>
      <c r="G23" s="260"/>
      <c r="H23" s="260"/>
    </row>
    <row r="24" spans="1:12">
      <c r="B24" s="55" t="str">
        <f>"15-Year Levelized Prices (Nominal) @ "&amp;TEXT(Discount_Rate,"0.000%")&amp;" Discount Rate (1) (3)"</f>
        <v>15-Year Levelized Prices (Nominal) @ 0.000% Discount Rate (1) (3)</v>
      </c>
      <c r="F24" s="260"/>
      <c r="G24" s="260"/>
      <c r="H24" s="260"/>
      <c r="L24" s="259">
        <f>'[1]Table 1'!I34</f>
        <v>0</v>
      </c>
    </row>
    <row r="25" spans="1:12">
      <c r="A25" s="3" t="s">
        <v>169</v>
      </c>
      <c r="B25" s="255" t="s">
        <v>33</v>
      </c>
      <c r="C25" s="258">
        <f ca="1">ROUND('Table 1'!G40,2)</f>
        <v>22.38</v>
      </c>
      <c r="D25" s="258">
        <f>ROUND('[10]Table 1'!$G$40,2)</f>
        <v>11.04</v>
      </c>
      <c r="E25" s="258">
        <f>ROUND('[11]Table 1'!$G$40,3)</f>
        <v>18.550999999999998</v>
      </c>
      <c r="F25" s="258">
        <f>ROUND('[1]Table 1'!G40,2)</f>
        <v>19.72</v>
      </c>
      <c r="G25" s="258">
        <f>ROUND('[12]Table 1'!$G$40,2)</f>
        <v>8.98</v>
      </c>
      <c r="H25" s="258">
        <f>ROUND('[13]Table 1'!$G$40,3)</f>
        <v>27.425000000000001</v>
      </c>
      <c r="I25" s="249">
        <f ca="1">C25-F25</f>
        <v>2.66</v>
      </c>
      <c r="J25" s="249">
        <f>D25-G25</f>
        <v>2.0599999999999987</v>
      </c>
      <c r="K25" s="249">
        <f>E25-H25</f>
        <v>-8.8740000000000023</v>
      </c>
      <c r="L25" s="257">
        <f>'[1]Table 1'!I35</f>
        <v>0</v>
      </c>
    </row>
    <row r="26" spans="1:12" ht="17.25" customHeight="1">
      <c r="B26" s="255"/>
      <c r="C26" s="249"/>
      <c r="D26" s="249"/>
      <c r="E26" s="249"/>
      <c r="F26" s="249"/>
      <c r="G26" s="249"/>
      <c r="H26" s="249"/>
      <c r="I26" s="256"/>
      <c r="J26" s="256"/>
      <c r="K26" s="256"/>
    </row>
    <row r="27" spans="1:12" ht="10.5" customHeight="1">
      <c r="B27" s="255"/>
      <c r="C27" s="249"/>
      <c r="D27" s="249"/>
      <c r="E27" s="249"/>
      <c r="F27" s="249"/>
      <c r="G27" s="249"/>
      <c r="H27" s="249"/>
      <c r="I27" s="249"/>
      <c r="J27" s="249"/>
      <c r="K27" s="249"/>
    </row>
    <row r="28" spans="1:12" s="54" customFormat="1" ht="5.25" customHeight="1">
      <c r="F28" s="254"/>
      <c r="G28" s="254"/>
      <c r="H28" s="254"/>
    </row>
    <row r="29" spans="1:12" s="54" customFormat="1">
      <c r="B29" s="54" t="s">
        <v>16</v>
      </c>
      <c r="C29" s="253"/>
      <c r="D29" s="253"/>
      <c r="E29" s="253"/>
      <c r="F29" s="252"/>
      <c r="G29" s="252"/>
      <c r="H29" s="252"/>
      <c r="I29" s="252"/>
      <c r="J29" s="252"/>
      <c r="K29" s="252"/>
    </row>
    <row r="30" spans="1:12" s="54" customFormat="1">
      <c r="B30" s="250" t="str">
        <f>'[1]Table 1'!B57</f>
        <v>(2)   'Energy Only' is the GRID calculated costs and includes some capacity costs.</v>
      </c>
      <c r="F30" s="251"/>
      <c r="G30" s="251"/>
      <c r="H30" s="251"/>
      <c r="I30" s="251"/>
      <c r="J30" s="251"/>
      <c r="K30" s="251"/>
    </row>
    <row r="31" spans="1:12" s="54" customFormat="1">
      <c r="B31" s="250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</f>
        <v>(3)   15-Years: 2018 - 2032</v>
      </c>
    </row>
    <row r="33" spans="2:11" s="54" customFormat="1">
      <c r="B33" s="10" t="str">
        <f>"(4)   Levelized Monthly"</f>
        <v>(4)   Levelized Monthly</v>
      </c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49"/>
      <c r="D37" s="249"/>
      <c r="E37" s="249"/>
      <c r="F37" s="249"/>
      <c r="G37" s="249"/>
      <c r="H37" s="249"/>
    </row>
    <row r="39" spans="2:11" s="54" customFormat="1">
      <c r="C39" s="248"/>
      <c r="D39" s="248"/>
      <c r="E39" s="248"/>
      <c r="F39" s="248"/>
      <c r="G39" s="248"/>
      <c r="H39" s="248"/>
      <c r="I39" s="248"/>
      <c r="J39" s="248"/>
      <c r="K39" s="248"/>
    </row>
  </sheetData>
  <conditionalFormatting sqref="F8:F22">
    <cfRule type="expression" dxfId="3" priority="4">
      <formula>ISNA(L8)</formula>
    </cfRule>
  </conditionalFormatting>
  <conditionalFormatting sqref="G8:G22">
    <cfRule type="expression" dxfId="2" priority="3">
      <formula>ISNA(L8)</formula>
    </cfRule>
  </conditionalFormatting>
  <conditionalFormatting sqref="H8:H22">
    <cfRule type="expression" dxfId="1" priority="2">
      <formula>ISNA(M8)</formula>
    </cfRule>
  </conditionalFormatting>
  <conditionalFormatting sqref="I8:J22">
    <cfRule type="expression" dxfId="0" priority="1">
      <formula>ISNA(N8)</formula>
    </cfRule>
  </conditionalFormatting>
  <printOptions horizontalCentered="1"/>
  <pageMargins left="0.25" right="0.25" top="0.75" bottom="0.75" header="0.3" footer="0.3"/>
  <pageSetup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56.11</v>
      </c>
      <c r="F29" s="135">
        <f t="shared" si="1"/>
        <v>47.113467257385572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47.113467257385572</v>
      </c>
      <c r="J29" s="135">
        <f t="shared" si="2"/>
        <v>156.83000000000001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102.77</v>
      </c>
      <c r="E30" s="133">
        <f t="shared" si="10"/>
        <v>57.25</v>
      </c>
      <c r="F30" s="135">
        <f t="shared" si="1"/>
        <v>48.071377072819033</v>
      </c>
      <c r="G30" s="133">
        <f t="shared" si="11"/>
        <v>0</v>
      </c>
      <c r="H30" s="133">
        <f t="shared" si="11"/>
        <v>0</v>
      </c>
      <c r="I30" s="135">
        <f t="shared" si="4"/>
        <v>48.071377072819033</v>
      </c>
      <c r="J30" s="135">
        <f t="shared" si="2"/>
        <v>160.02000000000001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104.84</v>
      </c>
      <c r="E31" s="133">
        <f t="shared" si="10"/>
        <v>58.4</v>
      </c>
      <c r="F31" s="135">
        <f t="shared" si="1"/>
        <v>49.038692621965879</v>
      </c>
      <c r="G31" s="133">
        <f t="shared" si="11"/>
        <v>0</v>
      </c>
      <c r="H31" s="133">
        <f t="shared" si="11"/>
        <v>0</v>
      </c>
      <c r="I31" s="135">
        <f t="shared" si="4"/>
        <v>49.038692621965879</v>
      </c>
      <c r="J31" s="135">
        <f t="shared" si="2"/>
        <v>163.24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106.93</v>
      </c>
      <c r="E32" s="133">
        <f t="shared" si="10"/>
        <v>59.57</v>
      </c>
      <c r="F32" s="135">
        <f t="shared" si="1"/>
        <v>50.01802451333814</v>
      </c>
      <c r="G32" s="133">
        <f t="shared" si="11"/>
        <v>0</v>
      </c>
      <c r="H32" s="133">
        <f t="shared" si="11"/>
        <v>0</v>
      </c>
      <c r="I32" s="135">
        <f t="shared" si="4"/>
        <v>50.01802451333814</v>
      </c>
      <c r="J32" s="135">
        <f t="shared" si="2"/>
        <v>166.5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109.08</v>
      </c>
      <c r="E33" s="133">
        <f t="shared" si="10"/>
        <v>60.77</v>
      </c>
      <c r="F33" s="135">
        <f t="shared" si="1"/>
        <v>51.024393174717616</v>
      </c>
      <c r="G33" s="133">
        <f t="shared" si="11"/>
        <v>0</v>
      </c>
      <c r="H33" s="133">
        <f t="shared" si="11"/>
        <v>0</v>
      </c>
      <c r="I33" s="135">
        <f t="shared" si="4"/>
        <v>51.024393174717616</v>
      </c>
      <c r="J33" s="135">
        <f t="shared" si="2"/>
        <v>169.85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111.28</v>
      </c>
      <c r="E34" s="133">
        <f t="shared" si="10"/>
        <v>62</v>
      </c>
      <c r="F34" s="135">
        <f t="shared" si="1"/>
        <v>52.054794520547951</v>
      </c>
      <c r="G34" s="133">
        <f t="shared" si="11"/>
        <v>0</v>
      </c>
      <c r="H34" s="133">
        <f t="shared" si="11"/>
        <v>0</v>
      </c>
      <c r="I34" s="135">
        <f t="shared" si="4"/>
        <v>52.054794520547951</v>
      </c>
      <c r="J34" s="135">
        <f t="shared" si="2"/>
        <v>173.28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113.55</v>
      </c>
      <c r="E35" s="133">
        <f t="shared" si="10"/>
        <v>63.26</v>
      </c>
      <c r="F35" s="135">
        <f t="shared" si="1"/>
        <v>53.115236721941848</v>
      </c>
      <c r="G35" s="133">
        <f t="shared" si="11"/>
        <v>0</v>
      </c>
      <c r="H35" s="133">
        <f t="shared" si="11"/>
        <v>0</v>
      </c>
      <c r="I35" s="135">
        <f t="shared" si="4"/>
        <v>53.115236721941848</v>
      </c>
      <c r="J35" s="135">
        <f t="shared" si="2"/>
        <v>176.81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115.89</v>
      </c>
      <c r="E36" s="133">
        <f t="shared" si="10"/>
        <v>64.56</v>
      </c>
      <c r="F36" s="135">
        <f t="shared" si="1"/>
        <v>54.208723864455663</v>
      </c>
      <c r="G36" s="133">
        <f t="shared" si="11"/>
        <v>0</v>
      </c>
      <c r="H36" s="133">
        <f t="shared" si="11"/>
        <v>0</v>
      </c>
      <c r="I36" s="135">
        <f t="shared" si="4"/>
        <v>54.208723864455663</v>
      </c>
      <c r="J36" s="135">
        <f t="shared" si="2"/>
        <v>180.45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1417.4139219193135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56.11</v>
      </c>
      <c r="F29" s="135">
        <f t="shared" si="1"/>
        <v>47.113467257385572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47.113467257385572</v>
      </c>
      <c r="J29" s="135">
        <f t="shared" si="2"/>
        <v>156.83000000000001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102.77</v>
      </c>
      <c r="E30" s="133">
        <f t="shared" si="10"/>
        <v>57.25</v>
      </c>
      <c r="F30" s="135">
        <f t="shared" si="1"/>
        <v>48.071377072819033</v>
      </c>
      <c r="G30" s="133">
        <f t="shared" si="11"/>
        <v>0</v>
      </c>
      <c r="H30" s="133">
        <f t="shared" si="11"/>
        <v>0</v>
      </c>
      <c r="I30" s="135">
        <f t="shared" si="4"/>
        <v>48.071377072819033</v>
      </c>
      <c r="J30" s="135">
        <f t="shared" si="2"/>
        <v>160.02000000000001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104.84</v>
      </c>
      <c r="E31" s="133">
        <f t="shared" si="10"/>
        <v>58.4</v>
      </c>
      <c r="F31" s="135">
        <f t="shared" si="1"/>
        <v>49.038692621965879</v>
      </c>
      <c r="G31" s="133">
        <f t="shared" si="11"/>
        <v>0</v>
      </c>
      <c r="H31" s="133">
        <f t="shared" si="11"/>
        <v>0</v>
      </c>
      <c r="I31" s="135">
        <f t="shared" si="4"/>
        <v>49.038692621965879</v>
      </c>
      <c r="J31" s="135">
        <f t="shared" si="2"/>
        <v>163.24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106.93</v>
      </c>
      <c r="E32" s="133">
        <f t="shared" si="10"/>
        <v>59.57</v>
      </c>
      <c r="F32" s="135">
        <f t="shared" si="1"/>
        <v>50.01802451333814</v>
      </c>
      <c r="G32" s="133">
        <f t="shared" si="11"/>
        <v>0</v>
      </c>
      <c r="H32" s="133">
        <f t="shared" si="11"/>
        <v>0</v>
      </c>
      <c r="I32" s="135">
        <f t="shared" si="4"/>
        <v>50.01802451333814</v>
      </c>
      <c r="J32" s="135">
        <f t="shared" si="2"/>
        <v>166.5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109.08</v>
      </c>
      <c r="E33" s="133">
        <f t="shared" si="10"/>
        <v>60.77</v>
      </c>
      <c r="F33" s="135">
        <f t="shared" si="1"/>
        <v>51.024393174717616</v>
      </c>
      <c r="G33" s="133">
        <f t="shared" si="11"/>
        <v>0</v>
      </c>
      <c r="H33" s="133">
        <f t="shared" si="11"/>
        <v>0</v>
      </c>
      <c r="I33" s="135">
        <f t="shared" si="4"/>
        <v>51.024393174717616</v>
      </c>
      <c r="J33" s="135">
        <f t="shared" si="2"/>
        <v>169.85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111.28</v>
      </c>
      <c r="E34" s="133">
        <f t="shared" si="10"/>
        <v>62</v>
      </c>
      <c r="F34" s="135">
        <f t="shared" si="1"/>
        <v>52.054794520547951</v>
      </c>
      <c r="G34" s="133">
        <f t="shared" si="11"/>
        <v>0</v>
      </c>
      <c r="H34" s="133">
        <f t="shared" si="11"/>
        <v>0</v>
      </c>
      <c r="I34" s="135">
        <f t="shared" si="4"/>
        <v>52.054794520547951</v>
      </c>
      <c r="J34" s="135">
        <f t="shared" si="2"/>
        <v>173.28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113.55</v>
      </c>
      <c r="E35" s="133">
        <f t="shared" si="10"/>
        <v>63.26</v>
      </c>
      <c r="F35" s="135">
        <f t="shared" si="1"/>
        <v>53.115236721941848</v>
      </c>
      <c r="G35" s="133">
        <f t="shared" si="11"/>
        <v>0</v>
      </c>
      <c r="H35" s="133">
        <f t="shared" si="11"/>
        <v>0</v>
      </c>
      <c r="I35" s="135">
        <f t="shared" si="4"/>
        <v>53.115236721941848</v>
      </c>
      <c r="J35" s="135">
        <f t="shared" si="2"/>
        <v>176.81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115.89</v>
      </c>
      <c r="E36" s="133">
        <f t="shared" si="10"/>
        <v>64.56</v>
      </c>
      <c r="F36" s="135">
        <f t="shared" si="1"/>
        <v>54.208723864455663</v>
      </c>
      <c r="G36" s="133">
        <f t="shared" si="11"/>
        <v>0</v>
      </c>
      <c r="H36" s="133">
        <f t="shared" si="11"/>
        <v>0</v>
      </c>
      <c r="I36" s="135">
        <f t="shared" si="4"/>
        <v>54.208723864455663</v>
      </c>
      <c r="J36" s="135">
        <f t="shared" si="2"/>
        <v>180.45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1417.4139219193135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56.11</v>
      </c>
      <c r="F29" s="135">
        <f t="shared" si="1"/>
        <v>46.679265170178311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46.679265170178311</v>
      </c>
      <c r="J29" s="135">
        <f t="shared" si="2"/>
        <v>155.38999999999999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101.3</v>
      </c>
      <c r="E30" s="133">
        <f t="shared" si="10"/>
        <v>57.25</v>
      </c>
      <c r="F30" s="135">
        <f t="shared" si="1"/>
        <v>47.629776496034616</v>
      </c>
      <c r="G30" s="133">
        <f t="shared" si="11"/>
        <v>0</v>
      </c>
      <c r="H30" s="133">
        <f t="shared" si="11"/>
        <v>0</v>
      </c>
      <c r="I30" s="135">
        <f t="shared" si="4"/>
        <v>47.629776496034616</v>
      </c>
      <c r="J30" s="135">
        <f t="shared" si="2"/>
        <v>158.55000000000001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103.34</v>
      </c>
      <c r="E31" s="133">
        <f t="shared" si="10"/>
        <v>58.4</v>
      </c>
      <c r="F31" s="135">
        <f t="shared" si="1"/>
        <v>48.588079788512381</v>
      </c>
      <c r="G31" s="133">
        <f t="shared" si="11"/>
        <v>0</v>
      </c>
      <c r="H31" s="133">
        <f t="shared" si="11"/>
        <v>0</v>
      </c>
      <c r="I31" s="135">
        <f t="shared" si="4"/>
        <v>48.588079788512381</v>
      </c>
      <c r="J31" s="135">
        <f t="shared" si="2"/>
        <v>161.74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105.4</v>
      </c>
      <c r="E32" s="133">
        <f t="shared" si="10"/>
        <v>59.57</v>
      </c>
      <c r="F32" s="135">
        <f t="shared" si="1"/>
        <v>49.558399423215576</v>
      </c>
      <c r="G32" s="133">
        <f t="shared" si="11"/>
        <v>0</v>
      </c>
      <c r="H32" s="133">
        <f t="shared" si="11"/>
        <v>0</v>
      </c>
      <c r="I32" s="135">
        <f t="shared" si="4"/>
        <v>49.558399423215576</v>
      </c>
      <c r="J32" s="135">
        <f t="shared" si="2"/>
        <v>164.97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107.52</v>
      </c>
      <c r="E33" s="133">
        <f t="shared" si="10"/>
        <v>60.77</v>
      </c>
      <c r="F33" s="135">
        <f t="shared" si="1"/>
        <v>50.555755827925978</v>
      </c>
      <c r="G33" s="133">
        <f t="shared" si="11"/>
        <v>0</v>
      </c>
      <c r="H33" s="133">
        <f t="shared" si="11"/>
        <v>0</v>
      </c>
      <c r="I33" s="135">
        <f t="shared" si="4"/>
        <v>50.555755827925978</v>
      </c>
      <c r="J33" s="135">
        <f t="shared" si="2"/>
        <v>168.29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109.69</v>
      </c>
      <c r="E34" s="133">
        <f t="shared" si="10"/>
        <v>62</v>
      </c>
      <c r="F34" s="135">
        <f t="shared" si="1"/>
        <v>51.577144917087239</v>
      </c>
      <c r="G34" s="133">
        <f t="shared" si="11"/>
        <v>0</v>
      </c>
      <c r="H34" s="133">
        <f t="shared" si="11"/>
        <v>0</v>
      </c>
      <c r="I34" s="135">
        <f t="shared" si="4"/>
        <v>51.577144917087239</v>
      </c>
      <c r="J34" s="135">
        <f t="shared" si="2"/>
        <v>171.69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111.93</v>
      </c>
      <c r="E35" s="133">
        <f t="shared" si="10"/>
        <v>63.26</v>
      </c>
      <c r="F35" s="135">
        <f t="shared" si="1"/>
        <v>52.628574861812069</v>
      </c>
      <c r="G35" s="133">
        <f t="shared" si="11"/>
        <v>0</v>
      </c>
      <c r="H35" s="133">
        <f t="shared" si="11"/>
        <v>0</v>
      </c>
      <c r="I35" s="135">
        <f t="shared" si="4"/>
        <v>52.628574861812069</v>
      </c>
      <c r="J35" s="135">
        <f t="shared" si="2"/>
        <v>175.19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114.24</v>
      </c>
      <c r="E36" s="133">
        <f t="shared" si="10"/>
        <v>64.56</v>
      </c>
      <c r="F36" s="135">
        <f t="shared" si="1"/>
        <v>53.713049747656818</v>
      </c>
      <c r="G36" s="133">
        <f t="shared" si="11"/>
        <v>0</v>
      </c>
      <c r="H36" s="133">
        <f t="shared" si="11"/>
        <v>0</v>
      </c>
      <c r="I36" s="135">
        <f t="shared" si="4"/>
        <v>53.713049747656818</v>
      </c>
      <c r="J36" s="135">
        <f t="shared" si="2"/>
        <v>178.8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1397.0737350359179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90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38.32</v>
      </c>
      <c r="F12" s="135">
        <f t="shared" si="1"/>
        <v>14.111062012078364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14.111062012078364</v>
      </c>
      <c r="J12" s="135">
        <f t="shared" si="3"/>
        <v>38.32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39.200000000000003</v>
      </c>
      <c r="F13" s="135">
        <f t="shared" si="1"/>
        <v>14.435115628222126</v>
      </c>
      <c r="G13" s="133">
        <f t="shared" si="5"/>
        <v>0</v>
      </c>
      <c r="H13" s="143">
        <f t="shared" si="5"/>
        <v>0</v>
      </c>
      <c r="I13" s="135">
        <f t="shared" si="2"/>
        <v>14.435115628222126</v>
      </c>
      <c r="J13" s="135">
        <f t="shared" si="3"/>
        <v>39.200000000000003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40.24</v>
      </c>
      <c r="F14" s="135">
        <f t="shared" si="1"/>
        <v>14.818088083664753</v>
      </c>
      <c r="G14" s="133">
        <f t="shared" si="5"/>
        <v>0</v>
      </c>
      <c r="H14" s="143">
        <f t="shared" si="5"/>
        <v>0</v>
      </c>
      <c r="I14" s="135">
        <f t="shared" si="2"/>
        <v>14.818088083664753</v>
      </c>
      <c r="J14" s="135">
        <f t="shared" si="3"/>
        <v>40.24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41.3</v>
      </c>
      <c r="F15" s="135">
        <f t="shared" si="1"/>
        <v>15.208425394019738</v>
      </c>
      <c r="G15" s="133">
        <f t="shared" si="5"/>
        <v>0</v>
      </c>
      <c r="H15" s="143">
        <f t="shared" si="5"/>
        <v>0</v>
      </c>
      <c r="I15" s="135">
        <f t="shared" si="2"/>
        <v>15.208425394019738</v>
      </c>
      <c r="J15" s="135">
        <f t="shared" si="3"/>
        <v>41.3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42.34</v>
      </c>
      <c r="F16" s="135">
        <f t="shared" si="1"/>
        <v>15.591397849462368</v>
      </c>
      <c r="G16" s="133">
        <f t="shared" si="5"/>
        <v>0</v>
      </c>
      <c r="H16" s="143">
        <f t="shared" si="5"/>
        <v>0</v>
      </c>
      <c r="I16" s="135">
        <f t="shared" si="2"/>
        <v>15.591397849462368</v>
      </c>
      <c r="J16" s="135">
        <f t="shared" si="3"/>
        <v>42.34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43.35</v>
      </c>
      <c r="F17" s="135">
        <f t="shared" si="1"/>
        <v>15.963323022536457</v>
      </c>
      <c r="G17" s="133">
        <f t="shared" si="5"/>
        <v>0</v>
      </c>
      <c r="H17" s="143">
        <f t="shared" si="5"/>
        <v>0</v>
      </c>
      <c r="I17" s="135">
        <f t="shared" si="2"/>
        <v>15.963323022536457</v>
      </c>
      <c r="J17" s="135">
        <f t="shared" si="3"/>
        <v>43.35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44.36</v>
      </c>
      <c r="F18" s="135">
        <f t="shared" si="1"/>
        <v>16.335248195610546</v>
      </c>
      <c r="G18" s="133">
        <f t="shared" si="5"/>
        <v>0</v>
      </c>
      <c r="H18" s="143">
        <f t="shared" si="5"/>
        <v>0</v>
      </c>
      <c r="I18" s="135">
        <f t="shared" si="2"/>
        <v>16.335248195610546</v>
      </c>
      <c r="J18" s="135">
        <f t="shared" si="3"/>
        <v>44.36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45.39</v>
      </c>
      <c r="F19" s="135">
        <f t="shared" si="1"/>
        <v>16.714538223596996</v>
      </c>
      <c r="G19" s="133">
        <f t="shared" si="5"/>
        <v>0</v>
      </c>
      <c r="H19" s="143">
        <f t="shared" si="5"/>
        <v>0</v>
      </c>
      <c r="I19" s="135">
        <f t="shared" si="2"/>
        <v>16.714538223596996</v>
      </c>
      <c r="J19" s="135">
        <f t="shared" si="3"/>
        <v>45.39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46.42</v>
      </c>
      <c r="F20" s="135">
        <f t="shared" si="1"/>
        <v>17.093828251583446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17.093828251583446</v>
      </c>
      <c r="J20" s="135">
        <f t="shared" si="3"/>
        <v>46.42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47.44</v>
      </c>
      <c r="F21" s="135">
        <f t="shared" si="1"/>
        <v>17.469435852113715</v>
      </c>
      <c r="G21" s="133">
        <f t="shared" si="9"/>
        <v>0</v>
      </c>
      <c r="H21" s="143">
        <f t="shared" si="9"/>
        <v>0</v>
      </c>
      <c r="I21" s="135">
        <f t="shared" si="2"/>
        <v>17.469435852113715</v>
      </c>
      <c r="J21" s="135">
        <f t="shared" si="3"/>
        <v>47.44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48.47</v>
      </c>
      <c r="F22" s="135">
        <f t="shared" si="1"/>
        <v>17.848725880100162</v>
      </c>
      <c r="G22" s="133">
        <f t="shared" si="9"/>
        <v>0</v>
      </c>
      <c r="H22" s="143">
        <f t="shared" si="9"/>
        <v>0</v>
      </c>
      <c r="I22" s="135">
        <f t="shared" si="2"/>
        <v>17.848725880100162</v>
      </c>
      <c r="J22" s="135">
        <f t="shared" si="3"/>
        <v>48.47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49.53</v>
      </c>
      <c r="F23" s="135">
        <f t="shared" si="1"/>
        <v>18.239063190455148</v>
      </c>
      <c r="G23" s="133">
        <f t="shared" si="9"/>
        <v>0</v>
      </c>
      <c r="H23" s="143">
        <f t="shared" si="9"/>
        <v>0</v>
      </c>
      <c r="I23" s="135">
        <f t="shared" si="2"/>
        <v>18.239063190455148</v>
      </c>
      <c r="J23" s="135">
        <f t="shared" si="3"/>
        <v>49.53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50.61</v>
      </c>
      <c r="F24" s="135">
        <f t="shared" si="1"/>
        <v>18.636765355722492</v>
      </c>
      <c r="G24" s="133">
        <f t="shared" si="9"/>
        <v>0</v>
      </c>
      <c r="H24" s="143">
        <f t="shared" si="9"/>
        <v>0</v>
      </c>
      <c r="I24" s="135">
        <f t="shared" si="2"/>
        <v>18.636765355722492</v>
      </c>
      <c r="J24" s="135">
        <f t="shared" si="3"/>
        <v>50.61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51.69</v>
      </c>
      <c r="F25" s="135">
        <f t="shared" si="1"/>
        <v>19.034467520989836</v>
      </c>
      <c r="G25" s="133">
        <f t="shared" si="9"/>
        <v>0</v>
      </c>
      <c r="H25" s="143">
        <f t="shared" si="9"/>
        <v>0</v>
      </c>
      <c r="I25" s="135">
        <f t="shared" si="2"/>
        <v>19.034467520989836</v>
      </c>
      <c r="J25" s="135">
        <f t="shared" si="3"/>
        <v>51.69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52.77</v>
      </c>
      <c r="F26" s="135">
        <f t="shared" si="1"/>
        <v>19.432169686257183</v>
      </c>
      <c r="G26" s="133">
        <f t="shared" si="9"/>
        <v>0</v>
      </c>
      <c r="H26" s="143">
        <f t="shared" si="9"/>
        <v>0</v>
      </c>
      <c r="I26" s="135">
        <f t="shared" si="2"/>
        <v>19.432169686257183</v>
      </c>
      <c r="J26" s="135">
        <f t="shared" si="3"/>
        <v>52.77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53.87</v>
      </c>
      <c r="F27" s="135">
        <f t="shared" si="1"/>
        <v>19.837236706436883</v>
      </c>
      <c r="G27" s="133">
        <f t="shared" si="9"/>
        <v>0</v>
      </c>
      <c r="H27" s="143">
        <f t="shared" si="9"/>
        <v>0</v>
      </c>
      <c r="I27" s="135">
        <f t="shared" si="2"/>
        <v>19.837236706436883</v>
      </c>
      <c r="J27" s="135">
        <f t="shared" si="3"/>
        <v>53.87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54.98</v>
      </c>
      <c r="F28" s="135">
        <f t="shared" si="1"/>
        <v>20.245986154072764</v>
      </c>
      <c r="G28" s="133">
        <f t="shared" si="9"/>
        <v>0</v>
      </c>
      <c r="H28" s="143">
        <f t="shared" si="9"/>
        <v>0</v>
      </c>
      <c r="I28" s="135">
        <f t="shared" si="2"/>
        <v>20.245986154072764</v>
      </c>
      <c r="J28" s="135">
        <f t="shared" si="3"/>
        <v>54.98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56.11</v>
      </c>
      <c r="F29" s="135">
        <f t="shared" si="1"/>
        <v>20.662100456621005</v>
      </c>
      <c r="G29" s="133">
        <f>ROUND(G28*(1+$K66),2)</f>
        <v>0</v>
      </c>
      <c r="H29" s="143">
        <f>ROUND(H28*(1+$K66),2)</f>
        <v>0</v>
      </c>
      <c r="I29" s="135">
        <f t="shared" si="2"/>
        <v>20.662100456621005</v>
      </c>
      <c r="J29" s="135">
        <f t="shared" si="3"/>
        <v>56.11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57.25</v>
      </c>
      <c r="F30" s="135">
        <f t="shared" si="1"/>
        <v>56.924743698322573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56.924743698322573</v>
      </c>
      <c r="J30" s="135">
        <f t="shared" si="3"/>
        <v>154.58000000000001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</v>
      </c>
      <c r="E31" s="133">
        <f t="shared" si="12"/>
        <v>58.4</v>
      </c>
      <c r="F31" s="135">
        <f t="shared" si="1"/>
        <v>58.071880983944617</v>
      </c>
      <c r="G31" s="133">
        <f t="shared" si="13"/>
        <v>0</v>
      </c>
      <c r="H31" s="143">
        <f t="shared" si="13"/>
        <v>0</v>
      </c>
      <c r="I31" s="135">
        <f t="shared" si="2"/>
        <v>58.071880983944617</v>
      </c>
      <c r="J31" s="135">
        <f t="shared" si="3"/>
        <v>157.69999999999999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101.28</v>
      </c>
      <c r="E32" s="133">
        <f t="shared" si="12"/>
        <v>59.57</v>
      </c>
      <c r="F32" s="135">
        <f t="shared" si="1"/>
        <v>59.23184563264104</v>
      </c>
      <c r="G32" s="133">
        <f t="shared" si="13"/>
        <v>0</v>
      </c>
      <c r="H32" s="143">
        <f t="shared" si="13"/>
        <v>0</v>
      </c>
      <c r="I32" s="135">
        <f t="shared" si="2"/>
        <v>59.23184563264104</v>
      </c>
      <c r="J32" s="135">
        <f t="shared" si="3"/>
        <v>160.85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103.31</v>
      </c>
      <c r="E33" s="133">
        <f t="shared" si="12"/>
        <v>60.77</v>
      </c>
      <c r="F33" s="135">
        <f t="shared" si="1"/>
        <v>60.421269700986898</v>
      </c>
      <c r="G33" s="133">
        <f t="shared" si="13"/>
        <v>0</v>
      </c>
      <c r="H33" s="143">
        <f t="shared" si="13"/>
        <v>0</v>
      </c>
      <c r="I33" s="135">
        <f t="shared" si="2"/>
        <v>60.421269700986898</v>
      </c>
      <c r="J33" s="135">
        <f t="shared" si="3"/>
        <v>164.08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105.39</v>
      </c>
      <c r="E34" s="133">
        <f t="shared" si="12"/>
        <v>62</v>
      </c>
      <c r="F34" s="135">
        <f t="shared" si="1"/>
        <v>61.640153188982175</v>
      </c>
      <c r="G34" s="133">
        <f t="shared" si="13"/>
        <v>0</v>
      </c>
      <c r="H34" s="143">
        <f t="shared" si="13"/>
        <v>0</v>
      </c>
      <c r="I34" s="135">
        <f t="shared" si="2"/>
        <v>61.640153188982175</v>
      </c>
      <c r="J34" s="135">
        <f t="shared" si="3"/>
        <v>167.39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107.54</v>
      </c>
      <c r="E35" s="133">
        <f t="shared" si="12"/>
        <v>63.26</v>
      </c>
      <c r="F35" s="135">
        <f t="shared" si="1"/>
        <v>62.895860951539262</v>
      </c>
      <c r="G35" s="133">
        <f t="shared" si="13"/>
        <v>0</v>
      </c>
      <c r="H35" s="143">
        <f t="shared" si="13"/>
        <v>0</v>
      </c>
      <c r="I35" s="135">
        <f t="shared" si="2"/>
        <v>62.895860951539262</v>
      </c>
      <c r="J35" s="135">
        <f t="shared" si="3"/>
        <v>170.8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109.76</v>
      </c>
      <c r="E36" s="133">
        <f t="shared" si="12"/>
        <v>64.56</v>
      </c>
      <c r="F36" s="135">
        <f t="shared" si="1"/>
        <v>64.192075416114307</v>
      </c>
      <c r="G36" s="133">
        <f t="shared" si="13"/>
        <v>0</v>
      </c>
      <c r="H36" s="143">
        <f t="shared" si="13"/>
        <v>0</v>
      </c>
      <c r="I36" s="135">
        <f t="shared" si="2"/>
        <v>64.192075416114307</v>
      </c>
      <c r="J36" s="135">
        <f t="shared" si="3"/>
        <v>174.32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128</v>
      </c>
      <c r="C55" s="186">
        <v>1369.7572941249264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6">C66+1</f>
        <v>2018</v>
      </c>
      <c r="D67" s="41">
        <v>2.00162222805087E-2</v>
      </c>
      <c r="E67" s="86"/>
      <c r="F67" s="88">
        <f t="shared" ref="F67:F74" si="17">F66+1</f>
        <v>2027</v>
      </c>
      <c r="G67" s="41">
        <v>2.2017580891201094E-2</v>
      </c>
      <c r="H67" s="86"/>
      <c r="I67" s="88">
        <f t="shared" ref="I67:I74" si="18">I66+1</f>
        <v>2036</v>
      </c>
      <c r="J67" s="88"/>
      <c r="K67" s="41">
        <v>2.0338413275796441E-2</v>
      </c>
    </row>
    <row r="68" spans="3:11">
      <c r="C68" s="88">
        <f t="shared" si="16"/>
        <v>2019</v>
      </c>
      <c r="D68" s="41">
        <v>2.3023767536204609E-2</v>
      </c>
      <c r="E68" s="86"/>
      <c r="F68" s="88">
        <f t="shared" si="17"/>
        <v>2028</v>
      </c>
      <c r="G68" s="41">
        <v>2.1672038954803963E-2</v>
      </c>
      <c r="H68" s="86"/>
      <c r="I68" s="88">
        <f t="shared" si="18"/>
        <v>2037</v>
      </c>
      <c r="J68" s="88"/>
      <c r="K68" s="41">
        <v>2.0148107799243142E-2</v>
      </c>
    </row>
    <row r="69" spans="3:11">
      <c r="C69" s="88">
        <f t="shared" si="16"/>
        <v>2020</v>
      </c>
      <c r="D69" s="41">
        <v>2.6569957493475238E-2</v>
      </c>
      <c r="E69" s="86"/>
      <c r="F69" s="88">
        <f t="shared" si="17"/>
        <v>2029</v>
      </c>
      <c r="G69" s="41">
        <v>2.1882861611237647E-2</v>
      </c>
      <c r="H69" s="86"/>
      <c r="I69" s="88">
        <f t="shared" si="18"/>
        <v>2038</v>
      </c>
      <c r="J69" s="88"/>
      <c r="K69" s="41">
        <v>1.9981989666423283E-2</v>
      </c>
    </row>
    <row r="70" spans="3:11">
      <c r="C70" s="88">
        <f t="shared" si="16"/>
        <v>2021</v>
      </c>
      <c r="D70" s="41">
        <v>2.633678201148415E-2</v>
      </c>
      <c r="E70" s="86"/>
      <c r="F70" s="88">
        <f t="shared" si="17"/>
        <v>2030</v>
      </c>
      <c r="G70" s="41">
        <v>2.1716430930730724E-2</v>
      </c>
      <c r="H70" s="86"/>
      <c r="I70" s="88">
        <f t="shared" si="18"/>
        <v>2039</v>
      </c>
      <c r="J70" s="88"/>
      <c r="K70" s="41">
        <v>2.0091958569135482E-2</v>
      </c>
    </row>
    <row r="71" spans="3:11">
      <c r="C71" s="88">
        <f t="shared" si="16"/>
        <v>2022</v>
      </c>
      <c r="D71" s="41">
        <v>2.5190838317338926E-2</v>
      </c>
      <c r="E71" s="86"/>
      <c r="F71" s="88">
        <f t="shared" si="17"/>
        <v>2031</v>
      </c>
      <c r="G71" s="41">
        <v>2.1283257880358342E-2</v>
      </c>
      <c r="H71" s="86"/>
      <c r="I71" s="88">
        <f t="shared" si="18"/>
        <v>2040</v>
      </c>
      <c r="J71" s="88"/>
      <c r="K71" s="41">
        <v>2.016857640433245E-2</v>
      </c>
    </row>
    <row r="72" spans="3:11" s="124" customFormat="1">
      <c r="C72" s="88">
        <f t="shared" si="16"/>
        <v>2023</v>
      </c>
      <c r="D72" s="41">
        <v>2.3861027991437966E-2</v>
      </c>
      <c r="E72" s="87"/>
      <c r="F72" s="88">
        <f t="shared" si="17"/>
        <v>2032</v>
      </c>
      <c r="G72" s="41">
        <v>2.092650190640466E-2</v>
      </c>
      <c r="H72" s="87"/>
      <c r="I72" s="88">
        <f t="shared" si="18"/>
        <v>2041</v>
      </c>
      <c r="J72" s="88"/>
      <c r="K72" s="41">
        <v>2.0388834681983159E-2</v>
      </c>
    </row>
    <row r="73" spans="3:11" s="124" customFormat="1">
      <c r="C73" s="88">
        <f t="shared" si="16"/>
        <v>2024</v>
      </c>
      <c r="D73" s="41">
        <v>2.3386119938164196E-2</v>
      </c>
      <c r="E73" s="87"/>
      <c r="F73" s="88">
        <f t="shared" si="17"/>
        <v>2033</v>
      </c>
      <c r="G73" s="41">
        <v>2.0801762320284523E-2</v>
      </c>
      <c r="H73" s="87"/>
      <c r="I73" s="88">
        <f t="shared" si="18"/>
        <v>2042</v>
      </c>
      <c r="J73" s="88"/>
      <c r="K73" s="41">
        <v>2.0623380610534037E-2</v>
      </c>
    </row>
    <row r="74" spans="3:11" s="124" customFormat="1">
      <c r="C74" s="88">
        <f t="shared" si="16"/>
        <v>2025</v>
      </c>
      <c r="D74" s="41">
        <v>2.3124371179134462E-2</v>
      </c>
      <c r="E74" s="87"/>
      <c r="F74" s="88">
        <f t="shared" si="17"/>
        <v>2034</v>
      </c>
      <c r="G74" s="41">
        <v>2.065772177898717E-2</v>
      </c>
      <c r="H74" s="87"/>
      <c r="I74" s="88">
        <f t="shared" si="18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6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6"/>
        <v>0</v>
      </c>
      <c r="I15" s="135">
        <f t="shared" si="2"/>
        <v>9.4487539197887447</v>
      </c>
      <c r="J15" s="135">
        <f t="shared" si="3"/>
        <v>20.61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6"/>
        <v>0</v>
      </c>
      <c r="I16" s="135">
        <f t="shared" si="2"/>
        <v>9.6871504281968051</v>
      </c>
      <c r="J16" s="135">
        <f t="shared" si="3"/>
        <v>21.13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6"/>
        <v>0</v>
      </c>
      <c r="I17" s="135">
        <f t="shared" si="2"/>
        <v>9.9163778401276339</v>
      </c>
      <c r="J17" s="135">
        <f t="shared" si="3"/>
        <v>21.63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6"/>
        <v>0</v>
      </c>
      <c r="I18" s="135">
        <f t="shared" si="2"/>
        <v>10.150189800297079</v>
      </c>
      <c r="J18" s="135">
        <f t="shared" si="3"/>
        <v>22.14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6"/>
        <v>0</v>
      </c>
      <c r="I19" s="135">
        <f t="shared" si="2"/>
        <v>10.384001760466523</v>
      </c>
      <c r="J19" s="135">
        <f t="shared" si="3"/>
        <v>22.65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23.17</v>
      </c>
      <c r="F20" s="135">
        <f t="shared" si="1"/>
        <v>10.622398268874587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23.68</v>
      </c>
      <c r="F21" s="135">
        <f t="shared" si="1"/>
        <v>10.856210229044031</v>
      </c>
      <c r="G21" s="133">
        <f t="shared" si="9"/>
        <v>0</v>
      </c>
      <c r="H21" s="143">
        <f t="shared" si="10"/>
        <v>0</v>
      </c>
      <c r="I21" s="135">
        <f t="shared" si="2"/>
        <v>10.856210229044031</v>
      </c>
      <c r="J21" s="135">
        <f t="shared" si="3"/>
        <v>23.68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24.19</v>
      </c>
      <c r="F22" s="135">
        <f t="shared" si="1"/>
        <v>11.090022189213476</v>
      </c>
      <c r="G22" s="133">
        <f t="shared" si="9"/>
        <v>0</v>
      </c>
      <c r="H22" s="143">
        <f t="shared" si="10"/>
        <v>0</v>
      </c>
      <c r="I22" s="135">
        <f t="shared" si="2"/>
        <v>11.090022189213476</v>
      </c>
      <c r="J22" s="135">
        <f t="shared" si="3"/>
        <v>24.19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24.72</v>
      </c>
      <c r="F23" s="135">
        <f t="shared" si="1"/>
        <v>11.333003245860153</v>
      </c>
      <c r="G23" s="133">
        <f t="shared" si="9"/>
        <v>0</v>
      </c>
      <c r="H23" s="143">
        <f t="shared" si="10"/>
        <v>0</v>
      </c>
      <c r="I23" s="135">
        <f t="shared" si="2"/>
        <v>11.333003245860153</v>
      </c>
      <c r="J23" s="135">
        <f t="shared" si="3"/>
        <v>24.72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25.26</v>
      </c>
      <c r="F24" s="135">
        <f t="shared" si="1"/>
        <v>53.78467983937189</v>
      </c>
      <c r="G24" s="133">
        <f t="shared" si="9"/>
        <v>0</v>
      </c>
      <c r="H24" s="143">
        <f t="shared" si="10"/>
        <v>0</v>
      </c>
      <c r="I24" s="135">
        <f t="shared" si="2"/>
        <v>53.78467983937189</v>
      </c>
      <c r="J24" s="135">
        <f t="shared" si="3"/>
        <v>117.32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94.02</v>
      </c>
      <c r="E25" s="133">
        <f t="shared" si="8"/>
        <v>25.8</v>
      </c>
      <c r="F25" s="135">
        <f t="shared" si="1"/>
        <v>54.9320569951037</v>
      </c>
      <c r="G25" s="133">
        <f t="shared" si="9"/>
        <v>0</v>
      </c>
      <c r="H25" s="143">
        <f t="shared" si="10"/>
        <v>0</v>
      </c>
      <c r="I25" s="135">
        <f t="shared" si="2"/>
        <v>54.9320569951037</v>
      </c>
      <c r="J25" s="135">
        <f t="shared" si="3"/>
        <v>119.82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95.99</v>
      </c>
      <c r="E26" s="133">
        <f t="shared" si="8"/>
        <v>26.34</v>
      </c>
      <c r="F26" s="135">
        <f t="shared" si="1"/>
        <v>56.082778602996463</v>
      </c>
      <c r="G26" s="133">
        <f t="shared" si="9"/>
        <v>0</v>
      </c>
      <c r="H26" s="143">
        <f t="shared" si="10"/>
        <v>0</v>
      </c>
      <c r="I26" s="135">
        <f t="shared" si="2"/>
        <v>56.082778602996463</v>
      </c>
      <c r="J26" s="135">
        <f t="shared" si="3"/>
        <v>122.33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97.99</v>
      </c>
      <c r="E27" s="133">
        <f t="shared" si="8"/>
        <v>26.89</v>
      </c>
      <c r="F27" s="135">
        <f t="shared" si="1"/>
        <v>57.251838403843685</v>
      </c>
      <c r="G27" s="133">
        <f t="shared" si="9"/>
        <v>0</v>
      </c>
      <c r="H27" s="143">
        <f t="shared" si="10"/>
        <v>0</v>
      </c>
      <c r="I27" s="135">
        <f t="shared" si="2"/>
        <v>57.251838403843685</v>
      </c>
      <c r="J27" s="135">
        <f t="shared" si="3"/>
        <v>124.88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100.01</v>
      </c>
      <c r="E28" s="133">
        <f t="shared" si="8"/>
        <v>27.45</v>
      </c>
      <c r="F28" s="135">
        <f t="shared" si="1"/>
        <v>58.434651849406769</v>
      </c>
      <c r="G28" s="133">
        <f t="shared" si="9"/>
        <v>0</v>
      </c>
      <c r="H28" s="143">
        <f t="shared" si="10"/>
        <v>0</v>
      </c>
      <c r="I28" s="135">
        <f t="shared" si="2"/>
        <v>58.434651849406769</v>
      </c>
      <c r="J28" s="135">
        <f t="shared" si="3"/>
        <v>127.46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102.06</v>
      </c>
      <c r="E29" s="133">
        <f t="shared" si="13"/>
        <v>28.01</v>
      </c>
      <c r="F29" s="135">
        <f t="shared" si="1"/>
        <v>59.631218939685688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59.631218939685688</v>
      </c>
      <c r="J29" s="135">
        <f t="shared" si="3"/>
        <v>130.07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104.14</v>
      </c>
      <c r="E30" s="133">
        <f t="shared" si="13"/>
        <v>28.58</v>
      </c>
      <c r="F30" s="135">
        <f t="shared" si="1"/>
        <v>60.84612422291908</v>
      </c>
      <c r="G30" s="133">
        <f t="shared" si="14"/>
        <v>0</v>
      </c>
      <c r="H30" s="143">
        <f t="shared" si="14"/>
        <v>0</v>
      </c>
      <c r="I30" s="135">
        <f t="shared" si="2"/>
        <v>60.84612422291908</v>
      </c>
      <c r="J30" s="135">
        <f t="shared" si="3"/>
        <v>132.72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106.24</v>
      </c>
      <c r="E31" s="133">
        <f t="shared" si="13"/>
        <v>29.16</v>
      </c>
      <c r="F31" s="135">
        <f t="shared" si="1"/>
        <v>62.074783150868321</v>
      </c>
      <c r="G31" s="133">
        <f t="shared" si="14"/>
        <v>0</v>
      </c>
      <c r="H31" s="143">
        <f t="shared" si="14"/>
        <v>0</v>
      </c>
      <c r="I31" s="135">
        <f t="shared" si="2"/>
        <v>62.074783150868321</v>
      </c>
      <c r="J31" s="135">
        <f t="shared" si="3"/>
        <v>135.4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108.36</v>
      </c>
      <c r="E32" s="133">
        <f t="shared" si="13"/>
        <v>29.74</v>
      </c>
      <c r="F32" s="135">
        <f t="shared" si="1"/>
        <v>63.312611175294791</v>
      </c>
      <c r="G32" s="133">
        <f t="shared" si="14"/>
        <v>0</v>
      </c>
      <c r="H32" s="143">
        <f t="shared" si="14"/>
        <v>0</v>
      </c>
      <c r="I32" s="135">
        <f t="shared" si="2"/>
        <v>63.312611175294791</v>
      </c>
      <c r="J32" s="135">
        <f t="shared" si="3"/>
        <v>138.1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110.54</v>
      </c>
      <c r="E33" s="133">
        <f t="shared" si="13"/>
        <v>30.34</v>
      </c>
      <c r="F33" s="135">
        <f t="shared" si="1"/>
        <v>64.587115585630201</v>
      </c>
      <c r="G33" s="133">
        <f t="shared" si="14"/>
        <v>0</v>
      </c>
      <c r="H33" s="143">
        <f t="shared" si="14"/>
        <v>0</v>
      </c>
      <c r="I33" s="135">
        <f t="shared" si="2"/>
        <v>64.587115585630201</v>
      </c>
      <c r="J33" s="135">
        <f t="shared" si="3"/>
        <v>140.88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112.77</v>
      </c>
      <c r="E34" s="133">
        <f t="shared" si="13"/>
        <v>30.95</v>
      </c>
      <c r="F34" s="135">
        <f t="shared" si="1"/>
        <v>65.889127285397308</v>
      </c>
      <c r="G34" s="133">
        <f t="shared" si="14"/>
        <v>0</v>
      </c>
      <c r="H34" s="143">
        <f t="shared" si="14"/>
        <v>0</v>
      </c>
      <c r="I34" s="135">
        <f t="shared" si="2"/>
        <v>65.889127285397308</v>
      </c>
      <c r="J34" s="135">
        <f t="shared" si="3"/>
        <v>143.72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115.07</v>
      </c>
      <c r="E35" s="133">
        <f t="shared" si="13"/>
        <v>31.58</v>
      </c>
      <c r="F35" s="135">
        <f t="shared" si="1"/>
        <v>67.232399919311945</v>
      </c>
      <c r="G35" s="133">
        <f t="shared" si="14"/>
        <v>0</v>
      </c>
      <c r="H35" s="143">
        <f t="shared" si="14"/>
        <v>0</v>
      </c>
      <c r="I35" s="135">
        <f t="shared" si="2"/>
        <v>67.232399919311945</v>
      </c>
      <c r="J35" s="135">
        <f t="shared" si="3"/>
        <v>146.65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117.44</v>
      </c>
      <c r="E36" s="133">
        <f t="shared" si="13"/>
        <v>32.229999999999997</v>
      </c>
      <c r="F36" s="135">
        <f t="shared" si="1"/>
        <v>68.616933487374155</v>
      </c>
      <c r="G36" s="133">
        <f t="shared" si="14"/>
        <v>0</v>
      </c>
      <c r="H36" s="143">
        <f t="shared" si="14"/>
        <v>0</v>
      </c>
      <c r="I36" s="135">
        <f t="shared" si="2"/>
        <v>68.616933487374155</v>
      </c>
      <c r="J36" s="135">
        <f t="shared" si="3"/>
        <v>149.66999999999999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1192.5044909019937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6">C66+1</f>
        <v>2018</v>
      </c>
      <c r="D67" s="41">
        <v>2.00162222805087E-2</v>
      </c>
      <c r="E67" s="86"/>
      <c r="F67" s="88">
        <f t="shared" ref="F67:F74" si="17">F66+1</f>
        <v>2027</v>
      </c>
      <c r="G67" s="41">
        <v>2.2017580891201094E-2</v>
      </c>
      <c r="H67" s="86"/>
      <c r="I67" s="88">
        <f t="shared" ref="I67:I74" si="18">I66+1</f>
        <v>2036</v>
      </c>
      <c r="J67" s="88"/>
      <c r="K67" s="41">
        <v>2.0338413275796441E-2</v>
      </c>
    </row>
    <row r="68" spans="3:11">
      <c r="C68" s="88">
        <f t="shared" si="16"/>
        <v>2019</v>
      </c>
      <c r="D68" s="41">
        <v>2.3023767536204609E-2</v>
      </c>
      <c r="E68" s="86"/>
      <c r="F68" s="88">
        <f t="shared" si="17"/>
        <v>2028</v>
      </c>
      <c r="G68" s="41">
        <v>2.1672038954803963E-2</v>
      </c>
      <c r="H68" s="86"/>
      <c r="I68" s="88">
        <f t="shared" si="18"/>
        <v>2037</v>
      </c>
      <c r="J68" s="88"/>
      <c r="K68" s="41">
        <v>2.0148107799243142E-2</v>
      </c>
    </row>
    <row r="69" spans="3:11">
      <c r="C69" s="88">
        <f t="shared" si="16"/>
        <v>2020</v>
      </c>
      <c r="D69" s="41">
        <v>2.6569957493475238E-2</v>
      </c>
      <c r="E69" s="86"/>
      <c r="F69" s="88">
        <f t="shared" si="17"/>
        <v>2029</v>
      </c>
      <c r="G69" s="41">
        <v>2.1882861611237647E-2</v>
      </c>
      <c r="H69" s="86"/>
      <c r="I69" s="88">
        <f t="shared" si="18"/>
        <v>2038</v>
      </c>
      <c r="J69" s="88"/>
      <c r="K69" s="41">
        <v>1.9981989666423283E-2</v>
      </c>
    </row>
    <row r="70" spans="3:11">
      <c r="C70" s="88">
        <f t="shared" si="16"/>
        <v>2021</v>
      </c>
      <c r="D70" s="41">
        <v>2.633678201148415E-2</v>
      </c>
      <c r="E70" s="86"/>
      <c r="F70" s="88">
        <f t="shared" si="17"/>
        <v>2030</v>
      </c>
      <c r="G70" s="41">
        <v>2.1716430930730724E-2</v>
      </c>
      <c r="H70" s="86"/>
      <c r="I70" s="88">
        <f t="shared" si="18"/>
        <v>2039</v>
      </c>
      <c r="J70" s="88"/>
      <c r="K70" s="41">
        <v>2.0091958569135482E-2</v>
      </c>
    </row>
    <row r="71" spans="3:11">
      <c r="C71" s="88">
        <f t="shared" si="16"/>
        <v>2022</v>
      </c>
      <c r="D71" s="41">
        <v>2.5190838317338926E-2</v>
      </c>
      <c r="E71" s="86"/>
      <c r="F71" s="88">
        <f t="shared" si="17"/>
        <v>2031</v>
      </c>
      <c r="G71" s="41">
        <v>2.1283257880358342E-2</v>
      </c>
      <c r="H71" s="86"/>
      <c r="I71" s="88">
        <f t="shared" si="18"/>
        <v>2040</v>
      </c>
      <c r="J71" s="88"/>
      <c r="K71" s="41">
        <v>2.016857640433245E-2</v>
      </c>
    </row>
    <row r="72" spans="3:11" s="124" customFormat="1">
      <c r="C72" s="88">
        <f t="shared" si="16"/>
        <v>2023</v>
      </c>
      <c r="D72" s="41">
        <v>2.3861027991437966E-2</v>
      </c>
      <c r="E72" s="87"/>
      <c r="F72" s="88">
        <f t="shared" si="17"/>
        <v>2032</v>
      </c>
      <c r="G72" s="41">
        <v>2.092650190640466E-2</v>
      </c>
      <c r="H72" s="87"/>
      <c r="I72" s="88">
        <f t="shared" si="18"/>
        <v>2041</v>
      </c>
      <c r="J72" s="88"/>
      <c r="K72" s="41">
        <v>2.0388834681983159E-2</v>
      </c>
    </row>
    <row r="73" spans="3:11" s="124" customFormat="1">
      <c r="C73" s="88">
        <f t="shared" si="16"/>
        <v>2024</v>
      </c>
      <c r="D73" s="41">
        <v>2.3386119938164196E-2</v>
      </c>
      <c r="E73" s="87"/>
      <c r="F73" s="88">
        <f t="shared" si="17"/>
        <v>2033</v>
      </c>
      <c r="G73" s="41">
        <v>2.0801762320284523E-2</v>
      </c>
      <c r="H73" s="87"/>
      <c r="I73" s="88">
        <f t="shared" si="18"/>
        <v>2042</v>
      </c>
      <c r="J73" s="88"/>
      <c r="K73" s="41">
        <v>2.0623380610534037E-2</v>
      </c>
    </row>
    <row r="74" spans="3:11" s="124" customFormat="1">
      <c r="C74" s="88">
        <f t="shared" si="16"/>
        <v>2025</v>
      </c>
      <c r="D74" s="41">
        <v>2.3124371179134462E-2</v>
      </c>
      <c r="E74" s="87"/>
      <c r="F74" s="88">
        <f t="shared" si="17"/>
        <v>2034</v>
      </c>
      <c r="G74" s="41">
        <v>2.065772177898717E-2</v>
      </c>
      <c r="H74" s="87"/>
      <c r="I74" s="88">
        <f t="shared" si="18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5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5"/>
        <v>0</v>
      </c>
      <c r="I15" s="135">
        <f t="shared" si="2"/>
        <v>9.4487539197887447</v>
      </c>
      <c r="J15" s="135">
        <f t="shared" si="3"/>
        <v>20.61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5"/>
        <v>0</v>
      </c>
      <c r="I16" s="135">
        <f t="shared" si="2"/>
        <v>9.6871504281968051</v>
      </c>
      <c r="J16" s="135">
        <f t="shared" si="3"/>
        <v>21.13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5"/>
        <v>0</v>
      </c>
      <c r="I17" s="135">
        <f t="shared" si="2"/>
        <v>9.9163778401276339</v>
      </c>
      <c r="J17" s="135">
        <f t="shared" si="3"/>
        <v>21.63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5"/>
        <v>0</v>
      </c>
      <c r="I18" s="135">
        <f t="shared" si="2"/>
        <v>10.150189800297079</v>
      </c>
      <c r="J18" s="135">
        <f t="shared" si="3"/>
        <v>22.14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5"/>
        <v>0</v>
      </c>
      <c r="I19" s="135">
        <f t="shared" si="2"/>
        <v>10.384001760466523</v>
      </c>
      <c r="J19" s="135">
        <f t="shared" si="3"/>
        <v>22.65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23.17</v>
      </c>
      <c r="F20" s="135">
        <f t="shared" si="1"/>
        <v>10.622398268874587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23.68</v>
      </c>
      <c r="F21" s="135">
        <f t="shared" si="1"/>
        <v>10.856210229044031</v>
      </c>
      <c r="G21" s="133">
        <f t="shared" si="8"/>
        <v>0</v>
      </c>
      <c r="H21" s="143">
        <f t="shared" si="8"/>
        <v>0</v>
      </c>
      <c r="I21" s="135">
        <f t="shared" si="2"/>
        <v>10.856210229044031</v>
      </c>
      <c r="J21" s="135">
        <f t="shared" si="3"/>
        <v>23.68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24.19</v>
      </c>
      <c r="F22" s="135">
        <f t="shared" si="1"/>
        <v>11.090022189213476</v>
      </c>
      <c r="G22" s="133">
        <f t="shared" si="8"/>
        <v>0</v>
      </c>
      <c r="H22" s="143">
        <f t="shared" si="8"/>
        <v>0</v>
      </c>
      <c r="I22" s="135">
        <f t="shared" si="2"/>
        <v>11.090022189213476</v>
      </c>
      <c r="J22" s="135">
        <f t="shared" si="3"/>
        <v>24.19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24.72</v>
      </c>
      <c r="F23" s="135">
        <f t="shared" si="1"/>
        <v>11.333003245860153</v>
      </c>
      <c r="G23" s="133">
        <f t="shared" si="8"/>
        <v>0</v>
      </c>
      <c r="H23" s="143">
        <f t="shared" si="8"/>
        <v>0</v>
      </c>
      <c r="I23" s="135">
        <f t="shared" si="2"/>
        <v>11.333003245860153</v>
      </c>
      <c r="J23" s="135">
        <f t="shared" si="3"/>
        <v>24.72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25.26</v>
      </c>
      <c r="F24" s="135">
        <f t="shared" si="1"/>
        <v>11.580568850745449</v>
      </c>
      <c r="G24" s="133">
        <f t="shared" si="8"/>
        <v>0</v>
      </c>
      <c r="H24" s="143">
        <f t="shared" si="8"/>
        <v>0</v>
      </c>
      <c r="I24" s="135">
        <f t="shared" si="2"/>
        <v>11.580568850745449</v>
      </c>
      <c r="J24" s="135">
        <f t="shared" si="3"/>
        <v>25.26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25.8</v>
      </c>
      <c r="F25" s="135">
        <f t="shared" si="1"/>
        <v>11.828134455630744</v>
      </c>
      <c r="G25" s="133">
        <f t="shared" si="8"/>
        <v>0</v>
      </c>
      <c r="H25" s="143">
        <f t="shared" si="8"/>
        <v>0</v>
      </c>
      <c r="I25" s="135">
        <f t="shared" si="2"/>
        <v>11.828134455630744</v>
      </c>
      <c r="J25" s="135">
        <f t="shared" si="3"/>
        <v>25.8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26.34</v>
      </c>
      <c r="F26" s="135">
        <f t="shared" si="1"/>
        <v>53.800055395438157</v>
      </c>
      <c r="G26" s="133">
        <f t="shared" si="8"/>
        <v>0</v>
      </c>
      <c r="H26" s="143">
        <f t="shared" si="8"/>
        <v>0</v>
      </c>
      <c r="I26" s="135">
        <f t="shared" si="2"/>
        <v>53.800055395438157</v>
      </c>
      <c r="J26" s="135">
        <f t="shared" si="3"/>
        <v>117.35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92.9</v>
      </c>
      <c r="E27" s="133">
        <f t="shared" si="7"/>
        <v>26.89</v>
      </c>
      <c r="F27" s="135">
        <f t="shared" si="1"/>
        <v>54.918303350387859</v>
      </c>
      <c r="G27" s="133">
        <f t="shared" si="8"/>
        <v>0</v>
      </c>
      <c r="H27" s="143">
        <f t="shared" si="8"/>
        <v>0</v>
      </c>
      <c r="I27" s="135">
        <f t="shared" si="2"/>
        <v>54.918303350387859</v>
      </c>
      <c r="J27" s="135">
        <f t="shared" si="3"/>
        <v>119.79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94.82</v>
      </c>
      <c r="E28" s="133">
        <f t="shared" si="7"/>
        <v>27.45</v>
      </c>
      <c r="F28" s="135">
        <f t="shared" si="1"/>
        <v>56.055271313564766</v>
      </c>
      <c r="G28" s="133">
        <f t="shared" si="8"/>
        <v>0</v>
      </c>
      <c r="H28" s="143">
        <f t="shared" si="8"/>
        <v>0</v>
      </c>
      <c r="I28" s="135">
        <f t="shared" si="2"/>
        <v>56.055271313564766</v>
      </c>
      <c r="J28" s="135">
        <f t="shared" si="3"/>
        <v>122.27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96.77</v>
      </c>
      <c r="E29" s="133">
        <f t="shared" si="11"/>
        <v>28.01</v>
      </c>
      <c r="F29" s="135">
        <f t="shared" si="1"/>
        <v>57.205992921457522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57.205992921457522</v>
      </c>
      <c r="J29" s="135">
        <f t="shared" si="3"/>
        <v>124.78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98.74</v>
      </c>
      <c r="E30" s="133">
        <f t="shared" si="11"/>
        <v>28.58</v>
      </c>
      <c r="F30" s="135">
        <f t="shared" si="1"/>
        <v>58.370468174066126</v>
      </c>
      <c r="G30" s="133">
        <f t="shared" si="12"/>
        <v>0</v>
      </c>
      <c r="H30" s="143">
        <f t="shared" si="12"/>
        <v>0</v>
      </c>
      <c r="I30" s="135">
        <f t="shared" si="2"/>
        <v>58.370468174066126</v>
      </c>
      <c r="J30" s="135">
        <f t="shared" si="3"/>
        <v>127.32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100.73</v>
      </c>
      <c r="E31" s="133">
        <f t="shared" si="11"/>
        <v>29.16</v>
      </c>
      <c r="F31" s="135">
        <f t="shared" si="1"/>
        <v>59.548697071390599</v>
      </c>
      <c r="G31" s="133">
        <f t="shared" si="12"/>
        <v>0</v>
      </c>
      <c r="H31" s="143">
        <f t="shared" si="12"/>
        <v>0</v>
      </c>
      <c r="I31" s="135">
        <f t="shared" si="2"/>
        <v>59.548697071390599</v>
      </c>
      <c r="J31" s="135">
        <f t="shared" si="3"/>
        <v>129.88999999999999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102.74</v>
      </c>
      <c r="E32" s="133">
        <f t="shared" si="11"/>
        <v>29.74</v>
      </c>
      <c r="F32" s="135">
        <f t="shared" si="1"/>
        <v>60.736095065192274</v>
      </c>
      <c r="G32" s="133">
        <f t="shared" si="12"/>
        <v>0</v>
      </c>
      <c r="H32" s="143">
        <f t="shared" si="12"/>
        <v>0</v>
      </c>
      <c r="I32" s="135">
        <f t="shared" si="2"/>
        <v>60.736095065192274</v>
      </c>
      <c r="J32" s="135">
        <f t="shared" si="3"/>
        <v>132.47999999999999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</v>
      </c>
      <c r="E33" s="133">
        <f t="shared" si="11"/>
        <v>30.34</v>
      </c>
      <c r="F33" s="135">
        <f t="shared" si="1"/>
        <v>61.955584896664284</v>
      </c>
      <c r="G33" s="133">
        <f t="shared" si="12"/>
        <v>0</v>
      </c>
      <c r="H33" s="143">
        <f t="shared" si="12"/>
        <v>0</v>
      </c>
      <c r="I33" s="135">
        <f t="shared" si="2"/>
        <v>61.955584896664284</v>
      </c>
      <c r="J33" s="135">
        <f t="shared" si="3"/>
        <v>135.13999999999999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106.91</v>
      </c>
      <c r="E34" s="133">
        <f t="shared" si="11"/>
        <v>30.95</v>
      </c>
      <c r="F34" s="135">
        <f t="shared" si="1"/>
        <v>63.202582017567984</v>
      </c>
      <c r="G34" s="133">
        <f t="shared" si="12"/>
        <v>0</v>
      </c>
      <c r="H34" s="143">
        <f t="shared" si="12"/>
        <v>0</v>
      </c>
      <c r="I34" s="135">
        <f t="shared" si="2"/>
        <v>63.202582017567984</v>
      </c>
      <c r="J34" s="135">
        <f t="shared" si="3"/>
        <v>137.86000000000001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109.09</v>
      </c>
      <c r="E35" s="133">
        <f t="shared" si="11"/>
        <v>31.58</v>
      </c>
      <c r="F35" s="135">
        <f t="shared" si="1"/>
        <v>64.49084007261925</v>
      </c>
      <c r="G35" s="133">
        <f t="shared" si="12"/>
        <v>0</v>
      </c>
      <c r="H35" s="143">
        <f t="shared" si="12"/>
        <v>0</v>
      </c>
      <c r="I35" s="135">
        <f t="shared" si="2"/>
        <v>64.49084007261925</v>
      </c>
      <c r="J35" s="135">
        <f t="shared" si="3"/>
        <v>140.66999999999999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111.34</v>
      </c>
      <c r="E36" s="133">
        <f t="shared" si="11"/>
        <v>32.229999999999997</v>
      </c>
      <c r="F36" s="135">
        <f t="shared" si="1"/>
        <v>65.820359061818053</v>
      </c>
      <c r="G36" s="133">
        <f t="shared" si="12"/>
        <v>0</v>
      </c>
      <c r="H36" s="143">
        <f t="shared" si="12"/>
        <v>0</v>
      </c>
      <c r="I36" s="135">
        <f t="shared" si="2"/>
        <v>65.820359061818053</v>
      </c>
      <c r="J36" s="135">
        <f t="shared" si="3"/>
        <v>143.57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135</v>
      </c>
      <c r="C55" s="186">
        <v>1178.9486841766204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5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5"/>
        <v>0</v>
      </c>
      <c r="I15" s="135">
        <f t="shared" si="2"/>
        <v>9.4487539197887447</v>
      </c>
      <c r="J15" s="135">
        <f t="shared" si="3"/>
        <v>20.61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5"/>
        <v>0</v>
      </c>
      <c r="I16" s="135">
        <f t="shared" si="2"/>
        <v>9.6871504281968051</v>
      </c>
      <c r="J16" s="135">
        <f t="shared" si="3"/>
        <v>21.13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5"/>
        <v>0</v>
      </c>
      <c r="I17" s="135">
        <f t="shared" si="2"/>
        <v>9.9163778401276339</v>
      </c>
      <c r="J17" s="135">
        <f t="shared" si="3"/>
        <v>21.63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5"/>
        <v>0</v>
      </c>
      <c r="I18" s="135">
        <f t="shared" si="2"/>
        <v>10.150189800297079</v>
      </c>
      <c r="J18" s="135">
        <f t="shared" si="3"/>
        <v>22.14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5"/>
        <v>0</v>
      </c>
      <c r="I19" s="135">
        <f t="shared" si="2"/>
        <v>10.384001760466523</v>
      </c>
      <c r="J19" s="135">
        <f t="shared" si="3"/>
        <v>22.65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23.17</v>
      </c>
      <c r="F20" s="135">
        <f t="shared" si="1"/>
        <v>10.622398268874587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23.68</v>
      </c>
      <c r="F21" s="135">
        <f t="shared" si="1"/>
        <v>10.856210229044031</v>
      </c>
      <c r="G21" s="133">
        <f t="shared" si="8"/>
        <v>0</v>
      </c>
      <c r="H21" s="143">
        <f t="shared" si="8"/>
        <v>0</v>
      </c>
      <c r="I21" s="135">
        <f t="shared" si="2"/>
        <v>10.856210229044031</v>
      </c>
      <c r="J21" s="135">
        <f t="shared" si="3"/>
        <v>23.68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24.19</v>
      </c>
      <c r="F22" s="135">
        <f t="shared" si="1"/>
        <v>11.090022189213476</v>
      </c>
      <c r="G22" s="133">
        <f t="shared" si="8"/>
        <v>0</v>
      </c>
      <c r="H22" s="143">
        <f t="shared" si="8"/>
        <v>0</v>
      </c>
      <c r="I22" s="135">
        <f t="shared" si="2"/>
        <v>11.090022189213476</v>
      </c>
      <c r="J22" s="135">
        <f t="shared" si="3"/>
        <v>24.19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24.72</v>
      </c>
      <c r="F23" s="135">
        <f t="shared" si="1"/>
        <v>11.333003245860153</v>
      </c>
      <c r="G23" s="133">
        <f t="shared" si="8"/>
        <v>0</v>
      </c>
      <c r="H23" s="143">
        <f t="shared" si="8"/>
        <v>0</v>
      </c>
      <c r="I23" s="135">
        <f t="shared" si="2"/>
        <v>11.333003245860153</v>
      </c>
      <c r="J23" s="135">
        <f t="shared" si="3"/>
        <v>24.72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25.26</v>
      </c>
      <c r="F24" s="135">
        <f t="shared" si="1"/>
        <v>11.580568850745449</v>
      </c>
      <c r="G24" s="133">
        <f t="shared" si="8"/>
        <v>0</v>
      </c>
      <c r="H24" s="143">
        <f t="shared" si="8"/>
        <v>0</v>
      </c>
      <c r="I24" s="135">
        <f t="shared" si="2"/>
        <v>11.580568850745449</v>
      </c>
      <c r="J24" s="135">
        <f t="shared" si="3"/>
        <v>25.26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25.8</v>
      </c>
      <c r="F25" s="135">
        <f t="shared" si="1"/>
        <v>11.828134455630744</v>
      </c>
      <c r="G25" s="133">
        <f t="shared" si="8"/>
        <v>0</v>
      </c>
      <c r="H25" s="143">
        <f t="shared" si="8"/>
        <v>0</v>
      </c>
      <c r="I25" s="135">
        <f t="shared" si="2"/>
        <v>11.828134455630744</v>
      </c>
      <c r="J25" s="135">
        <f t="shared" si="3"/>
        <v>25.8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26.34</v>
      </c>
      <c r="F26" s="135">
        <f t="shared" si="1"/>
        <v>12.075700060516038</v>
      </c>
      <c r="G26" s="133">
        <f t="shared" si="8"/>
        <v>0</v>
      </c>
      <c r="H26" s="143">
        <f t="shared" si="8"/>
        <v>0</v>
      </c>
      <c r="I26" s="135">
        <f t="shared" si="2"/>
        <v>12.075700060516038</v>
      </c>
      <c r="J26" s="135">
        <f t="shared" si="3"/>
        <v>26.34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26.89</v>
      </c>
      <c r="F27" s="135">
        <f t="shared" si="1"/>
        <v>53.814376723153011</v>
      </c>
      <c r="G27" s="133">
        <f t="shared" si="8"/>
        <v>0</v>
      </c>
      <c r="H27" s="143">
        <f t="shared" si="8"/>
        <v>0</v>
      </c>
      <c r="I27" s="135">
        <f t="shared" si="2"/>
        <v>53.814376723153011</v>
      </c>
      <c r="J27" s="135">
        <f t="shared" si="3"/>
        <v>117.38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92.36</v>
      </c>
      <c r="E28" s="133">
        <f t="shared" si="7"/>
        <v>27.45</v>
      </c>
      <c r="F28" s="135">
        <f t="shared" si="1"/>
        <v>54.927472446865089</v>
      </c>
      <c r="G28" s="133">
        <f t="shared" si="8"/>
        <v>0</v>
      </c>
      <c r="H28" s="143">
        <f t="shared" si="8"/>
        <v>0</v>
      </c>
      <c r="I28" s="135">
        <f t="shared" si="2"/>
        <v>54.927472446865089</v>
      </c>
      <c r="J28" s="135">
        <f t="shared" si="3"/>
        <v>119.81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94.26</v>
      </c>
      <c r="E29" s="133">
        <f t="shared" si="11"/>
        <v>28.01</v>
      </c>
      <c r="F29" s="135">
        <f t="shared" si="1"/>
        <v>56.055271313564766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56.055271313564766</v>
      </c>
      <c r="J29" s="135">
        <f t="shared" si="3"/>
        <v>122.27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96.18</v>
      </c>
      <c r="E30" s="133">
        <f t="shared" si="11"/>
        <v>28.58</v>
      </c>
      <c r="F30" s="135">
        <f t="shared" si="1"/>
        <v>57.196823824980292</v>
      </c>
      <c r="G30" s="133">
        <f t="shared" si="12"/>
        <v>0</v>
      </c>
      <c r="H30" s="143">
        <f t="shared" si="12"/>
        <v>0</v>
      </c>
      <c r="I30" s="135">
        <f t="shared" si="2"/>
        <v>57.196823824980292</v>
      </c>
      <c r="J30" s="135">
        <f t="shared" si="3"/>
        <v>124.76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98.12</v>
      </c>
      <c r="E31" s="133">
        <f t="shared" si="11"/>
        <v>29.16</v>
      </c>
      <c r="F31" s="135">
        <f t="shared" si="1"/>
        <v>58.352129981111666</v>
      </c>
      <c r="G31" s="133">
        <f t="shared" si="12"/>
        <v>0</v>
      </c>
      <c r="H31" s="143">
        <f t="shared" si="12"/>
        <v>0</v>
      </c>
      <c r="I31" s="135">
        <f t="shared" si="2"/>
        <v>58.352129981111666</v>
      </c>
      <c r="J31" s="135">
        <f t="shared" si="3"/>
        <v>127.28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100.08</v>
      </c>
      <c r="E32" s="133">
        <f t="shared" si="11"/>
        <v>29.74</v>
      </c>
      <c r="F32" s="135">
        <f t="shared" si="1"/>
        <v>59.51660523372027</v>
      </c>
      <c r="G32" s="133">
        <f t="shared" si="12"/>
        <v>0</v>
      </c>
      <c r="H32" s="143">
        <f t="shared" si="12"/>
        <v>0</v>
      </c>
      <c r="I32" s="135">
        <f t="shared" si="2"/>
        <v>59.51660523372027</v>
      </c>
      <c r="J32" s="135">
        <f t="shared" si="3"/>
        <v>129.82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102.09</v>
      </c>
      <c r="E33" s="133">
        <f t="shared" si="11"/>
        <v>30.34</v>
      </c>
      <c r="F33" s="135">
        <f t="shared" si="1"/>
        <v>60.713172323999203</v>
      </c>
      <c r="G33" s="133">
        <f t="shared" si="12"/>
        <v>0</v>
      </c>
      <c r="H33" s="143">
        <f t="shared" si="12"/>
        <v>0</v>
      </c>
      <c r="I33" s="135">
        <f t="shared" si="2"/>
        <v>60.713172323999203</v>
      </c>
      <c r="J33" s="135">
        <f t="shared" si="3"/>
        <v>132.43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104.15</v>
      </c>
      <c r="E34" s="133">
        <f t="shared" si="11"/>
        <v>30.95</v>
      </c>
      <c r="F34" s="135">
        <f t="shared" si="1"/>
        <v>61.937246703709818</v>
      </c>
      <c r="G34" s="133">
        <f t="shared" si="12"/>
        <v>0</v>
      </c>
      <c r="H34" s="143">
        <f t="shared" si="12"/>
        <v>0</v>
      </c>
      <c r="I34" s="135">
        <f t="shared" si="2"/>
        <v>61.937246703709818</v>
      </c>
      <c r="J34" s="135">
        <f t="shared" si="3"/>
        <v>135.1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106.27</v>
      </c>
      <c r="E35" s="133">
        <f t="shared" si="11"/>
        <v>31.58</v>
      </c>
      <c r="F35" s="135">
        <f t="shared" si="1"/>
        <v>63.197997469329373</v>
      </c>
      <c r="G35" s="133">
        <f t="shared" si="12"/>
        <v>0</v>
      </c>
      <c r="H35" s="143">
        <f t="shared" si="12"/>
        <v>0</v>
      </c>
      <c r="I35" s="135">
        <f t="shared" si="2"/>
        <v>63.197997469329373</v>
      </c>
      <c r="J35" s="135">
        <f t="shared" si="3"/>
        <v>137.85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108.46</v>
      </c>
      <c r="E36" s="133">
        <f t="shared" si="11"/>
        <v>32.229999999999997</v>
      </c>
      <c r="F36" s="135">
        <f t="shared" si="1"/>
        <v>64.500009169096487</v>
      </c>
      <c r="G36" s="133">
        <f t="shared" si="12"/>
        <v>0</v>
      </c>
      <c r="H36" s="143">
        <f t="shared" si="12"/>
        <v>0</v>
      </c>
      <c r="I36" s="135">
        <f t="shared" si="2"/>
        <v>64.500009169096487</v>
      </c>
      <c r="J36" s="135">
        <f t="shared" si="3"/>
        <v>140.69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1172.2286766768136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20.09</v>
      </c>
      <c r="F12" s="135">
        <f t="shared" si="1"/>
        <v>7.3742089885330868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7.3742089885330868</v>
      </c>
      <c r="J12" s="135">
        <f t="shared" si="3"/>
        <v>20.09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20.55</v>
      </c>
      <c r="F13" s="135">
        <f t="shared" si="1"/>
        <v>7.5430559837906888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7.5430559837906888</v>
      </c>
      <c r="J13" s="135">
        <f t="shared" si="3"/>
        <v>20.55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21.1</v>
      </c>
      <c r="F14" s="135">
        <f t="shared" si="1"/>
        <v>7.7449382607291266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7.7449382607291266</v>
      </c>
      <c r="J14" s="135">
        <f t="shared" si="3"/>
        <v>21.1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21.66</v>
      </c>
      <c r="F15" s="135">
        <f t="shared" si="1"/>
        <v>7.9504911245209886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7.9504911245209886</v>
      </c>
      <c r="J15" s="135">
        <f t="shared" si="3"/>
        <v>21.66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22.21</v>
      </c>
      <c r="F16" s="135">
        <f t="shared" si="1"/>
        <v>8.1523734014594265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8.1523734014594265</v>
      </c>
      <c r="J16" s="135">
        <f t="shared" si="3"/>
        <v>22.21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22.74</v>
      </c>
      <c r="F17" s="135">
        <f t="shared" si="1"/>
        <v>8.3469145046910089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8.3469145046910089</v>
      </c>
      <c r="J17" s="135">
        <f t="shared" si="3"/>
        <v>22.74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23.27</v>
      </c>
      <c r="F18" s="135">
        <f t="shared" si="1"/>
        <v>8.541455607922595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8.541455607922595</v>
      </c>
      <c r="J18" s="135">
        <f t="shared" si="3"/>
        <v>23.27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23.81</v>
      </c>
      <c r="F19" s="135">
        <f t="shared" si="1"/>
        <v>8.7396672980076051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8.7396672980076051</v>
      </c>
      <c r="J19" s="135">
        <f t="shared" si="3"/>
        <v>23.81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24.35</v>
      </c>
      <c r="F20" s="135">
        <f t="shared" si="1"/>
        <v>8.937878988092617</v>
      </c>
      <c r="G20" s="133">
        <f>ROUND(G19*(1+$G66),2)</f>
        <v>0</v>
      </c>
      <c r="H20" s="143">
        <f>ROUND(H19*(1+$G66),2)</f>
        <v>0</v>
      </c>
      <c r="I20" s="135">
        <f t="shared" si="2"/>
        <v>8.937878988092617</v>
      </c>
      <c r="J20" s="135">
        <f t="shared" si="3"/>
        <v>24.35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24.89</v>
      </c>
      <c r="F21" s="135">
        <f t="shared" si="1"/>
        <v>9.1360906781776272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9.1360906781776272</v>
      </c>
      <c r="J21" s="135">
        <f t="shared" si="3"/>
        <v>24.89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25.43</v>
      </c>
      <c r="F22" s="135">
        <f t="shared" si="1"/>
        <v>9.3343023682626374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9.3343023682626374</v>
      </c>
      <c r="J22" s="135">
        <f t="shared" si="3"/>
        <v>25.43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25.99</v>
      </c>
      <c r="F23" s="135">
        <f t="shared" si="1"/>
        <v>9.5398552320545011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9.5398552320545011</v>
      </c>
      <c r="J23" s="135">
        <f t="shared" si="3"/>
        <v>25.99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26.55</v>
      </c>
      <c r="F24" s="135">
        <f t="shared" si="1"/>
        <v>9.7454080958463649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9.7454080958463649</v>
      </c>
      <c r="J24" s="135">
        <f t="shared" si="3"/>
        <v>26.55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27.12</v>
      </c>
      <c r="F25" s="135">
        <f t="shared" si="1"/>
        <v>9.9546315464916546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9.9546315464916546</v>
      </c>
      <c r="J25" s="135">
        <f t="shared" si="3"/>
        <v>27.12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27.69</v>
      </c>
      <c r="F26" s="135">
        <f t="shared" si="1"/>
        <v>10.163854997136943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10.163854997136943</v>
      </c>
      <c r="J26" s="135">
        <f t="shared" si="3"/>
        <v>27.69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28.27</v>
      </c>
      <c r="F27" s="135">
        <f t="shared" si="1"/>
        <v>43.41277232204596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43.41277232204596</v>
      </c>
      <c r="J27" s="135">
        <f t="shared" si="3"/>
        <v>118.27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91.86</v>
      </c>
      <c r="E28" s="133">
        <f t="shared" si="15"/>
        <v>28.85</v>
      </c>
      <c r="F28" s="135">
        <f t="shared" si="1"/>
        <v>44.307653907706772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44.307653907706772</v>
      </c>
      <c r="J28" s="135">
        <f t="shared" si="3"/>
        <v>120.71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93.75</v>
      </c>
      <c r="E29" s="133">
        <f t="shared" si="24"/>
        <v>29.44</v>
      </c>
      <c r="F29" s="135">
        <f t="shared" si="1"/>
        <v>45.217959447356442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45.217959447356442</v>
      </c>
      <c r="J29" s="135">
        <f t="shared" si="3"/>
        <v>123.19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95.66</v>
      </c>
      <c r="E30" s="133">
        <f t="shared" si="24"/>
        <v>30.04</v>
      </c>
      <c r="F30" s="135">
        <f t="shared" si="1"/>
        <v>46.139276747566399</v>
      </c>
      <c r="G30" s="133">
        <f t="shared" si="25"/>
        <v>0</v>
      </c>
      <c r="H30" s="143">
        <f t="shared" si="25"/>
        <v>0</v>
      </c>
      <c r="I30" s="135">
        <f t="shared" si="2"/>
        <v>46.139276747566399</v>
      </c>
      <c r="J30" s="135">
        <f t="shared" si="3"/>
        <v>125.7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97.59</v>
      </c>
      <c r="E31" s="133">
        <f t="shared" si="24"/>
        <v>30.65</v>
      </c>
      <c r="F31" s="135">
        <f t="shared" si="1"/>
        <v>47.071605808336642</v>
      </c>
      <c r="G31" s="133">
        <f t="shared" si="25"/>
        <v>0</v>
      </c>
      <c r="H31" s="143">
        <f t="shared" si="25"/>
        <v>0</v>
      </c>
      <c r="I31" s="135">
        <f t="shared" si="2"/>
        <v>47.071605808336642</v>
      </c>
      <c r="J31" s="135">
        <f t="shared" si="3"/>
        <v>128.24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99.54</v>
      </c>
      <c r="E32" s="133">
        <f t="shared" si="24"/>
        <v>31.26</v>
      </c>
      <c r="F32" s="135">
        <f t="shared" si="1"/>
        <v>48.011276042813734</v>
      </c>
      <c r="G32" s="133">
        <f t="shared" si="25"/>
        <v>0</v>
      </c>
      <c r="H32" s="143">
        <f t="shared" si="25"/>
        <v>0</v>
      </c>
      <c r="I32" s="135">
        <f t="shared" si="2"/>
        <v>48.011276042813734</v>
      </c>
      <c r="J32" s="135">
        <f t="shared" si="3"/>
        <v>130.80000000000001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101.54</v>
      </c>
      <c r="E33" s="133">
        <f t="shared" si="24"/>
        <v>31.89</v>
      </c>
      <c r="F33" s="135">
        <f t="shared" si="1"/>
        <v>48.976640385264801</v>
      </c>
      <c r="G33" s="133">
        <f t="shared" si="25"/>
        <v>0</v>
      </c>
      <c r="H33" s="143">
        <f t="shared" si="25"/>
        <v>0</v>
      </c>
      <c r="I33" s="135">
        <f t="shared" si="2"/>
        <v>48.976640385264801</v>
      </c>
      <c r="J33" s="135">
        <f t="shared" si="3"/>
        <v>133.43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103.59</v>
      </c>
      <c r="E34" s="133">
        <f t="shared" si="24"/>
        <v>32.53</v>
      </c>
      <c r="F34" s="135">
        <f t="shared" ref="F34:F36" si="27">(D34+E34)/(8.76*$C$63)</f>
        <v>49.964028248836428</v>
      </c>
      <c r="G34" s="133">
        <f t="shared" si="25"/>
        <v>0</v>
      </c>
      <c r="H34" s="143">
        <f t="shared" si="25"/>
        <v>0</v>
      </c>
      <c r="I34" s="135">
        <f t="shared" si="2"/>
        <v>49.964028248836428</v>
      </c>
      <c r="J34" s="135">
        <f t="shared" si="3"/>
        <v>136.12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105.7</v>
      </c>
      <c r="E35" s="133">
        <f t="shared" si="24"/>
        <v>33.19</v>
      </c>
      <c r="F35" s="135">
        <f t="shared" si="27"/>
        <v>50.980780807235455</v>
      </c>
      <c r="G35" s="133">
        <f t="shared" si="25"/>
        <v>0</v>
      </c>
      <c r="H35" s="143">
        <f t="shared" si="25"/>
        <v>0</v>
      </c>
      <c r="I35" s="135">
        <f t="shared" si="2"/>
        <v>50.980780807235455</v>
      </c>
      <c r="J35" s="135">
        <f t="shared" si="3"/>
        <v>138.88999999999999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107.88</v>
      </c>
      <c r="E36" s="133">
        <f t="shared" si="24"/>
        <v>33.869999999999997</v>
      </c>
      <c r="F36" s="135">
        <f t="shared" si="27"/>
        <v>52.030568647315334</v>
      </c>
      <c r="G36" s="133">
        <f t="shared" si="25"/>
        <v>0</v>
      </c>
      <c r="H36" s="143">
        <f t="shared" si="25"/>
        <v>0</v>
      </c>
      <c r="I36" s="135">
        <f t="shared" si="2"/>
        <v>52.030568647315334</v>
      </c>
      <c r="J36" s="135">
        <f t="shared" si="3"/>
        <v>141.75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1165.8805905559132</v>
      </c>
      <c r="D55" s="122" t="s">
        <v>76</v>
      </c>
      <c r="H55" s="122" t="s">
        <v>9</v>
      </c>
    </row>
    <row r="56" spans="2:24">
      <c r="B56" s="86" t="s">
        <v>116</v>
      </c>
      <c r="C56" s="155">
        <v>19.691768539314772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28">C66+1</f>
        <v>2018</v>
      </c>
      <c r="D67" s="41">
        <v>2.00162222805087E-2</v>
      </c>
      <c r="E67" s="86"/>
      <c r="F67" s="88">
        <f t="shared" ref="F67:F74" si="29">F66+1</f>
        <v>2027</v>
      </c>
      <c r="G67" s="41">
        <v>2.2017580891201094E-2</v>
      </c>
      <c r="H67" s="86"/>
      <c r="I67" s="88">
        <f t="shared" ref="I67:I74" si="30">I66+1</f>
        <v>2036</v>
      </c>
      <c r="J67" s="88"/>
      <c r="K67" s="41">
        <v>2.0338413275796441E-2</v>
      </c>
    </row>
    <row r="68" spans="3:11">
      <c r="C68" s="88">
        <f t="shared" si="28"/>
        <v>2019</v>
      </c>
      <c r="D68" s="41">
        <v>2.3023767536204609E-2</v>
      </c>
      <c r="E68" s="86"/>
      <c r="F68" s="88">
        <f t="shared" si="29"/>
        <v>2028</v>
      </c>
      <c r="G68" s="41">
        <v>2.1672038954803963E-2</v>
      </c>
      <c r="H68" s="86"/>
      <c r="I68" s="88">
        <f t="shared" si="30"/>
        <v>2037</v>
      </c>
      <c r="J68" s="88"/>
      <c r="K68" s="41">
        <v>2.0148107799243142E-2</v>
      </c>
    </row>
    <row r="69" spans="3:11">
      <c r="C69" s="88">
        <f t="shared" si="28"/>
        <v>2020</v>
      </c>
      <c r="D69" s="41">
        <v>2.6569957493475238E-2</v>
      </c>
      <c r="E69" s="86"/>
      <c r="F69" s="88">
        <f t="shared" si="29"/>
        <v>2029</v>
      </c>
      <c r="G69" s="41">
        <v>2.1882861611237647E-2</v>
      </c>
      <c r="H69" s="86"/>
      <c r="I69" s="88">
        <f t="shared" si="30"/>
        <v>2038</v>
      </c>
      <c r="J69" s="88"/>
      <c r="K69" s="41">
        <v>1.9981989666423283E-2</v>
      </c>
    </row>
    <row r="70" spans="3:11">
      <c r="C70" s="88">
        <f t="shared" si="28"/>
        <v>2021</v>
      </c>
      <c r="D70" s="41">
        <v>2.633678201148415E-2</v>
      </c>
      <c r="E70" s="86"/>
      <c r="F70" s="88">
        <f t="shared" si="29"/>
        <v>2030</v>
      </c>
      <c r="G70" s="41">
        <v>2.1716430930730724E-2</v>
      </c>
      <c r="H70" s="86"/>
      <c r="I70" s="88">
        <f t="shared" si="30"/>
        <v>2039</v>
      </c>
      <c r="J70" s="88"/>
      <c r="K70" s="41">
        <v>2.0091958569135482E-2</v>
      </c>
    </row>
    <row r="71" spans="3:11">
      <c r="C71" s="88">
        <f t="shared" si="28"/>
        <v>2022</v>
      </c>
      <c r="D71" s="41">
        <v>2.5190838317338926E-2</v>
      </c>
      <c r="E71" s="86"/>
      <c r="F71" s="88">
        <f t="shared" si="29"/>
        <v>2031</v>
      </c>
      <c r="G71" s="41">
        <v>2.1283257880358342E-2</v>
      </c>
      <c r="H71" s="86"/>
      <c r="I71" s="88">
        <f t="shared" si="30"/>
        <v>2040</v>
      </c>
      <c r="J71" s="88"/>
      <c r="K71" s="41">
        <v>2.016857640433245E-2</v>
      </c>
    </row>
    <row r="72" spans="3:11" s="124" customFormat="1">
      <c r="C72" s="88">
        <f t="shared" si="28"/>
        <v>2023</v>
      </c>
      <c r="D72" s="41">
        <v>2.3861027991437966E-2</v>
      </c>
      <c r="E72" s="87"/>
      <c r="F72" s="88">
        <f t="shared" si="29"/>
        <v>2032</v>
      </c>
      <c r="G72" s="41">
        <v>2.092650190640466E-2</v>
      </c>
      <c r="H72" s="87"/>
      <c r="I72" s="88">
        <f t="shared" si="30"/>
        <v>2041</v>
      </c>
      <c r="J72" s="88"/>
      <c r="K72" s="41">
        <v>2.0388834681983159E-2</v>
      </c>
    </row>
    <row r="73" spans="3:11" s="124" customFormat="1">
      <c r="C73" s="88">
        <f t="shared" si="28"/>
        <v>2024</v>
      </c>
      <c r="D73" s="41">
        <v>2.3386119938164196E-2</v>
      </c>
      <c r="E73" s="87"/>
      <c r="F73" s="88">
        <f t="shared" si="29"/>
        <v>2033</v>
      </c>
      <c r="G73" s="41">
        <v>2.0801762320284523E-2</v>
      </c>
      <c r="H73" s="87"/>
      <c r="I73" s="88">
        <f t="shared" si="30"/>
        <v>2042</v>
      </c>
      <c r="J73" s="88"/>
      <c r="K73" s="41">
        <v>2.0623380610534037E-2</v>
      </c>
    </row>
    <row r="74" spans="3:11" s="124" customFormat="1">
      <c r="C74" s="88">
        <f t="shared" si="28"/>
        <v>2025</v>
      </c>
      <c r="D74" s="41">
        <v>2.3124371179134462E-2</v>
      </c>
      <c r="E74" s="87"/>
      <c r="F74" s="88">
        <f t="shared" si="29"/>
        <v>2034</v>
      </c>
      <c r="G74" s="41">
        <v>2.065772177898717E-2</v>
      </c>
      <c r="H74" s="87"/>
      <c r="I74" s="88">
        <f t="shared" si="30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20.09</v>
      </c>
      <c r="F12" s="135">
        <f t="shared" si="1"/>
        <v>7.3742089885330868</v>
      </c>
      <c r="G12" s="133">
        <f t="shared" si="4"/>
        <v>0</v>
      </c>
      <c r="H12" s="143">
        <f t="shared" si="4"/>
        <v>0</v>
      </c>
      <c r="I12" s="135">
        <f t="shared" si="2"/>
        <v>7.3742089885330868</v>
      </c>
      <c r="J12" s="135">
        <f t="shared" si="3"/>
        <v>20.09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20.55</v>
      </c>
      <c r="F13" s="135">
        <f t="shared" si="1"/>
        <v>7.5430559837906888</v>
      </c>
      <c r="G13" s="133">
        <f t="shared" si="4"/>
        <v>0</v>
      </c>
      <c r="H13" s="143">
        <f t="shared" si="4"/>
        <v>0</v>
      </c>
      <c r="I13" s="135">
        <f t="shared" si="2"/>
        <v>7.5430559837906888</v>
      </c>
      <c r="J13" s="135">
        <f t="shared" si="3"/>
        <v>20.55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21.1</v>
      </c>
      <c r="F14" s="135">
        <f t="shared" si="1"/>
        <v>7.7449382607291266</v>
      </c>
      <c r="G14" s="133">
        <f t="shared" si="4"/>
        <v>0</v>
      </c>
      <c r="H14" s="143">
        <f t="shared" si="4"/>
        <v>0</v>
      </c>
      <c r="I14" s="135">
        <f t="shared" si="2"/>
        <v>7.7449382607291266</v>
      </c>
      <c r="J14" s="135">
        <f t="shared" si="3"/>
        <v>21.1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21.66</v>
      </c>
      <c r="F15" s="135">
        <f t="shared" si="1"/>
        <v>7.9504911245209886</v>
      </c>
      <c r="G15" s="133">
        <f t="shared" si="4"/>
        <v>0</v>
      </c>
      <c r="H15" s="143">
        <f t="shared" si="4"/>
        <v>0</v>
      </c>
      <c r="I15" s="135">
        <f t="shared" si="2"/>
        <v>7.9504911245209886</v>
      </c>
      <c r="J15" s="135">
        <f t="shared" si="3"/>
        <v>21.66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22.21</v>
      </c>
      <c r="F16" s="135">
        <f t="shared" si="1"/>
        <v>8.1523734014594265</v>
      </c>
      <c r="G16" s="133">
        <f t="shared" si="4"/>
        <v>0</v>
      </c>
      <c r="H16" s="143">
        <f t="shared" si="4"/>
        <v>0</v>
      </c>
      <c r="I16" s="135">
        <f t="shared" si="2"/>
        <v>8.1523734014594265</v>
      </c>
      <c r="J16" s="135">
        <f t="shared" si="3"/>
        <v>22.21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22.74</v>
      </c>
      <c r="F17" s="135">
        <f t="shared" si="1"/>
        <v>8.3469145046910089</v>
      </c>
      <c r="G17" s="133">
        <f t="shared" si="4"/>
        <v>0</v>
      </c>
      <c r="H17" s="143">
        <f t="shared" si="4"/>
        <v>0</v>
      </c>
      <c r="I17" s="135">
        <f t="shared" si="2"/>
        <v>8.3469145046910089</v>
      </c>
      <c r="J17" s="135">
        <f t="shared" si="3"/>
        <v>22.74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23.27</v>
      </c>
      <c r="F18" s="135">
        <f t="shared" si="1"/>
        <v>8.541455607922595</v>
      </c>
      <c r="G18" s="133">
        <f t="shared" si="4"/>
        <v>0</v>
      </c>
      <c r="H18" s="143">
        <f t="shared" si="4"/>
        <v>0</v>
      </c>
      <c r="I18" s="135">
        <f t="shared" si="2"/>
        <v>8.541455607922595</v>
      </c>
      <c r="J18" s="135">
        <f t="shared" si="3"/>
        <v>23.27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23.81</v>
      </c>
      <c r="F19" s="135">
        <f t="shared" si="1"/>
        <v>8.7396672980076051</v>
      </c>
      <c r="G19" s="133">
        <f t="shared" si="4"/>
        <v>0</v>
      </c>
      <c r="H19" s="143">
        <f t="shared" si="4"/>
        <v>0</v>
      </c>
      <c r="I19" s="135">
        <f t="shared" si="2"/>
        <v>8.7396672980076051</v>
      </c>
      <c r="J19" s="135">
        <f t="shared" si="3"/>
        <v>23.81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24.35</v>
      </c>
      <c r="F20" s="135">
        <f t="shared" si="1"/>
        <v>8.937878988092617</v>
      </c>
      <c r="G20" s="133">
        <f>ROUND(G19*(1+$G66),2)</f>
        <v>0</v>
      </c>
      <c r="H20" s="143">
        <f>ROUND(H19*(1+$G66),2)</f>
        <v>0</v>
      </c>
      <c r="I20" s="135">
        <f t="shared" si="2"/>
        <v>8.937878988092617</v>
      </c>
      <c r="J20" s="135">
        <f t="shared" si="3"/>
        <v>24.35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24.89</v>
      </c>
      <c r="F21" s="135">
        <f t="shared" si="1"/>
        <v>9.1360906781776272</v>
      </c>
      <c r="G21" s="133">
        <f t="shared" si="7"/>
        <v>0</v>
      </c>
      <c r="H21" s="143">
        <f t="shared" si="7"/>
        <v>0</v>
      </c>
      <c r="I21" s="135">
        <f t="shared" si="2"/>
        <v>9.1360906781776272</v>
      </c>
      <c r="J21" s="135">
        <f t="shared" si="3"/>
        <v>24.89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25.43</v>
      </c>
      <c r="F22" s="135">
        <f t="shared" si="1"/>
        <v>9.3343023682626374</v>
      </c>
      <c r="G22" s="133">
        <f t="shared" si="7"/>
        <v>0</v>
      </c>
      <c r="H22" s="143">
        <f t="shared" si="7"/>
        <v>0</v>
      </c>
      <c r="I22" s="135">
        <f t="shared" si="2"/>
        <v>9.3343023682626374</v>
      </c>
      <c r="J22" s="135">
        <f t="shared" si="3"/>
        <v>25.43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25.99</v>
      </c>
      <c r="F23" s="135">
        <f t="shared" si="1"/>
        <v>9.5398552320545011</v>
      </c>
      <c r="G23" s="133">
        <f t="shared" si="7"/>
        <v>0</v>
      </c>
      <c r="H23" s="143">
        <f t="shared" si="7"/>
        <v>0</v>
      </c>
      <c r="I23" s="135">
        <f t="shared" si="2"/>
        <v>9.5398552320545011</v>
      </c>
      <c r="J23" s="135">
        <f t="shared" si="3"/>
        <v>25.99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26.55</v>
      </c>
      <c r="F24" s="135">
        <f t="shared" si="1"/>
        <v>9.7454080958463649</v>
      </c>
      <c r="G24" s="133">
        <f t="shared" si="7"/>
        <v>0</v>
      </c>
      <c r="H24" s="143">
        <f t="shared" si="7"/>
        <v>0</v>
      </c>
      <c r="I24" s="135">
        <f t="shared" si="2"/>
        <v>9.7454080958463649</v>
      </c>
      <c r="J24" s="135">
        <f t="shared" si="3"/>
        <v>26.55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27.12</v>
      </c>
      <c r="F25" s="135">
        <f t="shared" si="1"/>
        <v>9.9546315464916546</v>
      </c>
      <c r="G25" s="133">
        <f t="shared" si="7"/>
        <v>0</v>
      </c>
      <c r="H25" s="143">
        <f t="shared" si="7"/>
        <v>0</v>
      </c>
      <c r="I25" s="135">
        <f t="shared" si="2"/>
        <v>9.9546315464916546</v>
      </c>
      <c r="J25" s="135">
        <f t="shared" si="3"/>
        <v>27.12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27.69</v>
      </c>
      <c r="F26" s="135">
        <f t="shared" si="1"/>
        <v>10.163854997136943</v>
      </c>
      <c r="G26" s="133">
        <f t="shared" si="7"/>
        <v>0</v>
      </c>
      <c r="H26" s="143">
        <f t="shared" si="7"/>
        <v>0</v>
      </c>
      <c r="I26" s="135">
        <f t="shared" si="2"/>
        <v>10.163854997136943</v>
      </c>
      <c r="J26" s="135">
        <f t="shared" si="3"/>
        <v>27.69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28.27</v>
      </c>
      <c r="F27" s="135">
        <f t="shared" si="1"/>
        <v>10.376749034635658</v>
      </c>
      <c r="G27" s="133">
        <f t="shared" si="7"/>
        <v>0</v>
      </c>
      <c r="H27" s="143">
        <f t="shared" si="7"/>
        <v>0</v>
      </c>
      <c r="I27" s="135">
        <f t="shared" si="2"/>
        <v>10.376749034635658</v>
      </c>
      <c r="J27" s="135">
        <f t="shared" si="3"/>
        <v>28.27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28.85</v>
      </c>
      <c r="F28" s="135">
        <f t="shared" si="1"/>
        <v>10.589643072134374</v>
      </c>
      <c r="G28" s="133">
        <f t="shared" si="7"/>
        <v>0</v>
      </c>
      <c r="H28" s="143">
        <f t="shared" si="7"/>
        <v>0</v>
      </c>
      <c r="I28" s="135">
        <f t="shared" si="2"/>
        <v>10.589643072134374</v>
      </c>
      <c r="J28" s="135">
        <f t="shared" si="3"/>
        <v>28.85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29.44</v>
      </c>
      <c r="F29" s="135">
        <f t="shared" si="1"/>
        <v>43.466693658816951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43.466693658816951</v>
      </c>
      <c r="J29" s="135">
        <f t="shared" si="3"/>
        <v>118.42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90.79</v>
      </c>
      <c r="E30" s="133">
        <f t="shared" si="10"/>
        <v>30.04</v>
      </c>
      <c r="F30" s="135">
        <f t="shared" si="1"/>
        <v>44.351700949947883</v>
      </c>
      <c r="G30" s="133">
        <f t="shared" si="11"/>
        <v>0</v>
      </c>
      <c r="H30" s="143">
        <f t="shared" si="11"/>
        <v>0</v>
      </c>
      <c r="I30" s="135">
        <f t="shared" si="2"/>
        <v>44.351700949947883</v>
      </c>
      <c r="J30" s="135">
        <f t="shared" si="3"/>
        <v>120.83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92.62</v>
      </c>
      <c r="E31" s="133">
        <f t="shared" si="10"/>
        <v>30.65</v>
      </c>
      <c r="F31" s="135">
        <f t="shared" si="1"/>
        <v>45.247324142183857</v>
      </c>
      <c r="G31" s="133">
        <f t="shared" si="11"/>
        <v>0</v>
      </c>
      <c r="H31" s="143">
        <f t="shared" si="11"/>
        <v>0</v>
      </c>
      <c r="I31" s="135">
        <f t="shared" si="2"/>
        <v>45.247324142183857</v>
      </c>
      <c r="J31" s="135">
        <f t="shared" si="3"/>
        <v>123.27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94.47</v>
      </c>
      <c r="E32" s="133">
        <f t="shared" si="10"/>
        <v>31.26</v>
      </c>
      <c r="F32" s="135">
        <f t="shared" si="1"/>
        <v>46.150288508126685</v>
      </c>
      <c r="G32" s="133">
        <f t="shared" si="11"/>
        <v>0</v>
      </c>
      <c r="H32" s="143">
        <f t="shared" si="11"/>
        <v>0</v>
      </c>
      <c r="I32" s="135">
        <f t="shared" si="2"/>
        <v>46.150288508126685</v>
      </c>
      <c r="J32" s="135">
        <f t="shared" si="3"/>
        <v>125.73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96.37</v>
      </c>
      <c r="E33" s="133">
        <f t="shared" si="10"/>
        <v>31.89</v>
      </c>
      <c r="F33" s="135">
        <f t="shared" si="1"/>
        <v>47.07894698204349</v>
      </c>
      <c r="G33" s="133">
        <f t="shared" si="11"/>
        <v>0</v>
      </c>
      <c r="H33" s="143">
        <f t="shared" si="11"/>
        <v>0</v>
      </c>
      <c r="I33" s="135">
        <f t="shared" si="2"/>
        <v>47.07894698204349</v>
      </c>
      <c r="J33" s="135">
        <f t="shared" si="3"/>
        <v>128.26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98.31</v>
      </c>
      <c r="E34" s="133">
        <f t="shared" si="10"/>
        <v>32.53</v>
      </c>
      <c r="F34" s="135">
        <f t="shared" si="1"/>
        <v>48.02595839022743</v>
      </c>
      <c r="G34" s="133">
        <f t="shared" si="11"/>
        <v>0</v>
      </c>
      <c r="H34" s="143">
        <f t="shared" si="11"/>
        <v>0</v>
      </c>
      <c r="I34" s="135">
        <f t="shared" si="2"/>
        <v>48.02595839022743</v>
      </c>
      <c r="J34" s="135">
        <f t="shared" si="3"/>
        <v>130.84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100.31</v>
      </c>
      <c r="E35" s="133">
        <f t="shared" si="10"/>
        <v>33.19</v>
      </c>
      <c r="F35" s="135">
        <f t="shared" si="1"/>
        <v>49.002334493238784</v>
      </c>
      <c r="G35" s="133">
        <f t="shared" si="11"/>
        <v>0</v>
      </c>
      <c r="H35" s="143">
        <f t="shared" si="11"/>
        <v>0</v>
      </c>
      <c r="I35" s="135">
        <f t="shared" si="2"/>
        <v>49.002334493238784</v>
      </c>
      <c r="J35" s="135">
        <f t="shared" si="3"/>
        <v>133.5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102.38</v>
      </c>
      <c r="E36" s="133">
        <f t="shared" si="10"/>
        <v>33.869999999999997</v>
      </c>
      <c r="F36" s="135">
        <f t="shared" si="1"/>
        <v>50.011745877930963</v>
      </c>
      <c r="G36" s="133">
        <f t="shared" si="11"/>
        <v>0</v>
      </c>
      <c r="H36" s="143">
        <f t="shared" si="11"/>
        <v>0</v>
      </c>
      <c r="I36" s="135">
        <f t="shared" si="2"/>
        <v>50.011745877930963</v>
      </c>
      <c r="J36" s="135">
        <f t="shared" si="3"/>
        <v>136.25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1152.6274312839628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19.691768539314772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3">C66+1</f>
        <v>2018</v>
      </c>
      <c r="D67" s="41">
        <v>2.00162222805087E-2</v>
      </c>
      <c r="E67" s="86"/>
      <c r="F67" s="88">
        <f t="shared" ref="F67:F74" si="14">F66+1</f>
        <v>2027</v>
      </c>
      <c r="G67" s="41">
        <v>2.2017580891201094E-2</v>
      </c>
      <c r="H67" s="86"/>
      <c r="I67" s="88">
        <f t="shared" ref="I67:I74" si="15">I66+1</f>
        <v>2036</v>
      </c>
      <c r="J67" s="88"/>
      <c r="K67" s="41">
        <v>2.0338413275796441E-2</v>
      </c>
    </row>
    <row r="68" spans="3:11">
      <c r="C68" s="88">
        <f t="shared" si="13"/>
        <v>2019</v>
      </c>
      <c r="D68" s="41">
        <v>2.3023767536204609E-2</v>
      </c>
      <c r="E68" s="86"/>
      <c r="F68" s="88">
        <f t="shared" si="14"/>
        <v>2028</v>
      </c>
      <c r="G68" s="41">
        <v>2.1672038954803963E-2</v>
      </c>
      <c r="H68" s="86"/>
      <c r="I68" s="88">
        <f t="shared" si="15"/>
        <v>2037</v>
      </c>
      <c r="J68" s="88"/>
      <c r="K68" s="41">
        <v>2.0148107799243142E-2</v>
      </c>
    </row>
    <row r="69" spans="3:11">
      <c r="C69" s="88">
        <f t="shared" si="13"/>
        <v>2020</v>
      </c>
      <c r="D69" s="41">
        <v>2.6569957493475238E-2</v>
      </c>
      <c r="E69" s="86"/>
      <c r="F69" s="88">
        <f t="shared" si="14"/>
        <v>2029</v>
      </c>
      <c r="G69" s="41">
        <v>2.1882861611237647E-2</v>
      </c>
      <c r="H69" s="86"/>
      <c r="I69" s="88">
        <f t="shared" si="15"/>
        <v>2038</v>
      </c>
      <c r="J69" s="88"/>
      <c r="K69" s="41">
        <v>1.9981989666423283E-2</v>
      </c>
    </row>
    <row r="70" spans="3:11">
      <c r="C70" s="88">
        <f t="shared" si="13"/>
        <v>2021</v>
      </c>
      <c r="D70" s="41">
        <v>2.633678201148415E-2</v>
      </c>
      <c r="E70" s="86"/>
      <c r="F70" s="88">
        <f t="shared" si="14"/>
        <v>2030</v>
      </c>
      <c r="G70" s="41">
        <v>2.1716430930730724E-2</v>
      </c>
      <c r="H70" s="86"/>
      <c r="I70" s="88">
        <f t="shared" si="15"/>
        <v>2039</v>
      </c>
      <c r="J70" s="88"/>
      <c r="K70" s="41">
        <v>2.0091958569135482E-2</v>
      </c>
    </row>
    <row r="71" spans="3:11">
      <c r="C71" s="88">
        <f t="shared" si="13"/>
        <v>2022</v>
      </c>
      <c r="D71" s="41">
        <v>2.5190838317338926E-2</v>
      </c>
      <c r="E71" s="86"/>
      <c r="F71" s="88">
        <f t="shared" si="14"/>
        <v>2031</v>
      </c>
      <c r="G71" s="41">
        <v>2.1283257880358342E-2</v>
      </c>
      <c r="H71" s="86"/>
      <c r="I71" s="88">
        <f t="shared" si="15"/>
        <v>2040</v>
      </c>
      <c r="J71" s="88"/>
      <c r="K71" s="41">
        <v>2.016857640433245E-2</v>
      </c>
    </row>
    <row r="72" spans="3:11" s="124" customFormat="1">
      <c r="C72" s="88">
        <f t="shared" si="13"/>
        <v>2023</v>
      </c>
      <c r="D72" s="41">
        <v>2.3861027991437966E-2</v>
      </c>
      <c r="E72" s="87"/>
      <c r="F72" s="88">
        <f t="shared" si="14"/>
        <v>2032</v>
      </c>
      <c r="G72" s="41">
        <v>2.092650190640466E-2</v>
      </c>
      <c r="H72" s="87"/>
      <c r="I72" s="88">
        <f t="shared" si="15"/>
        <v>2041</v>
      </c>
      <c r="J72" s="88"/>
      <c r="K72" s="41">
        <v>2.0388834681983159E-2</v>
      </c>
    </row>
    <row r="73" spans="3:11" s="124" customFormat="1">
      <c r="C73" s="88">
        <f t="shared" si="13"/>
        <v>2024</v>
      </c>
      <c r="D73" s="41">
        <v>2.3386119938164196E-2</v>
      </c>
      <c r="E73" s="87"/>
      <c r="F73" s="88">
        <f t="shared" si="14"/>
        <v>2033</v>
      </c>
      <c r="G73" s="41">
        <v>2.0801762320284523E-2</v>
      </c>
      <c r="H73" s="87"/>
      <c r="I73" s="88">
        <f t="shared" si="15"/>
        <v>2042</v>
      </c>
      <c r="J73" s="88"/>
      <c r="K73" s="41">
        <v>2.0623380610534037E-2</v>
      </c>
    </row>
    <row r="74" spans="3:11" s="124" customFormat="1">
      <c r="C74" s="88">
        <f t="shared" si="13"/>
        <v>2025</v>
      </c>
      <c r="D74" s="41">
        <v>2.3124371179134462E-2</v>
      </c>
      <c r="E74" s="87"/>
      <c r="F74" s="88">
        <f t="shared" si="14"/>
        <v>2034</v>
      </c>
      <c r="G74" s="41">
        <v>2.065772177898717E-2</v>
      </c>
      <c r="H74" s="87"/>
      <c r="I74" s="88">
        <f t="shared" si="15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19.09</v>
      </c>
      <c r="F12" s="135">
        <f t="shared" si="1"/>
        <v>8.1314318816874529</v>
      </c>
      <c r="G12" s="133">
        <f t="shared" si="4"/>
        <v>0</v>
      </c>
      <c r="H12" s="143">
        <f t="shared" si="4"/>
        <v>0</v>
      </c>
      <c r="I12" s="135">
        <f t="shared" si="2"/>
        <v>8.1314318816874529</v>
      </c>
      <c r="J12" s="135">
        <f t="shared" si="3"/>
        <v>19.09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19.53</v>
      </c>
      <c r="F13" s="135">
        <f t="shared" si="1"/>
        <v>8.3188509507258228</v>
      </c>
      <c r="G13" s="133">
        <f t="shared" si="4"/>
        <v>0</v>
      </c>
      <c r="H13" s="143">
        <f t="shared" si="4"/>
        <v>0</v>
      </c>
      <c r="I13" s="135">
        <f t="shared" si="2"/>
        <v>8.3188509507258228</v>
      </c>
      <c r="J13" s="135">
        <f t="shared" si="3"/>
        <v>19.53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</v>
      </c>
      <c r="F14" s="135">
        <f t="shared" si="1"/>
        <v>8.5403462141348054</v>
      </c>
      <c r="G14" s="133">
        <f t="shared" si="4"/>
        <v>0</v>
      </c>
      <c r="H14" s="143">
        <f t="shared" si="4"/>
        <v>0</v>
      </c>
      <c r="I14" s="135">
        <f t="shared" si="2"/>
        <v>8.5403462141348054</v>
      </c>
      <c r="J14" s="135">
        <f t="shared" si="3"/>
        <v>20.05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20.58</v>
      </c>
      <c r="F15" s="135">
        <f t="shared" si="1"/>
        <v>8.7661010018401146</v>
      </c>
      <c r="G15" s="133">
        <f t="shared" si="4"/>
        <v>0</v>
      </c>
      <c r="H15" s="143">
        <f t="shared" si="4"/>
        <v>0</v>
      </c>
      <c r="I15" s="135">
        <f t="shared" si="2"/>
        <v>8.7661010018401146</v>
      </c>
      <c r="J15" s="135">
        <f t="shared" si="3"/>
        <v>20.58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21.1</v>
      </c>
      <c r="F16" s="135">
        <f t="shared" si="1"/>
        <v>8.9875962652490973</v>
      </c>
      <c r="G16" s="133">
        <f t="shared" si="4"/>
        <v>0</v>
      </c>
      <c r="H16" s="143">
        <f t="shared" si="4"/>
        <v>0</v>
      </c>
      <c r="I16" s="135">
        <f t="shared" si="2"/>
        <v>8.9875962652490973</v>
      </c>
      <c r="J16" s="135">
        <f t="shared" si="3"/>
        <v>21.1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21.6</v>
      </c>
      <c r="F17" s="135">
        <f t="shared" si="1"/>
        <v>9.2005724800654267</v>
      </c>
      <c r="G17" s="133">
        <f t="shared" si="4"/>
        <v>0</v>
      </c>
      <c r="H17" s="143">
        <f t="shared" si="4"/>
        <v>0</v>
      </c>
      <c r="I17" s="135">
        <f t="shared" si="2"/>
        <v>9.2005724800654267</v>
      </c>
      <c r="J17" s="135">
        <f t="shared" si="3"/>
        <v>21.6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22.11</v>
      </c>
      <c r="F18" s="135">
        <f t="shared" si="1"/>
        <v>9.4178082191780828</v>
      </c>
      <c r="G18" s="133">
        <f t="shared" si="4"/>
        <v>0</v>
      </c>
      <c r="H18" s="143">
        <f t="shared" si="4"/>
        <v>0</v>
      </c>
      <c r="I18" s="135">
        <f t="shared" si="2"/>
        <v>9.4178082191780828</v>
      </c>
      <c r="J18" s="135">
        <f t="shared" si="3"/>
        <v>22.11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22.62</v>
      </c>
      <c r="F19" s="135">
        <f t="shared" si="1"/>
        <v>9.6350439582907388</v>
      </c>
      <c r="G19" s="133">
        <f t="shared" si="4"/>
        <v>0</v>
      </c>
      <c r="H19" s="143">
        <f t="shared" si="4"/>
        <v>0</v>
      </c>
      <c r="I19" s="135">
        <f t="shared" si="2"/>
        <v>9.6350439582907388</v>
      </c>
      <c r="J19" s="135">
        <f t="shared" si="3"/>
        <v>22.62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23.13</v>
      </c>
      <c r="F20" s="135">
        <f t="shared" si="1"/>
        <v>9.852279697403393</v>
      </c>
      <c r="G20" s="133">
        <f>ROUND(G19*(1+$G66),2)</f>
        <v>0</v>
      </c>
      <c r="H20" s="143">
        <f>ROUND(H19*(1+$G66),2)</f>
        <v>0</v>
      </c>
      <c r="I20" s="135">
        <f t="shared" si="2"/>
        <v>9.852279697403393</v>
      </c>
      <c r="J20" s="135">
        <f t="shared" si="3"/>
        <v>23.13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23.64</v>
      </c>
      <c r="F21" s="135">
        <f t="shared" si="1"/>
        <v>10.069515436516051</v>
      </c>
      <c r="G21" s="133">
        <f t="shared" si="7"/>
        <v>0</v>
      </c>
      <c r="H21" s="143">
        <f t="shared" si="7"/>
        <v>0</v>
      </c>
      <c r="I21" s="135">
        <f t="shared" si="2"/>
        <v>10.069515436516051</v>
      </c>
      <c r="J21" s="135">
        <f t="shared" si="3"/>
        <v>23.64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24.15</v>
      </c>
      <c r="F22" s="135">
        <f t="shared" si="1"/>
        <v>10.286751175628705</v>
      </c>
      <c r="G22" s="133">
        <f t="shared" si="7"/>
        <v>0</v>
      </c>
      <c r="H22" s="143">
        <f t="shared" si="7"/>
        <v>0</v>
      </c>
      <c r="I22" s="135">
        <f t="shared" si="2"/>
        <v>10.286751175628705</v>
      </c>
      <c r="J22" s="135">
        <f t="shared" si="3"/>
        <v>24.15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24.68</v>
      </c>
      <c r="F23" s="135">
        <f t="shared" si="1"/>
        <v>10.512505963334014</v>
      </c>
      <c r="G23" s="133">
        <f t="shared" si="7"/>
        <v>0</v>
      </c>
      <c r="H23" s="143">
        <f t="shared" si="7"/>
        <v>0</v>
      </c>
      <c r="I23" s="135">
        <f t="shared" si="2"/>
        <v>10.512505963334014</v>
      </c>
      <c r="J23" s="135">
        <f t="shared" si="3"/>
        <v>24.68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25.22</v>
      </c>
      <c r="F24" s="135">
        <f t="shared" si="1"/>
        <v>10.74252027533565</v>
      </c>
      <c r="G24" s="133">
        <f t="shared" si="7"/>
        <v>0</v>
      </c>
      <c r="H24" s="143">
        <f t="shared" si="7"/>
        <v>0</v>
      </c>
      <c r="I24" s="135">
        <f t="shared" si="2"/>
        <v>10.74252027533565</v>
      </c>
      <c r="J24" s="135">
        <f t="shared" si="3"/>
        <v>25.22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25.76</v>
      </c>
      <c r="F25" s="135">
        <f t="shared" si="1"/>
        <v>10.972534587337288</v>
      </c>
      <c r="G25" s="133">
        <f t="shared" si="7"/>
        <v>0</v>
      </c>
      <c r="H25" s="143">
        <f t="shared" si="7"/>
        <v>0</v>
      </c>
      <c r="I25" s="135">
        <f t="shared" si="2"/>
        <v>10.972534587337288</v>
      </c>
      <c r="J25" s="135">
        <f t="shared" si="3"/>
        <v>25.76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26.3</v>
      </c>
      <c r="F26" s="135">
        <f t="shared" si="1"/>
        <v>11.202548899338922</v>
      </c>
      <c r="G26" s="133">
        <f t="shared" si="7"/>
        <v>0</v>
      </c>
      <c r="H26" s="143">
        <f t="shared" si="7"/>
        <v>0</v>
      </c>
      <c r="I26" s="135">
        <f t="shared" si="2"/>
        <v>11.202548899338922</v>
      </c>
      <c r="J26" s="135">
        <f t="shared" si="3"/>
        <v>26.3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26.85</v>
      </c>
      <c r="F27" s="135">
        <f t="shared" si="1"/>
        <v>11.436822735636884</v>
      </c>
      <c r="G27" s="133">
        <f t="shared" si="7"/>
        <v>0</v>
      </c>
      <c r="H27" s="143">
        <f t="shared" si="7"/>
        <v>0</v>
      </c>
      <c r="I27" s="135">
        <f t="shared" si="2"/>
        <v>11.436822735636884</v>
      </c>
      <c r="J27" s="135">
        <f t="shared" si="3"/>
        <v>26.85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27.4</v>
      </c>
      <c r="F28" s="135">
        <f t="shared" si="1"/>
        <v>11.671096571934847</v>
      </c>
      <c r="G28" s="133">
        <f t="shared" si="7"/>
        <v>0</v>
      </c>
      <c r="H28" s="143">
        <f t="shared" si="7"/>
        <v>0</v>
      </c>
      <c r="I28" s="135">
        <f t="shared" si="2"/>
        <v>11.671096571934847</v>
      </c>
      <c r="J28" s="135">
        <f t="shared" si="3"/>
        <v>27.4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27.96</v>
      </c>
      <c r="F29" s="135">
        <f t="shared" si="1"/>
        <v>49.035679614962476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49.035679614962476</v>
      </c>
      <c r="J29" s="135">
        <f t="shared" si="3"/>
        <v>115.12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88.93</v>
      </c>
      <c r="E30" s="133">
        <f t="shared" si="8"/>
        <v>28.53</v>
      </c>
      <c r="F30" s="135">
        <f t="shared" si="1"/>
        <v>50.032372384652085</v>
      </c>
      <c r="G30" s="133">
        <f t="shared" si="9"/>
        <v>0</v>
      </c>
      <c r="H30" s="143">
        <f t="shared" si="9"/>
        <v>0</v>
      </c>
      <c r="I30" s="135">
        <f t="shared" si="2"/>
        <v>50.032372384652085</v>
      </c>
      <c r="J30" s="135">
        <f t="shared" si="3"/>
        <v>117.46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90.72</v>
      </c>
      <c r="E31" s="133">
        <f t="shared" si="8"/>
        <v>29.1</v>
      </c>
      <c r="F31" s="135">
        <f t="shared" si="1"/>
        <v>51.037620118585153</v>
      </c>
      <c r="G31" s="133">
        <f t="shared" si="9"/>
        <v>0</v>
      </c>
      <c r="H31" s="143">
        <f t="shared" si="9"/>
        <v>0</v>
      </c>
      <c r="I31" s="135">
        <f t="shared" si="2"/>
        <v>51.037620118585153</v>
      </c>
      <c r="J31" s="135">
        <f t="shared" si="3"/>
        <v>119.82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92.53</v>
      </c>
      <c r="E32" s="133">
        <f t="shared" si="8"/>
        <v>29.68</v>
      </c>
      <c r="F32" s="135">
        <f t="shared" si="1"/>
        <v>52.055646425407211</v>
      </c>
      <c r="G32" s="133">
        <f t="shared" si="9"/>
        <v>0</v>
      </c>
      <c r="H32" s="143">
        <f t="shared" si="9"/>
        <v>0</v>
      </c>
      <c r="I32" s="135">
        <f t="shared" si="2"/>
        <v>52.055646425407211</v>
      </c>
      <c r="J32" s="135">
        <f t="shared" si="3"/>
        <v>122.21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94.39</v>
      </c>
      <c r="E33" s="133">
        <f t="shared" si="8"/>
        <v>30.28</v>
      </c>
      <c r="F33" s="135">
        <f t="shared" si="1"/>
        <v>53.103489402303552</v>
      </c>
      <c r="G33" s="133">
        <f t="shared" si="9"/>
        <v>0</v>
      </c>
      <c r="H33" s="143">
        <f t="shared" si="9"/>
        <v>0</v>
      </c>
      <c r="I33" s="135">
        <f t="shared" si="2"/>
        <v>53.103489402303552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96.29</v>
      </c>
      <c r="E34" s="133">
        <f t="shared" si="8"/>
        <v>30.89</v>
      </c>
      <c r="F34" s="135">
        <f t="shared" si="1"/>
        <v>54.172630000681529</v>
      </c>
      <c r="G34" s="133">
        <f t="shared" si="9"/>
        <v>0</v>
      </c>
      <c r="H34" s="143">
        <f t="shared" si="9"/>
        <v>0</v>
      </c>
      <c r="I34" s="135">
        <f t="shared" si="2"/>
        <v>54.172630000681529</v>
      </c>
      <c r="J34" s="135">
        <f t="shared" si="3"/>
        <v>127.18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98.25</v>
      </c>
      <c r="E35" s="133">
        <f t="shared" si="8"/>
        <v>31.52</v>
      </c>
      <c r="F35" s="135">
        <f t="shared" si="1"/>
        <v>55.275846793430112</v>
      </c>
      <c r="G35" s="133">
        <f t="shared" si="9"/>
        <v>0</v>
      </c>
      <c r="H35" s="143">
        <f t="shared" si="9"/>
        <v>0</v>
      </c>
      <c r="I35" s="135">
        <f t="shared" si="2"/>
        <v>55.275846793430112</v>
      </c>
      <c r="J35" s="135">
        <f t="shared" si="3"/>
        <v>129.77000000000001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100.28</v>
      </c>
      <c r="E36" s="133">
        <f t="shared" si="8"/>
        <v>32.17</v>
      </c>
      <c r="F36" s="135">
        <f t="shared" si="1"/>
        <v>56.417399304845631</v>
      </c>
      <c r="G36" s="133">
        <f t="shared" si="9"/>
        <v>0</v>
      </c>
      <c r="H36" s="143">
        <f t="shared" si="9"/>
        <v>0</v>
      </c>
      <c r="I36" s="135">
        <f t="shared" si="2"/>
        <v>56.417399304845631</v>
      </c>
      <c r="J36" s="135">
        <f t="shared" si="3"/>
        <v>132.44999999999999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1129.0663267642597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18.718009285501743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1">C66+1</f>
        <v>2018</v>
      </c>
      <c r="D67" s="41">
        <v>2.00162222805087E-2</v>
      </c>
      <c r="E67" s="86"/>
      <c r="F67" s="88">
        <f t="shared" ref="F67:F74" si="12">F66+1</f>
        <v>2027</v>
      </c>
      <c r="G67" s="41">
        <v>2.2017580891201094E-2</v>
      </c>
      <c r="H67" s="86"/>
      <c r="I67" s="88">
        <f t="shared" ref="I67:I74" si="13">I66+1</f>
        <v>2036</v>
      </c>
      <c r="J67" s="88"/>
      <c r="K67" s="41">
        <v>2.0338413275796441E-2</v>
      </c>
    </row>
    <row r="68" spans="3:11">
      <c r="C68" s="88">
        <f t="shared" si="11"/>
        <v>2019</v>
      </c>
      <c r="D68" s="41">
        <v>2.3023767536204609E-2</v>
      </c>
      <c r="E68" s="86"/>
      <c r="F68" s="88">
        <f t="shared" si="12"/>
        <v>2028</v>
      </c>
      <c r="G68" s="41">
        <v>2.1672038954803963E-2</v>
      </c>
      <c r="H68" s="86"/>
      <c r="I68" s="88">
        <f t="shared" si="13"/>
        <v>2037</v>
      </c>
      <c r="J68" s="88"/>
      <c r="K68" s="41">
        <v>2.0148107799243142E-2</v>
      </c>
    </row>
    <row r="69" spans="3:11">
      <c r="C69" s="88">
        <f t="shared" si="11"/>
        <v>2020</v>
      </c>
      <c r="D69" s="41">
        <v>2.6569957493475238E-2</v>
      </c>
      <c r="E69" s="86"/>
      <c r="F69" s="88">
        <f t="shared" si="12"/>
        <v>2029</v>
      </c>
      <c r="G69" s="41">
        <v>2.1882861611237647E-2</v>
      </c>
      <c r="H69" s="86"/>
      <c r="I69" s="88">
        <f t="shared" si="13"/>
        <v>2038</v>
      </c>
      <c r="J69" s="88"/>
      <c r="K69" s="41">
        <v>1.9981989666423283E-2</v>
      </c>
    </row>
    <row r="70" spans="3:11">
      <c r="C70" s="88">
        <f t="shared" si="11"/>
        <v>2021</v>
      </c>
      <c r="D70" s="41">
        <v>2.633678201148415E-2</v>
      </c>
      <c r="E70" s="86"/>
      <c r="F70" s="88">
        <f t="shared" si="12"/>
        <v>2030</v>
      </c>
      <c r="G70" s="41">
        <v>2.1716430930730724E-2</v>
      </c>
      <c r="H70" s="86"/>
      <c r="I70" s="88">
        <f t="shared" si="13"/>
        <v>2039</v>
      </c>
      <c r="J70" s="88"/>
      <c r="K70" s="41">
        <v>2.0091958569135482E-2</v>
      </c>
    </row>
    <row r="71" spans="3:11">
      <c r="C71" s="88">
        <f t="shared" si="11"/>
        <v>2022</v>
      </c>
      <c r="D71" s="41">
        <v>2.5190838317338926E-2</v>
      </c>
      <c r="E71" s="86"/>
      <c r="F71" s="88">
        <f t="shared" si="12"/>
        <v>2031</v>
      </c>
      <c r="G71" s="41">
        <v>2.1283257880358342E-2</v>
      </c>
      <c r="H71" s="86"/>
      <c r="I71" s="88">
        <f t="shared" si="13"/>
        <v>2040</v>
      </c>
      <c r="J71" s="88"/>
      <c r="K71" s="41">
        <v>2.016857640433245E-2</v>
      </c>
    </row>
    <row r="72" spans="3:11" s="124" customFormat="1">
      <c r="C72" s="88">
        <f t="shared" si="11"/>
        <v>2023</v>
      </c>
      <c r="D72" s="41">
        <v>2.3861027991437966E-2</v>
      </c>
      <c r="E72" s="87"/>
      <c r="F72" s="88">
        <f t="shared" si="12"/>
        <v>2032</v>
      </c>
      <c r="G72" s="41">
        <v>2.092650190640466E-2</v>
      </c>
      <c r="H72" s="87"/>
      <c r="I72" s="88">
        <f t="shared" si="13"/>
        <v>2041</v>
      </c>
      <c r="J72" s="88"/>
      <c r="K72" s="41">
        <v>2.0388834681983159E-2</v>
      </c>
    </row>
    <row r="73" spans="3:11" s="124" customFormat="1">
      <c r="C73" s="88">
        <f t="shared" si="11"/>
        <v>2024</v>
      </c>
      <c r="D73" s="41">
        <v>2.3386119938164196E-2</v>
      </c>
      <c r="E73" s="87"/>
      <c r="F73" s="88">
        <f t="shared" si="12"/>
        <v>2033</v>
      </c>
      <c r="G73" s="41">
        <v>2.0801762320284523E-2</v>
      </c>
      <c r="H73" s="87"/>
      <c r="I73" s="88">
        <f t="shared" si="13"/>
        <v>2042</v>
      </c>
      <c r="J73" s="88"/>
      <c r="K73" s="41">
        <v>2.0623380610534037E-2</v>
      </c>
    </row>
    <row r="74" spans="3:11" s="124" customFormat="1">
      <c r="C74" s="88">
        <f t="shared" si="11"/>
        <v>2025</v>
      </c>
      <c r="D74" s="41">
        <v>2.3124371179134462E-2</v>
      </c>
      <c r="E74" s="87"/>
      <c r="F74" s="88">
        <f t="shared" si="12"/>
        <v>2034</v>
      </c>
      <c r="G74" s="41">
        <v>2.065772177898717E-2</v>
      </c>
      <c r="H74" s="87"/>
      <c r="I74" s="88">
        <f t="shared" si="13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72"/>
  <sheetViews>
    <sheetView view="pageBreakPreview" topLeftCell="A2" zoomScale="60" zoomScaleNormal="60" workbookViewId="0">
      <selection activeCell="E23" sqref="E23"/>
    </sheetView>
  </sheetViews>
  <sheetFormatPr defaultRowHeight="12.75"/>
  <cols>
    <col min="1" max="1" width="12.5" style="3" customWidth="1"/>
    <col min="2" max="2" width="10.83203125" style="3" customWidth="1"/>
    <col min="3" max="3" width="18.832031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7.83203125" style="3" customWidth="1"/>
    <col min="8" max="8" width="8.33203125" style="3" bestFit="1" customWidth="1"/>
    <col min="9" max="9" width="14.1640625" style="3" customWidth="1"/>
    <col min="10" max="10" width="6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1" max="21" width="13.1640625" customWidth="1"/>
    <col min="24" max="24" width="10.83203125" customWidth="1"/>
    <col min="25" max="25" width="10.1640625" customWidth="1"/>
    <col min="26" max="26" width="11.1640625" customWidth="1"/>
    <col min="27" max="32" width="10.83203125" customWidth="1"/>
    <col min="33" max="33" width="10.1640625" customWidth="1"/>
    <col min="35" max="35" width="10" customWidth="1"/>
    <col min="36" max="36" width="12.5" customWidth="1"/>
    <col min="43" max="48" width="10.83203125" customWidth="1"/>
    <col min="49" max="49" width="9.83203125" customWidth="1"/>
    <col min="50" max="50" width="10.83203125" customWidth="1"/>
    <col min="51" max="51" width="11.1640625" customWidth="1"/>
    <col min="52" max="52" width="12.83203125" customWidth="1"/>
    <col min="53" max="53" width="5.83203125" customWidth="1"/>
    <col min="54" max="55" width="16.1640625" customWidth="1"/>
    <col min="56" max="56" width="12.5" customWidth="1"/>
    <col min="57" max="57" width="11.83203125" customWidth="1"/>
    <col min="58" max="58" width="11.6640625" customWidth="1"/>
    <col min="59" max="59" width="9.6640625" customWidth="1"/>
    <col min="62" max="62" width="12.5" customWidth="1"/>
    <col min="63" max="63" width="10.5" customWidth="1"/>
    <col min="64" max="64" width="11.83203125" customWidth="1"/>
    <col min="65" max="66" width="12.83203125" customWidth="1"/>
    <col min="67" max="67" width="11.83203125" customWidth="1"/>
    <col min="68" max="68" width="11.33203125" customWidth="1"/>
    <col min="69" max="69" width="11.6640625" customWidth="1"/>
    <col min="70" max="70" width="13.33203125" customWidth="1"/>
    <col min="71" max="71" width="12.1640625" customWidth="1"/>
    <col min="81" max="81" width="10.5" customWidth="1"/>
    <col min="82" max="82" width="10.33203125" customWidth="1"/>
    <col min="83" max="83" width="10.1640625" customWidth="1"/>
    <col min="84" max="84" width="10.6640625" customWidth="1"/>
    <col min="85" max="85" width="10.83203125" customWidth="1"/>
    <col min="86" max="86" width="11.5" customWidth="1"/>
    <col min="87" max="87" width="11.83203125" customWidth="1"/>
    <col min="88" max="88" width="11.1640625" customWidth="1"/>
    <col min="89" max="89" width="12" customWidth="1"/>
    <col min="90" max="90" width="12.5" customWidth="1"/>
    <col min="91" max="91" width="11" customWidth="1"/>
    <col min="94" max="94" width="17.33203125" customWidth="1"/>
    <col min="95" max="95" width="16.6640625" customWidth="1"/>
    <col min="96" max="96" width="15" customWidth="1"/>
  </cols>
  <sheetData>
    <row r="1" spans="2:95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95" customFormat="1" ht="5.25" customHeight="1">
      <c r="B2" s="1"/>
      <c r="C2" s="2"/>
      <c r="D2" s="2"/>
      <c r="E2" s="2"/>
      <c r="F2" s="3"/>
      <c r="G2" s="11"/>
      <c r="H2" s="36"/>
      <c r="I2" s="5"/>
    </row>
    <row r="3" spans="2:95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P3" s="216">
        <v>0</v>
      </c>
      <c r="CQ3" t="s">
        <v>114</v>
      </c>
    </row>
    <row r="4" spans="2:95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252</v>
      </c>
      <c r="P4" s="183" t="s">
        <v>61</v>
      </c>
      <c r="Q4" s="183"/>
      <c r="CP4">
        <v>750</v>
      </c>
      <c r="CQ4" t="s">
        <v>115</v>
      </c>
    </row>
    <row r="5" spans="2:95" customFormat="1" ht="15.75">
      <c r="B5" s="4" t="str">
        <f ca="1">'Table 5'!M4&amp; " - "&amp;TEXT(Study_MW,"#.0")&amp;" MW and "&amp;TEXT(Study_CF,"#.0%")&amp;" CF"</f>
        <v>Utah 2018.Q1 - 100.0 MW and 85.0%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0.11776428835036618</v>
      </c>
      <c r="U5" s="184">
        <v>0.11776428835036618</v>
      </c>
      <c r="V5" s="184">
        <v>0.11776428835036618</v>
      </c>
      <c r="W5" s="184">
        <v>0.158</v>
      </c>
      <c r="X5" s="184">
        <v>0.53861399146353772</v>
      </c>
      <c r="Y5" s="184">
        <v>0.53861399146353772</v>
      </c>
      <c r="Z5" s="184">
        <v>0.53861399146353772</v>
      </c>
      <c r="AA5" s="184">
        <v>0.59672377662708742</v>
      </c>
      <c r="AB5" s="184">
        <v>0.59672377662708742</v>
      </c>
      <c r="AC5" s="184">
        <v>0.37912293315598289</v>
      </c>
      <c r="AD5" s="184">
        <v>0.64803174039612643</v>
      </c>
      <c r="AE5" s="184">
        <v>0.64803174039612643</v>
      </c>
      <c r="AF5" s="184">
        <v>0.64803174039612643</v>
      </c>
      <c r="AG5" s="184">
        <v>0.64803174039612643</v>
      </c>
      <c r="AH5" s="184"/>
      <c r="CP5" s="194">
        <f>$CP$3*$CP$4</f>
        <v>0</v>
      </c>
      <c r="CQ5" t="s">
        <v>110</v>
      </c>
    </row>
    <row r="6" spans="2:95" customFormat="1" ht="14.25" hidden="1">
      <c r="B6" s="20"/>
      <c r="C6" s="4"/>
      <c r="D6" s="4"/>
      <c r="E6" s="4"/>
      <c r="F6" s="4"/>
      <c r="G6" s="11"/>
      <c r="H6" s="36"/>
      <c r="I6" s="5"/>
    </row>
    <row r="7" spans="2:95" customFormat="1">
      <c r="B7" s="3"/>
      <c r="C7" s="7"/>
      <c r="D7" s="7"/>
      <c r="E7" s="3"/>
      <c r="F7" s="3"/>
      <c r="G7" s="3"/>
      <c r="H7" s="36"/>
      <c r="I7" s="49"/>
    </row>
    <row r="8" spans="2:95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61</v>
      </c>
      <c r="L8" s="245"/>
      <c r="P8" s="246" t="s">
        <v>93</v>
      </c>
      <c r="Q8" s="246"/>
      <c r="X8" s="241" t="s">
        <v>163</v>
      </c>
      <c r="Y8" s="241" t="s">
        <v>154</v>
      </c>
      <c r="Z8" s="241" t="s">
        <v>155</v>
      </c>
      <c r="AA8" s="241" t="s">
        <v>156</v>
      </c>
      <c r="AB8" s="241" t="s">
        <v>157</v>
      </c>
      <c r="AC8" s="241" t="s">
        <v>158</v>
      </c>
      <c r="AD8" s="241" t="s">
        <v>166</v>
      </c>
      <c r="AE8" s="241" t="s">
        <v>160</v>
      </c>
      <c r="AF8" s="241" t="s">
        <v>161</v>
      </c>
      <c r="AG8" s="241" t="s">
        <v>162</v>
      </c>
      <c r="AI8" s="246" t="s">
        <v>94</v>
      </c>
      <c r="AJ8" s="246"/>
      <c r="AQ8" s="241" t="str">
        <f t="shared" ref="AQ8:AZ8" si="0">X8</f>
        <v>IRP17 Yakima Solar2030</v>
      </c>
      <c r="AR8" s="241" t="str">
        <f t="shared" si="0"/>
        <v>IRP17 Yakima Solar2032</v>
      </c>
      <c r="AS8" s="241" t="str">
        <f t="shared" si="0"/>
        <v>IRP17 Yakima Solar2033</v>
      </c>
      <c r="AT8" s="241" t="str">
        <f t="shared" si="0"/>
        <v>IRP17 Utah South Solar T2033</v>
      </c>
      <c r="AU8" s="241" t="str">
        <f t="shared" si="0"/>
        <v>IRP17 Utah South Solar T2035</v>
      </c>
      <c r="AV8" s="241" t="str">
        <f t="shared" si="0"/>
        <v>IRP17 Utah South Solar F2035</v>
      </c>
      <c r="AW8" s="241" t="str">
        <f t="shared" si="0"/>
        <v>IRP17 SOregonCal Solar2030</v>
      </c>
      <c r="AX8" s="241" t="str">
        <f t="shared" si="0"/>
        <v>IRP17 SOregonCal Solar2031</v>
      </c>
      <c r="AY8" s="241" t="str">
        <f t="shared" si="0"/>
        <v>IRP17 SOregonCal Solar2032</v>
      </c>
      <c r="AZ8" s="241" t="str">
        <f t="shared" si="0"/>
        <v>IRP17 SOregonCal Solar2033</v>
      </c>
      <c r="BB8" s="246" t="s">
        <v>95</v>
      </c>
      <c r="BC8" s="246"/>
      <c r="BU8" s="246" t="s">
        <v>96</v>
      </c>
      <c r="BV8" s="246"/>
      <c r="CP8" s="209" t="s">
        <v>95</v>
      </c>
      <c r="CQ8" s="210" t="s">
        <v>96</v>
      </c>
    </row>
    <row r="9" spans="2:95" s="220" customFormat="1" ht="51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0.85</v>
      </c>
      <c r="H9" s="234"/>
      <c r="I9" s="235"/>
      <c r="K9" s="236" t="s">
        <v>62</v>
      </c>
      <c r="L9" s="236" t="s">
        <v>54</v>
      </c>
      <c r="M9" s="237" t="s">
        <v>97</v>
      </c>
      <c r="P9" s="220" t="s">
        <v>92</v>
      </c>
      <c r="Q9" s="220" t="s">
        <v>144</v>
      </c>
      <c r="R9" s="220" t="s">
        <v>88</v>
      </c>
      <c r="S9" s="220" t="s">
        <v>89</v>
      </c>
      <c r="T9" s="220" t="s">
        <v>147</v>
      </c>
      <c r="U9" s="220" t="s">
        <v>148</v>
      </c>
      <c r="V9" s="220" t="s">
        <v>149</v>
      </c>
      <c r="W9" s="220" t="s">
        <v>146</v>
      </c>
      <c r="X9" s="220" t="s">
        <v>91</v>
      </c>
      <c r="Y9" s="241" t="s">
        <v>91</v>
      </c>
      <c r="Z9" s="241" t="s">
        <v>91</v>
      </c>
      <c r="AA9" s="220" t="s">
        <v>151</v>
      </c>
      <c r="AB9" s="241" t="s">
        <v>151</v>
      </c>
      <c r="AC9" s="241" t="s">
        <v>165</v>
      </c>
      <c r="AD9" s="241" t="s">
        <v>145</v>
      </c>
      <c r="AE9" s="241" t="s">
        <v>145</v>
      </c>
      <c r="AF9" s="241" t="s">
        <v>145</v>
      </c>
      <c r="AG9" s="220" t="s">
        <v>145</v>
      </c>
      <c r="AH9" s="239"/>
      <c r="AI9" s="220" t="str">
        <f t="shared" ref="AI9:AZ9" si="1">P9</f>
        <v>IRP17 Aeolus Wind</v>
      </c>
      <c r="AJ9" s="220" t="str">
        <f t="shared" si="1"/>
        <v>IRP17 WYAE WindCDR2021</v>
      </c>
      <c r="AK9" s="220" t="str">
        <f t="shared" si="1"/>
        <v>IRP17 Dave Johnston Wind</v>
      </c>
      <c r="AL9" s="220" t="str">
        <f t="shared" si="1"/>
        <v>IRP17 Goshen Wind 2</v>
      </c>
      <c r="AM9" s="220" t="str">
        <f t="shared" si="1"/>
        <v>IRP17 WallaW Wind</v>
      </c>
      <c r="AN9" s="220" t="str">
        <f t="shared" si="1"/>
        <v>IRP17 Yakima Wind</v>
      </c>
      <c r="AO9" s="220" t="str">
        <f t="shared" si="1"/>
        <v>IRP17 S Oregon Wind</v>
      </c>
      <c r="AP9" s="220" t="str">
        <f t="shared" si="1"/>
        <v>IRP17 UT Wind</v>
      </c>
      <c r="AQ9" s="220" t="str">
        <f t="shared" si="1"/>
        <v>IRP17 Yakima Solar</v>
      </c>
      <c r="AR9" s="241" t="str">
        <f t="shared" si="1"/>
        <v>IRP17 Yakima Solar</v>
      </c>
      <c r="AS9" s="241" t="str">
        <f t="shared" si="1"/>
        <v>IRP17 Yakima Solar</v>
      </c>
      <c r="AT9" s="241" t="str">
        <f t="shared" si="1"/>
        <v>IRP17 Utah South Solar T</v>
      </c>
      <c r="AU9" s="241" t="str">
        <f t="shared" si="1"/>
        <v>IRP17 Utah South Solar T</v>
      </c>
      <c r="AV9" s="241" t="str">
        <f t="shared" si="1"/>
        <v>IRP17 Utah South Solar F</v>
      </c>
      <c r="AW9" s="241" t="str">
        <f t="shared" si="1"/>
        <v>IRP17 SOregonCal Solar</v>
      </c>
      <c r="AX9" s="241" t="str">
        <f t="shared" si="1"/>
        <v>IRP17 SOregonCal Solar</v>
      </c>
      <c r="AY9" s="241" t="str">
        <f t="shared" si="1"/>
        <v>IRP17 SOregonCal Solar</v>
      </c>
      <c r="AZ9" s="241" t="str">
        <f t="shared" si="1"/>
        <v>IRP17 SOregonCal Solar</v>
      </c>
      <c r="BB9" s="220" t="str">
        <f t="shared" ref="BB9:BI9" si="2">P9</f>
        <v>IRP17 Aeolus Wind</v>
      </c>
      <c r="BC9" s="220" t="str">
        <f t="shared" si="2"/>
        <v>IRP17 WYAE WindCDR2021</v>
      </c>
      <c r="BD9" s="220" t="str">
        <f t="shared" si="2"/>
        <v>IRP17 Dave Johnston Wind</v>
      </c>
      <c r="BE9" s="220" t="str">
        <f t="shared" si="2"/>
        <v>IRP17 Goshen Wind 2</v>
      </c>
      <c r="BF9" s="220" t="str">
        <f t="shared" si="2"/>
        <v>IRP17 WallaW Wind</v>
      </c>
      <c r="BG9" s="220" t="str">
        <f t="shared" si="2"/>
        <v>IRP17 Yakima Wind</v>
      </c>
      <c r="BH9" s="220" t="str">
        <f t="shared" si="2"/>
        <v>IRP17 S Oregon Wind</v>
      </c>
      <c r="BI9" s="220" t="str">
        <f t="shared" si="2"/>
        <v>IRP17 UT Wind</v>
      </c>
      <c r="BJ9" s="243" t="s">
        <v>153</v>
      </c>
      <c r="BK9" s="243" t="s">
        <v>154</v>
      </c>
      <c r="BL9" s="243" t="s">
        <v>155</v>
      </c>
      <c r="BM9" s="243" t="s">
        <v>156</v>
      </c>
      <c r="BN9" s="243" t="s">
        <v>157</v>
      </c>
      <c r="BO9" s="243" t="s">
        <v>158</v>
      </c>
      <c r="BP9" s="243" t="s">
        <v>159</v>
      </c>
      <c r="BQ9" s="243" t="s">
        <v>160</v>
      </c>
      <c r="BR9" s="243" t="s">
        <v>161</v>
      </c>
      <c r="BS9" s="243" t="s">
        <v>162</v>
      </c>
      <c r="BU9" s="220" t="str">
        <f>BB9</f>
        <v>IRP17 Aeolus Wind</v>
      </c>
      <c r="BV9" s="241" t="str">
        <f t="shared" ref="BV9:CL9" si="3">BC9</f>
        <v>IRP17 WYAE WindCDR2021</v>
      </c>
      <c r="BW9" s="241" t="str">
        <f t="shared" si="3"/>
        <v>IRP17 Dave Johnston Wind</v>
      </c>
      <c r="BX9" s="241" t="str">
        <f t="shared" si="3"/>
        <v>IRP17 Goshen Wind 2</v>
      </c>
      <c r="BY9" s="241" t="str">
        <f t="shared" si="3"/>
        <v>IRP17 WallaW Wind</v>
      </c>
      <c r="BZ9" s="241" t="str">
        <f t="shared" si="3"/>
        <v>IRP17 Yakima Wind</v>
      </c>
      <c r="CA9" s="241" t="str">
        <f t="shared" si="3"/>
        <v>IRP17 S Oregon Wind</v>
      </c>
      <c r="CB9" s="241" t="str">
        <f t="shared" si="3"/>
        <v>IRP17 UT Wind</v>
      </c>
      <c r="CC9" s="241" t="str">
        <f t="shared" si="3"/>
        <v xml:space="preserve">IRP17 Yakima Solar2030 </v>
      </c>
      <c r="CD9" s="241" t="str">
        <f t="shared" si="3"/>
        <v>IRP17 Yakima Solar2032</v>
      </c>
      <c r="CE9" s="241" t="str">
        <f t="shared" si="3"/>
        <v>IRP17 Yakima Solar2033</v>
      </c>
      <c r="CF9" s="241" t="str">
        <f t="shared" si="3"/>
        <v>IRP17 Utah South Solar T2033</v>
      </c>
      <c r="CG9" s="241" t="str">
        <f t="shared" si="3"/>
        <v>IRP17 Utah South Solar T2035</v>
      </c>
      <c r="CH9" s="241" t="str">
        <f t="shared" si="3"/>
        <v>IRP17 Utah South Solar F2035</v>
      </c>
      <c r="CI9" s="241" t="str">
        <f t="shared" si="3"/>
        <v>IRP17 SOregonCal Solar2030'</v>
      </c>
      <c r="CJ9" s="241" t="str">
        <f t="shared" si="3"/>
        <v>IRP17 SOregonCal Solar2031</v>
      </c>
      <c r="CK9" s="241" t="str">
        <f t="shared" si="3"/>
        <v>IRP17 SOregonCal Solar2032</v>
      </c>
      <c r="CL9" s="241" t="str">
        <f t="shared" si="3"/>
        <v>IRP17 SOregonCal Solar2033</v>
      </c>
      <c r="CM9" s="220" t="s">
        <v>98</v>
      </c>
      <c r="CP9" s="220" t="s">
        <v>111</v>
      </c>
      <c r="CQ9" s="220" t="s">
        <v>111</v>
      </c>
    </row>
    <row r="10" spans="2:95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95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63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I11" t="s">
        <v>34</v>
      </c>
      <c r="AJ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B11" t="s">
        <v>99</v>
      </c>
      <c r="BC11" t="s">
        <v>99</v>
      </c>
      <c r="BD11" t="s">
        <v>99</v>
      </c>
      <c r="BE11" t="s">
        <v>99</v>
      </c>
      <c r="BF11" t="s">
        <v>99</v>
      </c>
      <c r="BG11" t="s">
        <v>99</v>
      </c>
      <c r="BH11" t="s">
        <v>99</v>
      </c>
      <c r="BI11" t="s">
        <v>99</v>
      </c>
      <c r="BJ11" t="s">
        <v>99</v>
      </c>
      <c r="BK11" t="s">
        <v>99</v>
      </c>
      <c r="BL11" t="s">
        <v>99</v>
      </c>
      <c r="BM11" t="s">
        <v>99</v>
      </c>
      <c r="BN11" t="s">
        <v>99</v>
      </c>
      <c r="BO11" t="s">
        <v>99</v>
      </c>
      <c r="BP11" t="s">
        <v>99</v>
      </c>
      <c r="BQ11" t="s">
        <v>99</v>
      </c>
      <c r="BR11" t="s">
        <v>99</v>
      </c>
      <c r="BS11" t="s">
        <v>99</v>
      </c>
      <c r="BU11" t="s">
        <v>100</v>
      </c>
      <c r="BV11" t="s">
        <v>100</v>
      </c>
      <c r="BW11" t="s">
        <v>100</v>
      </c>
      <c r="BX11" t="s">
        <v>100</v>
      </c>
      <c r="BY11" t="s">
        <v>100</v>
      </c>
      <c r="BZ11" t="s">
        <v>100</v>
      </c>
      <c r="CA11" t="s">
        <v>100</v>
      </c>
      <c r="CB11" t="s">
        <v>100</v>
      </c>
      <c r="CC11" t="s">
        <v>100</v>
      </c>
      <c r="CD11" t="s">
        <v>100</v>
      </c>
      <c r="CE11" t="s">
        <v>100</v>
      </c>
      <c r="CF11" t="s">
        <v>100</v>
      </c>
      <c r="CG11" t="s">
        <v>100</v>
      </c>
      <c r="CH11" t="s">
        <v>100</v>
      </c>
      <c r="CI11" t="s">
        <v>100</v>
      </c>
      <c r="CJ11" t="s">
        <v>100</v>
      </c>
      <c r="CK11" t="s">
        <v>100</v>
      </c>
      <c r="CL11" t="s">
        <v>100</v>
      </c>
      <c r="CM11" t="s">
        <v>100</v>
      </c>
      <c r="CP11" t="s">
        <v>99</v>
      </c>
      <c r="CQ11" t="s">
        <v>100</v>
      </c>
    </row>
    <row r="12" spans="2:95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95" customFormat="1">
      <c r="B13" s="15">
        <f>'Table 5'!J13</f>
        <v>2018</v>
      </c>
      <c r="C13" s="9">
        <f t="shared" ref="C13:C33" si="4">(INDEX($CM:$CM,MATCH(B13,$O:$O,0),1)+INDEX($CQ:$CQ,MATCH(B13,$O:$O,0),1))*1000/Study_MW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16.09150783587064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16.09150783587064</v>
      </c>
      <c r="H13" s="36"/>
      <c r="I13" s="194"/>
      <c r="J13" s="194"/>
      <c r="K13" s="114" t="s">
        <v>64</v>
      </c>
      <c r="L13" s="115">
        <v>0.59672377662708742</v>
      </c>
      <c r="M13" s="115">
        <v>0.64803174039612643</v>
      </c>
      <c r="O13">
        <f t="shared" ref="O13:O32" si="5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I13">
        <f t="shared" ref="AI13:AI33" si="6">P13/P$5</f>
        <v>0</v>
      </c>
      <c r="AJ13">
        <f t="shared" ref="AJ13:AJ33" si="7">Q13/Q$5</f>
        <v>0</v>
      </c>
      <c r="AK13">
        <f t="shared" ref="AK13:AK33" si="8">R13/R$5</f>
        <v>0</v>
      </c>
      <c r="AL13">
        <f t="shared" ref="AL13:AL33" si="9">S13/S$5</f>
        <v>0</v>
      </c>
      <c r="AM13">
        <f t="shared" ref="AM13:AM33" si="10">T13/T$5</f>
        <v>0</v>
      </c>
      <c r="AN13">
        <f t="shared" ref="AN13:AN33" si="11">U13/U$5</f>
        <v>0</v>
      </c>
      <c r="AO13">
        <f t="shared" ref="AO13:AO33" si="12">V13/V$5</f>
        <v>0</v>
      </c>
      <c r="AP13">
        <f t="shared" ref="AP13:AP33" si="13">W13/W$5</f>
        <v>0</v>
      </c>
      <c r="AQ13">
        <f t="shared" ref="AQ13:AQ33" si="14">X13/X$5</f>
        <v>0</v>
      </c>
      <c r="AR13">
        <f t="shared" ref="AR13:AZ28" si="15">Y13/Y$5</f>
        <v>0</v>
      </c>
      <c r="AS13">
        <f t="shared" si="15"/>
        <v>0</v>
      </c>
      <c r="AT13">
        <f t="shared" si="15"/>
        <v>0</v>
      </c>
      <c r="AU13">
        <f t="shared" si="15"/>
        <v>0</v>
      </c>
      <c r="AV13">
        <f t="shared" si="15"/>
        <v>0</v>
      </c>
      <c r="AW13">
        <f t="shared" si="15"/>
        <v>0</v>
      </c>
      <c r="AX13">
        <f t="shared" si="15"/>
        <v>0</v>
      </c>
      <c r="AY13">
        <f t="shared" si="15"/>
        <v>0</v>
      </c>
      <c r="AZ13">
        <f t="shared" si="15"/>
        <v>0</v>
      </c>
      <c r="BB13">
        <f>VLOOKUP($O13,'Table 3 EV2020 Wind_2020'!$B$10:$K$36,10,FALSE)</f>
        <v>37.15</v>
      </c>
      <c r="BC13">
        <f>VLOOKUP($O13,'Table 3 EV2020 Wind_2021'!$B$10:$K$36,10,FALSE)</f>
        <v>37.15</v>
      </c>
      <c r="BD13">
        <f>VLOOKUP($O13,'Table 3 DJ Wind 2030'!$B$10:$J$36,9,FALSE)</f>
        <v>40.71</v>
      </c>
      <c r="BE13">
        <f>VLOOKUP($O13,'Table 3 ID Wind 2033'!$B$10:$J$36,9,FALSE)</f>
        <v>38.32</v>
      </c>
      <c r="BF13">
        <f>VLOOKUP($O13,'Table 3 WW Wind 2035'!$B$10:$J$36,9,FALSE)</f>
        <v>38.32</v>
      </c>
      <c r="BG13">
        <f>VLOOKUP($O13,'Table 3 YK Wind 2035'!$B$10:$J$36,9,FALSE)</f>
        <v>38.32</v>
      </c>
      <c r="BH13">
        <f>VLOOKUP($O13,'Table 3 OR Wind 2035'!$B$10:$J$36,9,FALSE)</f>
        <v>38.32</v>
      </c>
      <c r="BI13">
        <f>VLOOKUP($O13,'Table 3 UT Wind 2036'!$B$10:$J$36,9,FALSE)</f>
        <v>38.32</v>
      </c>
      <c r="BJ13">
        <f>VLOOKUP($O13,'Table 3 YK Solar 2030'!$B$10:$J$36,9,FALSE)</f>
        <v>19.12</v>
      </c>
      <c r="BK13">
        <f>VLOOKUP($O13,'Table 3 YK Solar 2032'!$B$10:$J$36,9,FALSE)</f>
        <v>19.12</v>
      </c>
      <c r="BL13">
        <f>VLOOKUP($O13,'Table 3 YK Solar 2033'!$B$10:$J$36,9,FALSE)</f>
        <v>19.12</v>
      </c>
      <c r="BM13">
        <f>VLOOKUP($O13,'Table 3 UT Solar 2033 ST'!$B$10:$J$36,9,FALSE)</f>
        <v>20.09</v>
      </c>
      <c r="BN13">
        <f>VLOOKUP($O13,'Table 3 UT Solar 2035 ST'!$B$10:$J$36,9,FALSE)</f>
        <v>20.09</v>
      </c>
      <c r="BO13">
        <f>VLOOKUP($O13,'Table 3 UT Solar 2035 FT'!$B$10:$J$36,9,FALSE)</f>
        <v>19.09</v>
      </c>
      <c r="BP13">
        <f>VLOOKUP($O13,'Table 3 OR Solar 2030'!$B$10:$J$36,9,FALSE)</f>
        <v>20.12</v>
      </c>
      <c r="BQ13">
        <f>VLOOKUP($O13,'Table 3 OR Solar 2031'!$B$10:$J$36,9,FALSE)</f>
        <v>20.12</v>
      </c>
      <c r="BR13">
        <f>VLOOKUP($O13,'Table 3 OR Solar 2032'!$B$10:$J$36,9,FALSE)</f>
        <v>20.12</v>
      </c>
      <c r="BS13">
        <f>VLOOKUP($O13,'Table 3 OR Solar 2033'!$B$10:$J$36,9,FALSE)</f>
        <v>20.12</v>
      </c>
      <c r="BU13">
        <f>SUM(AI$13:AI13)*BB13/1000</f>
        <v>0</v>
      </c>
      <c r="BV13">
        <f>SUM(AJ$13:AJ13)*BC13/1000</f>
        <v>0</v>
      </c>
      <c r="BW13">
        <f>SUM(AK$13:AK13)*BD13/1000</f>
        <v>0</v>
      </c>
      <c r="BX13">
        <f>SUM(AL$13:AL13)*BE13/1000</f>
        <v>0</v>
      </c>
      <c r="BY13">
        <f>SUM(AM$13:AM13)*BF13/1000</f>
        <v>0</v>
      </c>
      <c r="BZ13">
        <f>SUM(AN$13:AN13)*BG13/1000</f>
        <v>0</v>
      </c>
      <c r="CA13">
        <f>SUM(AO$13:AO13)*BH13/1000</f>
        <v>0</v>
      </c>
      <c r="CB13">
        <f>SUM(AP$13:AP13)*BI13/1000</f>
        <v>0</v>
      </c>
      <c r="CC13">
        <f>SUM(AQ$13:AQ13)*BJ13/1000</f>
        <v>0</v>
      </c>
      <c r="CD13">
        <f>SUM(AR$13:AR13)*BK13/1000</f>
        <v>0</v>
      </c>
      <c r="CE13">
        <f>SUM(AS$13:AS13)*BL13/1000</f>
        <v>0</v>
      </c>
      <c r="CF13">
        <f>SUM(AT$13:AT13)*BM13/1000</f>
        <v>0</v>
      </c>
      <c r="CG13">
        <f>SUM(AU$13:AU13)*BN13/1000</f>
        <v>0</v>
      </c>
      <c r="CH13">
        <f>SUM(AV$13:AV13)*BO13/1000</f>
        <v>0</v>
      </c>
      <c r="CI13">
        <f>SUM(AW$13:AW13)*BP13/1000</f>
        <v>0</v>
      </c>
      <c r="CJ13">
        <f>SUM(AX$13:AX13)*BQ13/1000</f>
        <v>0</v>
      </c>
      <c r="CK13">
        <f>SUM(AY$13:AY13)*BR13/1000</f>
        <v>0</v>
      </c>
      <c r="CL13">
        <f>SUM(AZ$13:AZ13)*BS13/1000</f>
        <v>0</v>
      </c>
      <c r="CM13">
        <f t="shared" ref="CM13:CM14" si="16">SUM(BU13:CL13)</f>
        <v>0</v>
      </c>
      <c r="CO13">
        <f t="shared" ref="CO13:CO33" si="17">O13</f>
        <v>2018</v>
      </c>
      <c r="CP13" s="90">
        <f>IFERROR(VLOOKUP($CO13,'Table 3 TransCost D2 '!$B$10:$E$34,4,FALSE),0)</f>
        <v>0</v>
      </c>
      <c r="CQ13" s="194">
        <f>$CP$5*CP13/1000</f>
        <v>0</v>
      </c>
    </row>
    <row r="14" spans="2:95" customFormat="1">
      <c r="B14" s="15">
        <f t="shared" ref="B14:B33" si="18">B13+1</f>
        <v>2019</v>
      </c>
      <c r="C14" s="9">
        <f t="shared" si="4"/>
        <v>0</v>
      </c>
      <c r="D14" s="45"/>
      <c r="E14" s="9">
        <f t="shared" ref="E14:E32" ca="1" si="19">SUMIF(INDIRECT("'Table 5'!$J$"&amp;$K$3&amp;":$J$"&amp;$K$4),B14,INDIRECT("'Table 5'!$c$"&amp;$K$3&amp;":$c$"&amp;$K$4))/SUMIF(INDIRECT("'Table 5'!$J$"&amp;$K$3&amp;":$J$"&amp;$K$4),B14,INDIRECT("'Table 5'!$f$"&amp;$K$3&amp;":$f$"&amp;$K$4))</f>
        <v>16.770993493534256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16.770993493534256</v>
      </c>
      <c r="H14" s="36"/>
      <c r="I14" s="194"/>
      <c r="J14" s="194"/>
      <c r="K14" s="114" t="s">
        <v>65</v>
      </c>
      <c r="L14" s="115">
        <v>1</v>
      </c>
      <c r="M14" s="115">
        <v>1</v>
      </c>
      <c r="O14">
        <f t="shared" si="5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I14">
        <f t="shared" si="6"/>
        <v>0</v>
      </c>
      <c r="AJ14">
        <f t="shared" si="7"/>
        <v>0</v>
      </c>
      <c r="AK14">
        <f t="shared" si="8"/>
        <v>0</v>
      </c>
      <c r="AL14">
        <f t="shared" si="9"/>
        <v>0</v>
      </c>
      <c r="AM14">
        <f t="shared" si="10"/>
        <v>0</v>
      </c>
      <c r="AN14">
        <f t="shared" si="11"/>
        <v>0</v>
      </c>
      <c r="AO14">
        <f t="shared" si="12"/>
        <v>0</v>
      </c>
      <c r="AP14">
        <f t="shared" si="13"/>
        <v>0</v>
      </c>
      <c r="AQ14">
        <f t="shared" si="14"/>
        <v>0</v>
      </c>
      <c r="AR14">
        <f t="shared" si="15"/>
        <v>0</v>
      </c>
      <c r="AS14">
        <f t="shared" si="15"/>
        <v>0</v>
      </c>
      <c r="AT14">
        <f t="shared" si="15"/>
        <v>0</v>
      </c>
      <c r="AU14">
        <f t="shared" si="15"/>
        <v>0</v>
      </c>
      <c r="AV14">
        <f t="shared" si="15"/>
        <v>0</v>
      </c>
      <c r="AW14">
        <f t="shared" si="15"/>
        <v>0</v>
      </c>
      <c r="AX14">
        <f t="shared" si="15"/>
        <v>0</v>
      </c>
      <c r="AY14">
        <f t="shared" si="15"/>
        <v>0</v>
      </c>
      <c r="AZ14">
        <f t="shared" si="15"/>
        <v>0</v>
      </c>
      <c r="BB14">
        <f>VLOOKUP($O14,'Table 3 EV2020 Wind_2020'!$B$10:$K$36,10,FALSE)</f>
        <v>38.01</v>
      </c>
      <c r="BC14">
        <f>VLOOKUP($O14,'Table 3 EV2020 Wind_2021'!$B$10:$K$36,10,FALSE)</f>
        <v>38.01</v>
      </c>
      <c r="BD14">
        <f>VLOOKUP($O14,'Table 3 DJ Wind 2030'!$B$10:$J$36,9,FALSE)</f>
        <v>41.66</v>
      </c>
      <c r="BE14">
        <f>VLOOKUP($O14,'Table 3 ID Wind 2033'!$B$10:$J$36,9,FALSE)</f>
        <v>39.200000000000003</v>
      </c>
      <c r="BF14">
        <f>VLOOKUP($O14,'Table 3 WW Wind 2035'!$B$10:$J$36,9,FALSE)</f>
        <v>39.200000000000003</v>
      </c>
      <c r="BG14">
        <f>VLOOKUP($O14,'Table 3 YK Wind 2035'!$B$10:$J$36,9,FALSE)</f>
        <v>39.200000000000003</v>
      </c>
      <c r="BH14">
        <f>VLOOKUP($O14,'Table 3 OR Wind 2035'!$B$10:$J$36,9,FALSE)</f>
        <v>39.200000000000003</v>
      </c>
      <c r="BI14">
        <f>VLOOKUP($O14,'Table 3 UT Wind 2036'!$B$10:$J$36,9,FALSE)</f>
        <v>39.200000000000003</v>
      </c>
      <c r="BJ14">
        <f>VLOOKUP($O14,'Table 3 YK Solar 2030'!$B$10:$J$36,9,FALSE)</f>
        <v>19.559999999999999</v>
      </c>
      <c r="BK14">
        <f>VLOOKUP($O14,'Table 3 YK Solar 2032'!$B$10:$J$36,9,FALSE)</f>
        <v>19.559999999999999</v>
      </c>
      <c r="BL14">
        <f>VLOOKUP($O14,'Table 3 YK Solar 2033'!$B$10:$J$36,9,FALSE)</f>
        <v>19.559999999999999</v>
      </c>
      <c r="BM14">
        <f>VLOOKUP($O14,'Table 3 UT Solar 2033 ST'!$B$10:$J$36,9,FALSE)</f>
        <v>20.55</v>
      </c>
      <c r="BN14">
        <f>VLOOKUP($O14,'Table 3 UT Solar 2035 ST'!$B$10:$J$36,9,FALSE)</f>
        <v>20.55</v>
      </c>
      <c r="BO14">
        <f>VLOOKUP($O14,'Table 3 UT Solar 2035 FT'!$B$10:$J$36,9,FALSE)</f>
        <v>19.53</v>
      </c>
      <c r="BP14">
        <f>VLOOKUP($O14,'Table 3 OR Solar 2030'!$B$10:$J$36,9,FALSE)</f>
        <v>20.58</v>
      </c>
      <c r="BQ14">
        <f>VLOOKUP($O14,'Table 3 OR Solar 2031'!$B$10:$J$36,9,FALSE)</f>
        <v>20.58</v>
      </c>
      <c r="BR14">
        <f>VLOOKUP($O14,'Table 3 OR Solar 2032'!$B$10:$J$36,9,FALSE)</f>
        <v>20.58</v>
      </c>
      <c r="BS14">
        <f>VLOOKUP($O14,'Table 3 OR Solar 2033'!$B$10:$J$36,9,FALSE)</f>
        <v>20.58</v>
      </c>
      <c r="BU14">
        <f>SUM(AI$13:AI14)*BB14/1000</f>
        <v>0</v>
      </c>
      <c r="BV14">
        <f>SUM(AJ$13:AJ14)*BC14/1000</f>
        <v>0</v>
      </c>
      <c r="BW14">
        <f>SUM(AK$13:AK14)*BD14/1000</f>
        <v>0</v>
      </c>
      <c r="BX14">
        <f>SUM(AL$13:AL14)*BE14/1000</f>
        <v>0</v>
      </c>
      <c r="BY14">
        <f>SUM(AM$13:AM14)*BF14/1000</f>
        <v>0</v>
      </c>
      <c r="BZ14">
        <f>SUM(AN$13:AN14)*BG14/1000</f>
        <v>0</v>
      </c>
      <c r="CA14">
        <f>SUM(AO$13:AO14)*BH14/1000</f>
        <v>0</v>
      </c>
      <c r="CB14">
        <f>SUM(AP$13:AP14)*BI14/1000</f>
        <v>0</v>
      </c>
      <c r="CC14">
        <f>SUM(AQ$13:AQ14)*BJ14/1000</f>
        <v>0</v>
      </c>
      <c r="CD14">
        <f>SUM(AR$13:AR14)*BK14/1000</f>
        <v>0</v>
      </c>
      <c r="CE14">
        <f>SUM(AS$13:AS14)*BL14/1000</f>
        <v>0</v>
      </c>
      <c r="CF14">
        <f>SUM(AT$13:AT14)*BM14/1000</f>
        <v>0</v>
      </c>
      <c r="CG14">
        <f>SUM(AU$13:AU14)*BN14/1000</f>
        <v>0</v>
      </c>
      <c r="CH14">
        <f>SUM(AV$13:AV14)*BO14/1000</f>
        <v>0</v>
      </c>
      <c r="CI14">
        <f>SUM(AW$13:AW14)*BP14/1000</f>
        <v>0</v>
      </c>
      <c r="CJ14">
        <f>SUM(AX$13:AX14)*BQ14/1000</f>
        <v>0</v>
      </c>
      <c r="CK14">
        <f>SUM(AY$13:AY14)*BR14/1000</f>
        <v>0</v>
      </c>
      <c r="CL14">
        <f>SUM(AZ$13:AZ14)*BS14/1000</f>
        <v>0</v>
      </c>
      <c r="CM14">
        <f t="shared" si="16"/>
        <v>0</v>
      </c>
      <c r="CO14">
        <f t="shared" si="17"/>
        <v>2019</v>
      </c>
      <c r="CP14" s="90">
        <f>IFERROR(VLOOKUP($CO14,'Table 3 TransCost D2 '!$B$10:$E$34,4,FALSE),0)</f>
        <v>0</v>
      </c>
      <c r="CQ14" s="194">
        <f t="shared" ref="CQ14:CQ33" si="20">$CP$5*CP14/1000</f>
        <v>0</v>
      </c>
    </row>
    <row r="15" spans="2:95" customFormat="1">
      <c r="B15" s="15">
        <f t="shared" si="18"/>
        <v>2020</v>
      </c>
      <c r="C15" s="9">
        <f t="shared" si="4"/>
        <v>0</v>
      </c>
      <c r="D15" s="45"/>
      <c r="E15" s="9">
        <f t="shared" ca="1" si="19"/>
        <v>16.456006894524446</v>
      </c>
      <c r="F15" s="37"/>
      <c r="G15" s="14">
        <f t="shared" ref="G15:G32" ca="1" si="21">SUMIF(INDIRECT("'Table 5'!$J$"&amp;$K$3&amp;":$J$"&amp;$K$4),B15,INDIRECT("'Table 5'!$e$"&amp;$K$3&amp;":$e$"&amp;$K$4))/SUMIF(INDIRECT("'Table 5'!$J$"&amp;$K$3&amp;":$J$"&amp;$K$4),B15,INDIRECT("'Table 5'!$f$"&amp;$K$3&amp;":$f$"&amp;$K$4))</f>
        <v>16.456006894524446</v>
      </c>
      <c r="H15" s="36"/>
      <c r="I15" s="194"/>
      <c r="J15" s="194"/>
      <c r="K15" s="114" t="s">
        <v>66</v>
      </c>
      <c r="L15" s="115">
        <v>1</v>
      </c>
      <c r="M15" s="115">
        <v>1</v>
      </c>
      <c r="O15">
        <f t="shared" si="5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I15">
        <f t="shared" si="6"/>
        <v>0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N15">
        <f t="shared" si="11"/>
        <v>0</v>
      </c>
      <c r="AO15">
        <f t="shared" si="12"/>
        <v>0</v>
      </c>
      <c r="AP15">
        <f t="shared" si="13"/>
        <v>0</v>
      </c>
      <c r="AQ15">
        <f t="shared" si="14"/>
        <v>0</v>
      </c>
      <c r="AR15">
        <f t="shared" si="15"/>
        <v>0</v>
      </c>
      <c r="AS15">
        <f t="shared" si="15"/>
        <v>0</v>
      </c>
      <c r="AT15">
        <f t="shared" si="15"/>
        <v>0</v>
      </c>
      <c r="AU15">
        <f t="shared" si="15"/>
        <v>0</v>
      </c>
      <c r="AV15">
        <f t="shared" si="15"/>
        <v>0</v>
      </c>
      <c r="AW15">
        <f t="shared" si="15"/>
        <v>0</v>
      </c>
      <c r="AX15">
        <f t="shared" si="15"/>
        <v>0</v>
      </c>
      <c r="AY15">
        <f t="shared" si="15"/>
        <v>0</v>
      </c>
      <c r="AZ15">
        <f t="shared" si="15"/>
        <v>0</v>
      </c>
      <c r="BB15">
        <f>VLOOKUP($O15,'Table 3 EV2020 Wind_2020'!$B$10:$K$36,10,FALSE)</f>
        <v>-0.88</v>
      </c>
      <c r="BC15">
        <f>VLOOKUP($O15,'Table 3 EV2020 Wind_2021'!$B$10:$K$36,10,FALSE)</f>
        <v>39.01</v>
      </c>
      <c r="BD15">
        <f>VLOOKUP($O15,'Table 3 DJ Wind 2030'!$B$10:$J$36,9,FALSE)</f>
        <v>42.77</v>
      </c>
      <c r="BE15">
        <f>VLOOKUP($O15,'Table 3 ID Wind 2033'!$B$10:$J$36,9,FALSE)</f>
        <v>40.24</v>
      </c>
      <c r="BF15">
        <f>VLOOKUP($O15,'Table 3 WW Wind 2035'!$B$10:$J$36,9,FALSE)</f>
        <v>40.24</v>
      </c>
      <c r="BG15">
        <f>VLOOKUP($O15,'Table 3 YK Wind 2035'!$B$10:$J$36,9,FALSE)</f>
        <v>40.24</v>
      </c>
      <c r="BH15">
        <f>VLOOKUP($O15,'Table 3 OR Wind 2035'!$B$10:$J$36,9,FALSE)</f>
        <v>40.24</v>
      </c>
      <c r="BI15">
        <f>VLOOKUP($O15,'Table 3 UT Wind 2036'!$B$10:$J$36,9,FALSE)</f>
        <v>40.24</v>
      </c>
      <c r="BJ15">
        <f>VLOOKUP($O15,'Table 3 YK Solar 2030'!$B$10:$J$36,9,FALSE)</f>
        <v>20.079999999999998</v>
      </c>
      <c r="BK15">
        <f>VLOOKUP($O15,'Table 3 YK Solar 2032'!$B$10:$J$36,9,FALSE)</f>
        <v>20.079999999999998</v>
      </c>
      <c r="BL15">
        <f>VLOOKUP($O15,'Table 3 YK Solar 2033'!$B$10:$J$36,9,FALSE)</f>
        <v>20.079999999999998</v>
      </c>
      <c r="BM15">
        <f>VLOOKUP($O15,'Table 3 UT Solar 2033 ST'!$B$10:$J$36,9,FALSE)</f>
        <v>21.1</v>
      </c>
      <c r="BN15">
        <f>VLOOKUP($O15,'Table 3 UT Solar 2035 ST'!$B$10:$J$36,9,FALSE)</f>
        <v>21.1</v>
      </c>
      <c r="BO15">
        <f>VLOOKUP($O15,'Table 3 UT Solar 2035 FT'!$B$10:$J$36,9,FALSE)</f>
        <v>20.05</v>
      </c>
      <c r="BP15">
        <f>VLOOKUP($O15,'Table 3 OR Solar 2030'!$B$10:$J$36,9,FALSE)</f>
        <v>21.13</v>
      </c>
      <c r="BQ15">
        <f>VLOOKUP($O15,'Table 3 OR Solar 2031'!$B$10:$J$36,9,FALSE)</f>
        <v>21.13</v>
      </c>
      <c r="BR15">
        <f>VLOOKUP($O15,'Table 3 OR Solar 2032'!$B$10:$J$36,9,FALSE)</f>
        <v>21.13</v>
      </c>
      <c r="BS15">
        <f>VLOOKUP($O15,'Table 3 OR Solar 2033'!$B$10:$J$36,9,FALSE)</f>
        <v>21.13</v>
      </c>
      <c r="BU15">
        <f>SUM(AI$13:AI15)*BB15/1000</f>
        <v>0</v>
      </c>
      <c r="BV15">
        <f>SUM(AJ$13:AJ15)*BC15/1000</f>
        <v>0</v>
      </c>
      <c r="BW15">
        <f>SUM(AK$13:AK15)*BD15/1000</f>
        <v>0</v>
      </c>
      <c r="BX15">
        <f>SUM(AL$13:AL15)*BE15/1000</f>
        <v>0</v>
      </c>
      <c r="BY15">
        <f>SUM(AM$13:AM15)*BF15/1000</f>
        <v>0</v>
      </c>
      <c r="BZ15">
        <f>SUM(AN$13:AN15)*BG15/1000</f>
        <v>0</v>
      </c>
      <c r="CA15">
        <f>SUM(AO$13:AO15)*BH15/1000</f>
        <v>0</v>
      </c>
      <c r="CB15">
        <f>SUM(AP$13:AP15)*BI15/1000</f>
        <v>0</v>
      </c>
      <c r="CC15">
        <f>SUM(AQ$13:AQ15)*BJ15/1000</f>
        <v>0</v>
      </c>
      <c r="CD15">
        <f>SUM(AR$13:AR15)*BK15/1000</f>
        <v>0</v>
      </c>
      <c r="CE15">
        <f>SUM(AS$13:AS15)*BL15/1000</f>
        <v>0</v>
      </c>
      <c r="CF15">
        <f>SUM(AT$13:AT15)*BM15/1000</f>
        <v>0</v>
      </c>
      <c r="CG15">
        <f>SUM(AU$13:AU15)*BN15/1000</f>
        <v>0</v>
      </c>
      <c r="CH15">
        <f>SUM(AV$13:AV15)*BO15/1000</f>
        <v>0</v>
      </c>
      <c r="CI15">
        <f>SUM(AW$13:AW15)*BP15/1000</f>
        <v>0</v>
      </c>
      <c r="CJ15">
        <f>SUM(AX$13:AX15)*BQ15/1000</f>
        <v>0</v>
      </c>
      <c r="CK15">
        <f>SUM(AY$13:AY15)*BR15/1000</f>
        <v>0</v>
      </c>
      <c r="CL15">
        <f>SUM(AZ$13:AZ15)*BS15/1000</f>
        <v>0</v>
      </c>
      <c r="CM15">
        <f>SUM(BU15:CL15)</f>
        <v>0</v>
      </c>
      <c r="CO15">
        <f t="shared" si="17"/>
        <v>2020</v>
      </c>
      <c r="CP15" s="90">
        <f>IFERROR(VLOOKUP($CO15,'Table 3 TransCost D2 '!$B$10:$E$34,4,FALSE),0)</f>
        <v>7.8883333333333328</v>
      </c>
      <c r="CQ15" s="194">
        <f t="shared" si="20"/>
        <v>0</v>
      </c>
    </row>
    <row r="16" spans="2:95" customFormat="1">
      <c r="B16" s="15">
        <f t="shared" si="18"/>
        <v>2021</v>
      </c>
      <c r="C16" s="9">
        <f t="shared" si="4"/>
        <v>0</v>
      </c>
      <c r="D16" s="45"/>
      <c r="E16" s="9">
        <f t="shared" ca="1" si="19"/>
        <v>16.750913055904796</v>
      </c>
      <c r="F16" s="37"/>
      <c r="G16" s="14">
        <f t="shared" ca="1" si="21"/>
        <v>16.750913055904796</v>
      </c>
      <c r="H16" s="36"/>
      <c r="I16" s="194"/>
      <c r="J16" s="194"/>
      <c r="M16" s="116"/>
      <c r="O16">
        <f t="shared" si="5"/>
        <v>2021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I16">
        <f t="shared" si="6"/>
        <v>0</v>
      </c>
      <c r="AJ16">
        <f t="shared" si="7"/>
        <v>0</v>
      </c>
      <c r="AK16">
        <f t="shared" si="8"/>
        <v>0</v>
      </c>
      <c r="AL16">
        <f t="shared" si="9"/>
        <v>0</v>
      </c>
      <c r="AM16">
        <f t="shared" si="10"/>
        <v>0</v>
      </c>
      <c r="AN16">
        <f t="shared" si="11"/>
        <v>0</v>
      </c>
      <c r="AO16">
        <f t="shared" si="12"/>
        <v>0</v>
      </c>
      <c r="AP16">
        <f t="shared" si="13"/>
        <v>0</v>
      </c>
      <c r="AQ16">
        <f t="shared" si="14"/>
        <v>0</v>
      </c>
      <c r="AR16">
        <f t="shared" si="15"/>
        <v>0</v>
      </c>
      <c r="AS16">
        <f t="shared" si="15"/>
        <v>0</v>
      </c>
      <c r="AT16">
        <f t="shared" si="15"/>
        <v>0</v>
      </c>
      <c r="AU16">
        <f t="shared" si="15"/>
        <v>0</v>
      </c>
      <c r="AV16">
        <f t="shared" si="15"/>
        <v>0</v>
      </c>
      <c r="AW16">
        <f t="shared" si="15"/>
        <v>0</v>
      </c>
      <c r="AX16">
        <f t="shared" si="15"/>
        <v>0</v>
      </c>
      <c r="AY16">
        <f t="shared" si="15"/>
        <v>0</v>
      </c>
      <c r="AZ16">
        <f t="shared" si="15"/>
        <v>0</v>
      </c>
      <c r="BB16">
        <f>VLOOKUP($O16,'Table 3 EV2020 Wind_2020'!$B$10:$K$36,10,FALSE)</f>
        <v>-7</v>
      </c>
      <c r="BC16">
        <f>VLOOKUP($O16,'Table 3 EV2020 Wind_2021'!$B$10:$K$36,10,FALSE)</f>
        <v>-9.06</v>
      </c>
      <c r="BD16">
        <f>VLOOKUP($O16,'Table 3 DJ Wind 2030'!$B$10:$J$36,9,FALSE)</f>
        <v>43.9</v>
      </c>
      <c r="BE16">
        <f>VLOOKUP($O16,'Table 3 ID Wind 2033'!$B$10:$J$36,9,FALSE)</f>
        <v>41.3</v>
      </c>
      <c r="BF16">
        <f>VLOOKUP($O16,'Table 3 WW Wind 2035'!$B$10:$J$36,9,FALSE)</f>
        <v>41.3</v>
      </c>
      <c r="BG16">
        <f>VLOOKUP($O16,'Table 3 YK Wind 2035'!$B$10:$J$36,9,FALSE)</f>
        <v>41.3</v>
      </c>
      <c r="BH16">
        <f>VLOOKUP($O16,'Table 3 OR Wind 2035'!$B$10:$J$36,9,FALSE)</f>
        <v>41.3</v>
      </c>
      <c r="BI16">
        <f>VLOOKUP($O16,'Table 3 UT Wind 2036'!$B$10:$J$36,9,FALSE)</f>
        <v>41.3</v>
      </c>
      <c r="BJ16">
        <f>VLOOKUP($O16,'Table 3 YK Solar 2030'!$B$10:$J$36,9,FALSE)</f>
        <v>20.61</v>
      </c>
      <c r="BK16">
        <f>VLOOKUP($O16,'Table 3 YK Solar 2032'!$B$10:$J$36,9,FALSE)</f>
        <v>20.61</v>
      </c>
      <c r="BL16">
        <f>VLOOKUP($O16,'Table 3 YK Solar 2033'!$B$10:$J$36,9,FALSE)</f>
        <v>20.61</v>
      </c>
      <c r="BM16">
        <f>VLOOKUP($O16,'Table 3 UT Solar 2033 ST'!$B$10:$J$36,9,FALSE)</f>
        <v>21.66</v>
      </c>
      <c r="BN16">
        <f>VLOOKUP($O16,'Table 3 UT Solar 2035 ST'!$B$10:$J$36,9,FALSE)</f>
        <v>21.66</v>
      </c>
      <c r="BO16">
        <f>VLOOKUP($O16,'Table 3 UT Solar 2035 FT'!$B$10:$J$36,9,FALSE)</f>
        <v>20.58</v>
      </c>
      <c r="BP16">
        <f>VLOOKUP($O16,'Table 3 OR Solar 2030'!$B$10:$J$36,9,FALSE)</f>
        <v>21.69</v>
      </c>
      <c r="BQ16">
        <f>VLOOKUP($O16,'Table 3 OR Solar 2031'!$B$10:$J$36,9,FALSE)</f>
        <v>21.69</v>
      </c>
      <c r="BR16">
        <f>VLOOKUP($O16,'Table 3 OR Solar 2032'!$B$10:$J$36,9,FALSE)</f>
        <v>21.69</v>
      </c>
      <c r="BS16">
        <f>VLOOKUP($O16,'Table 3 OR Solar 2033'!$B$10:$J$36,9,FALSE)</f>
        <v>21.69</v>
      </c>
      <c r="BU16">
        <f>SUM(AI$13:AI16)*BB16/1000</f>
        <v>0</v>
      </c>
      <c r="BV16">
        <f>SUM(AJ$13:AJ16)*BC16/1000</f>
        <v>0</v>
      </c>
      <c r="BW16">
        <f>SUM(AK$13:AK16)*BD16/1000</f>
        <v>0</v>
      </c>
      <c r="BX16">
        <f>SUM(AL$13:AL16)*BE16/1000</f>
        <v>0</v>
      </c>
      <c r="BY16">
        <f>SUM(AM$13:AM16)*BF16/1000</f>
        <v>0</v>
      </c>
      <c r="BZ16">
        <f>SUM(AN$13:AN16)*BG16/1000</f>
        <v>0</v>
      </c>
      <c r="CA16">
        <f>SUM(AO$13:AO16)*BH16/1000</f>
        <v>0</v>
      </c>
      <c r="CB16">
        <f>SUM(AP$13:AP16)*BI16/1000</f>
        <v>0</v>
      </c>
      <c r="CC16">
        <f>SUM(AQ$13:AQ16)*BJ16/1000</f>
        <v>0</v>
      </c>
      <c r="CD16">
        <f>SUM(AR$13:AR16)*BK16/1000</f>
        <v>0</v>
      </c>
      <c r="CE16">
        <f>SUM(AS$13:AS16)*BL16/1000</f>
        <v>0</v>
      </c>
      <c r="CF16">
        <f>SUM(AT$13:AT16)*BM16/1000</f>
        <v>0</v>
      </c>
      <c r="CG16">
        <f>SUM(AU$13:AU16)*BN16/1000</f>
        <v>0</v>
      </c>
      <c r="CH16">
        <f>SUM(AV$13:AV16)*BO16/1000</f>
        <v>0</v>
      </c>
      <c r="CI16">
        <f>SUM(AW$13:AW16)*BP16/1000</f>
        <v>0</v>
      </c>
      <c r="CJ16">
        <f>SUM(AX$13:AX16)*BQ16/1000</f>
        <v>0</v>
      </c>
      <c r="CK16">
        <f>SUM(AY$13:AY16)*BR16/1000</f>
        <v>0</v>
      </c>
      <c r="CL16">
        <f>SUM(AZ$13:AZ16)*BS16/1000</f>
        <v>0</v>
      </c>
      <c r="CM16">
        <f t="shared" ref="CM16:CM32" si="22">SUM(BU16:CL16)</f>
        <v>0</v>
      </c>
      <c r="CO16">
        <f t="shared" si="17"/>
        <v>2021</v>
      </c>
      <c r="CP16" s="90">
        <f>IFERROR(VLOOKUP($CO16,'Table 3 TransCost D2 '!$B$10:$E$34,4,FALSE),0)</f>
        <v>48.5910167356733</v>
      </c>
      <c r="CQ16" s="194">
        <f t="shared" si="20"/>
        <v>0</v>
      </c>
    </row>
    <row r="17" spans="2:95">
      <c r="B17" s="15">
        <f t="shared" si="18"/>
        <v>2022</v>
      </c>
      <c r="C17" s="9">
        <f t="shared" si="4"/>
        <v>0</v>
      </c>
      <c r="D17" s="45"/>
      <c r="E17" s="9">
        <f t="shared" ca="1" si="19"/>
        <v>16.869190236747411</v>
      </c>
      <c r="F17" s="37"/>
      <c r="G17" s="14">
        <f t="shared" ca="1" si="21"/>
        <v>16.869190236747411</v>
      </c>
      <c r="H17" s="36"/>
      <c r="I17" s="194"/>
      <c r="J17" s="194"/>
      <c r="M17" s="117"/>
      <c r="O17">
        <f t="shared" si="5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I17">
        <f t="shared" si="6"/>
        <v>0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N17">
        <f t="shared" si="11"/>
        <v>0</v>
      </c>
      <c r="AO17">
        <f t="shared" si="12"/>
        <v>0</v>
      </c>
      <c r="AP17">
        <f t="shared" si="13"/>
        <v>0</v>
      </c>
      <c r="AQ17">
        <f t="shared" si="14"/>
        <v>0</v>
      </c>
      <c r="AR17">
        <f t="shared" si="15"/>
        <v>0</v>
      </c>
      <c r="AS17">
        <f t="shared" si="15"/>
        <v>0</v>
      </c>
      <c r="AT17">
        <f t="shared" si="15"/>
        <v>0</v>
      </c>
      <c r="AU17">
        <f t="shared" si="15"/>
        <v>0</v>
      </c>
      <c r="AV17">
        <f t="shared" si="15"/>
        <v>0</v>
      </c>
      <c r="AW17">
        <f t="shared" si="15"/>
        <v>0</v>
      </c>
      <c r="AX17">
        <f t="shared" si="15"/>
        <v>0</v>
      </c>
      <c r="AY17">
        <f t="shared" si="15"/>
        <v>0</v>
      </c>
      <c r="AZ17">
        <f t="shared" si="15"/>
        <v>0</v>
      </c>
      <c r="BB17">
        <f>VLOOKUP($O17,'Table 3 EV2020 Wind_2020'!$B$10:$K$36,10,FALSE)</f>
        <v>-4.22</v>
      </c>
      <c r="BC17">
        <f>VLOOKUP($O17,'Table 3 EV2020 Wind_2021'!$B$10:$K$36,10,FALSE)</f>
        <v>-6.34</v>
      </c>
      <c r="BD17">
        <f>VLOOKUP($O17,'Table 3 DJ Wind 2030'!$B$10:$J$36,9,FALSE)</f>
        <v>45.02</v>
      </c>
      <c r="BE17">
        <f>VLOOKUP($O17,'Table 3 ID Wind 2033'!$B$10:$J$36,9,FALSE)</f>
        <v>42.34</v>
      </c>
      <c r="BF17">
        <f>VLOOKUP($O17,'Table 3 WW Wind 2035'!$B$10:$J$36,9,FALSE)</f>
        <v>42.34</v>
      </c>
      <c r="BG17">
        <f>VLOOKUP($O17,'Table 3 YK Wind 2035'!$B$10:$J$36,9,FALSE)</f>
        <v>42.34</v>
      </c>
      <c r="BH17">
        <f>VLOOKUP($O17,'Table 3 OR Wind 2035'!$B$10:$J$36,9,FALSE)</f>
        <v>42.34</v>
      </c>
      <c r="BI17">
        <f>VLOOKUP($O17,'Table 3 UT Wind 2036'!$B$10:$J$36,9,FALSE)</f>
        <v>42.34</v>
      </c>
      <c r="BJ17">
        <f>VLOOKUP($O17,'Table 3 YK Solar 2030'!$B$10:$J$36,9,FALSE)</f>
        <v>21.13</v>
      </c>
      <c r="BK17">
        <f>VLOOKUP($O17,'Table 3 YK Solar 2032'!$B$10:$J$36,9,FALSE)</f>
        <v>21.13</v>
      </c>
      <c r="BL17">
        <f>VLOOKUP($O17,'Table 3 YK Solar 2033'!$B$10:$J$36,9,FALSE)</f>
        <v>21.13</v>
      </c>
      <c r="BM17">
        <f>VLOOKUP($O17,'Table 3 UT Solar 2033 ST'!$B$10:$J$36,9,FALSE)</f>
        <v>22.21</v>
      </c>
      <c r="BN17">
        <f>VLOOKUP($O17,'Table 3 UT Solar 2035 ST'!$B$10:$J$36,9,FALSE)</f>
        <v>22.21</v>
      </c>
      <c r="BO17">
        <f>VLOOKUP($O17,'Table 3 UT Solar 2035 FT'!$B$10:$J$36,9,FALSE)</f>
        <v>21.1</v>
      </c>
      <c r="BP17">
        <f>VLOOKUP($O17,'Table 3 OR Solar 2030'!$B$10:$J$36,9,FALSE)</f>
        <v>22.24</v>
      </c>
      <c r="BQ17">
        <f>VLOOKUP($O17,'Table 3 OR Solar 2031'!$B$10:$J$36,9,FALSE)</f>
        <v>22.24</v>
      </c>
      <c r="BR17">
        <f>VLOOKUP($O17,'Table 3 OR Solar 2032'!$B$10:$J$36,9,FALSE)</f>
        <v>22.24</v>
      </c>
      <c r="BS17">
        <f>VLOOKUP($O17,'Table 3 OR Solar 2033'!$B$10:$J$36,9,FALSE)</f>
        <v>22.24</v>
      </c>
      <c r="BU17">
        <f>SUM(AI$13:AI17)*BB17/1000</f>
        <v>0</v>
      </c>
      <c r="BV17">
        <f>SUM(AJ$13:AJ17)*BC17/1000</f>
        <v>0</v>
      </c>
      <c r="BW17">
        <f>SUM(AK$13:AK17)*BD17/1000</f>
        <v>0</v>
      </c>
      <c r="BX17">
        <f>SUM(AL$13:AL17)*BE17/1000</f>
        <v>0</v>
      </c>
      <c r="BY17">
        <f>SUM(AM$13:AM17)*BF17/1000</f>
        <v>0</v>
      </c>
      <c r="BZ17">
        <f>SUM(AN$13:AN17)*BG17/1000</f>
        <v>0</v>
      </c>
      <c r="CA17">
        <f>SUM(AO$13:AO17)*BH17/1000</f>
        <v>0</v>
      </c>
      <c r="CB17">
        <f>SUM(AP$13:AP17)*BI17/1000</f>
        <v>0</v>
      </c>
      <c r="CC17">
        <f>SUM(AQ$13:AQ17)*BJ17/1000</f>
        <v>0</v>
      </c>
      <c r="CD17">
        <f>SUM(AR$13:AR17)*BK17/1000</f>
        <v>0</v>
      </c>
      <c r="CE17">
        <f>SUM(AS$13:AS17)*BL17/1000</f>
        <v>0</v>
      </c>
      <c r="CF17">
        <f>SUM(AT$13:AT17)*BM17/1000</f>
        <v>0</v>
      </c>
      <c r="CG17">
        <f>SUM(AU$13:AU17)*BN17/1000</f>
        <v>0</v>
      </c>
      <c r="CH17">
        <f>SUM(AV$13:AV17)*BO17/1000</f>
        <v>0</v>
      </c>
      <c r="CI17">
        <f>SUM(AW$13:AW17)*BP17/1000</f>
        <v>0</v>
      </c>
      <c r="CJ17">
        <f>SUM(AX$13:AX17)*BQ17/1000</f>
        <v>0</v>
      </c>
      <c r="CK17">
        <f>SUM(AY$13:AY17)*BR17/1000</f>
        <v>0</v>
      </c>
      <c r="CL17">
        <f>SUM(AZ$13:AZ17)*BS17/1000</f>
        <v>0</v>
      </c>
      <c r="CM17">
        <f t="shared" si="22"/>
        <v>0</v>
      </c>
      <c r="CO17">
        <f t="shared" si="17"/>
        <v>2022</v>
      </c>
      <c r="CP17" s="90">
        <f>IFERROR(VLOOKUP($CO17,'Table 3 TransCost D2 '!$B$10:$E$34,4,FALSE),0)</f>
        <v>49.82</v>
      </c>
      <c r="CQ17" s="194">
        <f t="shared" si="20"/>
        <v>0</v>
      </c>
    </row>
    <row r="18" spans="2:95">
      <c r="B18" s="15">
        <f t="shared" si="18"/>
        <v>2023</v>
      </c>
      <c r="C18" s="9">
        <f t="shared" si="4"/>
        <v>0</v>
      </c>
      <c r="D18" s="45"/>
      <c r="E18" s="9">
        <f t="shared" ca="1" si="19"/>
        <v>17.618837023362449</v>
      </c>
      <c r="F18" s="37"/>
      <c r="G18" s="14">
        <f t="shared" ca="1" si="21"/>
        <v>17.618837023362449</v>
      </c>
      <c r="H18" s="36"/>
      <c r="I18" s="194"/>
      <c r="J18" s="194"/>
      <c r="M18" s="117"/>
      <c r="O18">
        <f t="shared" si="5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I18">
        <f t="shared" si="6"/>
        <v>0</v>
      </c>
      <c r="AJ18">
        <f t="shared" si="7"/>
        <v>0</v>
      </c>
      <c r="AK18">
        <f t="shared" si="8"/>
        <v>0</v>
      </c>
      <c r="AL18">
        <f t="shared" si="9"/>
        <v>0</v>
      </c>
      <c r="AM18">
        <f t="shared" si="10"/>
        <v>0</v>
      </c>
      <c r="AN18">
        <f t="shared" si="11"/>
        <v>0</v>
      </c>
      <c r="AO18">
        <f t="shared" si="12"/>
        <v>0</v>
      </c>
      <c r="AP18">
        <f t="shared" si="13"/>
        <v>0</v>
      </c>
      <c r="AQ18">
        <f t="shared" si="14"/>
        <v>0</v>
      </c>
      <c r="AR18">
        <f t="shared" si="15"/>
        <v>0</v>
      </c>
      <c r="AS18">
        <f t="shared" si="15"/>
        <v>0</v>
      </c>
      <c r="AT18">
        <f t="shared" si="15"/>
        <v>0</v>
      </c>
      <c r="AU18">
        <f t="shared" si="15"/>
        <v>0</v>
      </c>
      <c r="AV18">
        <f t="shared" si="15"/>
        <v>0</v>
      </c>
      <c r="AW18">
        <f t="shared" si="15"/>
        <v>0</v>
      </c>
      <c r="AX18">
        <f t="shared" si="15"/>
        <v>0</v>
      </c>
      <c r="AY18">
        <f t="shared" si="15"/>
        <v>0</v>
      </c>
      <c r="AZ18">
        <f t="shared" si="15"/>
        <v>0</v>
      </c>
      <c r="BB18">
        <f>VLOOKUP($O18,'Table 3 EV2020 Wind_2020'!$B$10:$K$36,10,FALSE)</f>
        <v>-6.01</v>
      </c>
      <c r="BC18">
        <f>VLOOKUP($O18,'Table 3 EV2020 Wind_2021'!$B$10:$K$36,10,FALSE)</f>
        <v>-8.18</v>
      </c>
      <c r="BD18">
        <f>VLOOKUP($O18,'Table 3 DJ Wind 2030'!$B$10:$J$36,9,FALSE)</f>
        <v>46.1</v>
      </c>
      <c r="BE18">
        <f>VLOOKUP($O18,'Table 3 ID Wind 2033'!$B$10:$J$36,9,FALSE)</f>
        <v>43.35</v>
      </c>
      <c r="BF18">
        <f>VLOOKUP($O18,'Table 3 WW Wind 2035'!$B$10:$J$36,9,FALSE)</f>
        <v>43.35</v>
      </c>
      <c r="BG18">
        <f>VLOOKUP($O18,'Table 3 YK Wind 2035'!$B$10:$J$36,9,FALSE)</f>
        <v>43.35</v>
      </c>
      <c r="BH18">
        <f>VLOOKUP($O18,'Table 3 OR Wind 2035'!$B$10:$J$36,9,FALSE)</f>
        <v>43.35</v>
      </c>
      <c r="BI18">
        <f>VLOOKUP($O18,'Table 3 UT Wind 2036'!$B$10:$J$36,9,FALSE)</f>
        <v>43.35</v>
      </c>
      <c r="BJ18">
        <f>VLOOKUP($O18,'Table 3 YK Solar 2030'!$B$10:$J$36,9,FALSE)</f>
        <v>21.63</v>
      </c>
      <c r="BK18">
        <f>VLOOKUP($O18,'Table 3 YK Solar 2032'!$B$10:$J$36,9,FALSE)</f>
        <v>21.63</v>
      </c>
      <c r="BL18">
        <f>VLOOKUP($O18,'Table 3 YK Solar 2033'!$B$10:$J$36,9,FALSE)</f>
        <v>21.63</v>
      </c>
      <c r="BM18">
        <f>VLOOKUP($O18,'Table 3 UT Solar 2033 ST'!$B$10:$J$36,9,FALSE)</f>
        <v>22.74</v>
      </c>
      <c r="BN18">
        <f>VLOOKUP($O18,'Table 3 UT Solar 2035 ST'!$B$10:$J$36,9,FALSE)</f>
        <v>22.74</v>
      </c>
      <c r="BO18">
        <f>VLOOKUP($O18,'Table 3 UT Solar 2035 FT'!$B$10:$J$36,9,FALSE)</f>
        <v>21.6</v>
      </c>
      <c r="BP18">
        <f>VLOOKUP($O18,'Table 3 OR Solar 2030'!$B$10:$J$36,9,FALSE)</f>
        <v>22.77</v>
      </c>
      <c r="BQ18">
        <f>VLOOKUP($O18,'Table 3 OR Solar 2031'!$B$10:$J$36,9,FALSE)</f>
        <v>22.77</v>
      </c>
      <c r="BR18">
        <f>VLOOKUP($O18,'Table 3 OR Solar 2032'!$B$10:$J$36,9,FALSE)</f>
        <v>22.77</v>
      </c>
      <c r="BS18">
        <f>VLOOKUP($O18,'Table 3 OR Solar 2033'!$B$10:$J$36,9,FALSE)</f>
        <v>22.77</v>
      </c>
      <c r="BU18">
        <f>SUM(AI$13:AI18)*BB18/1000</f>
        <v>0</v>
      </c>
      <c r="BV18">
        <f>SUM(AJ$13:AJ18)*BC18/1000</f>
        <v>0</v>
      </c>
      <c r="BW18">
        <f>SUM(AK$13:AK18)*BD18/1000</f>
        <v>0</v>
      </c>
      <c r="BX18">
        <f>SUM(AL$13:AL18)*BE18/1000</f>
        <v>0</v>
      </c>
      <c r="BY18">
        <f>SUM(AM$13:AM18)*BF18/1000</f>
        <v>0</v>
      </c>
      <c r="BZ18">
        <f>SUM(AN$13:AN18)*BG18/1000</f>
        <v>0</v>
      </c>
      <c r="CA18">
        <f>SUM(AO$13:AO18)*BH18/1000</f>
        <v>0</v>
      </c>
      <c r="CB18">
        <f>SUM(AP$13:AP18)*BI18/1000</f>
        <v>0</v>
      </c>
      <c r="CC18">
        <f>SUM(AQ$13:AQ18)*BJ18/1000</f>
        <v>0</v>
      </c>
      <c r="CD18">
        <f>SUM(AR$13:AR18)*BK18/1000</f>
        <v>0</v>
      </c>
      <c r="CE18">
        <f>SUM(AS$13:AS18)*BL18/1000</f>
        <v>0</v>
      </c>
      <c r="CF18">
        <f>SUM(AT$13:AT18)*BM18/1000</f>
        <v>0</v>
      </c>
      <c r="CG18">
        <f>SUM(AU$13:AU18)*BN18/1000</f>
        <v>0</v>
      </c>
      <c r="CH18">
        <f>SUM(AV$13:AV18)*BO18/1000</f>
        <v>0</v>
      </c>
      <c r="CI18">
        <f>SUM(AW$13:AW18)*BP18/1000</f>
        <v>0</v>
      </c>
      <c r="CJ18">
        <f>SUM(AX$13:AX18)*BQ18/1000</f>
        <v>0</v>
      </c>
      <c r="CK18">
        <f>SUM(AY$13:AY18)*BR18/1000</f>
        <v>0</v>
      </c>
      <c r="CL18">
        <f>SUM(AZ$13:AZ18)*BS18/1000</f>
        <v>0</v>
      </c>
      <c r="CM18">
        <f t="shared" si="22"/>
        <v>0</v>
      </c>
      <c r="CO18">
        <f t="shared" si="17"/>
        <v>2023</v>
      </c>
      <c r="CP18" s="90">
        <f>IFERROR(VLOOKUP($CO18,'Table 3 TransCost D2 '!$B$10:$E$34,4,FALSE),0)</f>
        <v>51.01</v>
      </c>
      <c r="CQ18" s="194">
        <f t="shared" si="20"/>
        <v>0</v>
      </c>
    </row>
    <row r="19" spans="2:95">
      <c r="B19" s="15">
        <f t="shared" si="18"/>
        <v>2024</v>
      </c>
      <c r="C19" s="9">
        <f t="shared" si="4"/>
        <v>0</v>
      </c>
      <c r="D19" s="45"/>
      <c r="E19" s="9">
        <f t="shared" ca="1" si="19"/>
        <v>19.699093345682208</v>
      </c>
      <c r="F19" s="37"/>
      <c r="G19" s="14">
        <f t="shared" ca="1" si="21"/>
        <v>19.699093345682208</v>
      </c>
      <c r="H19" s="36"/>
      <c r="I19" s="194"/>
      <c r="J19" s="194"/>
      <c r="M19" s="117"/>
      <c r="O19">
        <f t="shared" si="5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I19">
        <f t="shared" si="6"/>
        <v>0</v>
      </c>
      <c r="AJ19">
        <f t="shared" si="7"/>
        <v>0</v>
      </c>
      <c r="AK19">
        <f t="shared" si="8"/>
        <v>0</v>
      </c>
      <c r="AL19">
        <f t="shared" si="9"/>
        <v>0</v>
      </c>
      <c r="AM19">
        <f t="shared" si="10"/>
        <v>0</v>
      </c>
      <c r="AN19">
        <f t="shared" si="11"/>
        <v>0</v>
      </c>
      <c r="AO19">
        <f t="shared" si="12"/>
        <v>0</v>
      </c>
      <c r="AP19">
        <f t="shared" si="13"/>
        <v>0</v>
      </c>
      <c r="AQ19">
        <f t="shared" si="14"/>
        <v>0</v>
      </c>
      <c r="AR19">
        <f t="shared" si="15"/>
        <v>0</v>
      </c>
      <c r="AS19">
        <f t="shared" si="15"/>
        <v>0</v>
      </c>
      <c r="AT19">
        <f t="shared" si="15"/>
        <v>0</v>
      </c>
      <c r="AU19">
        <f t="shared" si="15"/>
        <v>0</v>
      </c>
      <c r="AV19">
        <f t="shared" si="15"/>
        <v>0</v>
      </c>
      <c r="AW19">
        <f t="shared" si="15"/>
        <v>0</v>
      </c>
      <c r="AX19">
        <f t="shared" si="15"/>
        <v>0</v>
      </c>
      <c r="AY19">
        <f t="shared" si="15"/>
        <v>0</v>
      </c>
      <c r="AZ19">
        <f t="shared" si="15"/>
        <v>0</v>
      </c>
      <c r="BB19">
        <f>VLOOKUP($O19,'Table 3 EV2020 Wind_2020'!$B$10:$K$36,10,FALSE)</f>
        <v>-3.31</v>
      </c>
      <c r="BC19">
        <f>VLOOKUP($O19,'Table 3 EV2020 Wind_2021'!$B$10:$K$36,10,FALSE)</f>
        <v>-5.53</v>
      </c>
      <c r="BD19">
        <f>VLOOKUP($O19,'Table 3 DJ Wind 2030'!$B$10:$J$36,9,FALSE)</f>
        <v>47.18</v>
      </c>
      <c r="BE19">
        <f>VLOOKUP($O19,'Table 3 ID Wind 2033'!$B$10:$J$36,9,FALSE)</f>
        <v>44.36</v>
      </c>
      <c r="BF19">
        <f>VLOOKUP($O19,'Table 3 WW Wind 2035'!$B$10:$J$36,9,FALSE)</f>
        <v>44.36</v>
      </c>
      <c r="BG19">
        <f>VLOOKUP($O19,'Table 3 YK Wind 2035'!$B$10:$J$36,9,FALSE)</f>
        <v>44.36</v>
      </c>
      <c r="BH19">
        <f>VLOOKUP($O19,'Table 3 OR Wind 2035'!$B$10:$J$36,9,FALSE)</f>
        <v>44.36</v>
      </c>
      <c r="BI19">
        <f>VLOOKUP($O19,'Table 3 UT Wind 2036'!$B$10:$J$36,9,FALSE)</f>
        <v>44.36</v>
      </c>
      <c r="BJ19">
        <f>VLOOKUP($O19,'Table 3 YK Solar 2030'!$B$10:$J$36,9,FALSE)</f>
        <v>22.14</v>
      </c>
      <c r="BK19">
        <f>VLOOKUP($O19,'Table 3 YK Solar 2032'!$B$10:$J$36,9,FALSE)</f>
        <v>22.14</v>
      </c>
      <c r="BL19">
        <f>VLOOKUP($O19,'Table 3 YK Solar 2033'!$B$10:$J$36,9,FALSE)</f>
        <v>22.14</v>
      </c>
      <c r="BM19">
        <f>VLOOKUP($O19,'Table 3 UT Solar 2033 ST'!$B$10:$J$36,9,FALSE)</f>
        <v>23.27</v>
      </c>
      <c r="BN19">
        <f>VLOOKUP($O19,'Table 3 UT Solar 2035 ST'!$B$10:$J$36,9,FALSE)</f>
        <v>23.27</v>
      </c>
      <c r="BO19">
        <f>VLOOKUP($O19,'Table 3 UT Solar 2035 FT'!$B$10:$J$36,9,FALSE)</f>
        <v>22.11</v>
      </c>
      <c r="BP19">
        <f>VLOOKUP($O19,'Table 3 OR Solar 2030'!$B$10:$J$36,9,FALSE)</f>
        <v>23.3</v>
      </c>
      <c r="BQ19">
        <f>VLOOKUP($O19,'Table 3 OR Solar 2031'!$B$10:$J$36,9,FALSE)</f>
        <v>23.3</v>
      </c>
      <c r="BR19">
        <f>VLOOKUP($O19,'Table 3 OR Solar 2032'!$B$10:$J$36,9,FALSE)</f>
        <v>23.3</v>
      </c>
      <c r="BS19">
        <f>VLOOKUP($O19,'Table 3 OR Solar 2033'!$B$10:$J$36,9,FALSE)</f>
        <v>23.3</v>
      </c>
      <c r="BU19">
        <f>SUM(AI$13:AI19)*BB19/1000</f>
        <v>0</v>
      </c>
      <c r="BV19">
        <f>SUM(AJ$13:AJ19)*BC19/1000</f>
        <v>0</v>
      </c>
      <c r="BW19">
        <f>SUM(AK$13:AK19)*BD19/1000</f>
        <v>0</v>
      </c>
      <c r="BX19">
        <f>SUM(AL$13:AL19)*BE19/1000</f>
        <v>0</v>
      </c>
      <c r="BY19">
        <f>SUM(AM$13:AM19)*BF19/1000</f>
        <v>0</v>
      </c>
      <c r="BZ19">
        <f>SUM(AN$13:AN19)*BG19/1000</f>
        <v>0</v>
      </c>
      <c r="CA19">
        <f>SUM(AO$13:AO19)*BH19/1000</f>
        <v>0</v>
      </c>
      <c r="CB19">
        <f>SUM(AP$13:AP19)*BI19/1000</f>
        <v>0</v>
      </c>
      <c r="CC19">
        <f>SUM(AQ$13:AQ19)*BJ19/1000</f>
        <v>0</v>
      </c>
      <c r="CD19">
        <f>SUM(AR$13:AR19)*BK19/1000</f>
        <v>0</v>
      </c>
      <c r="CE19">
        <f>SUM(AS$13:AS19)*BL19/1000</f>
        <v>0</v>
      </c>
      <c r="CF19">
        <f>SUM(AT$13:AT19)*BM19/1000</f>
        <v>0</v>
      </c>
      <c r="CG19">
        <f>SUM(AU$13:AU19)*BN19/1000</f>
        <v>0</v>
      </c>
      <c r="CH19">
        <f>SUM(AV$13:AV19)*BO19/1000</f>
        <v>0</v>
      </c>
      <c r="CI19">
        <f>SUM(AW$13:AW19)*BP19/1000</f>
        <v>0</v>
      </c>
      <c r="CJ19">
        <f>SUM(AX$13:AX19)*BQ19/1000</f>
        <v>0</v>
      </c>
      <c r="CK19">
        <f>SUM(AY$13:AY19)*BR19/1000</f>
        <v>0</v>
      </c>
      <c r="CL19">
        <f>SUM(AZ$13:AZ19)*BS19/1000</f>
        <v>0</v>
      </c>
      <c r="CM19">
        <f t="shared" si="22"/>
        <v>0</v>
      </c>
      <c r="CO19">
        <f t="shared" si="17"/>
        <v>2024</v>
      </c>
      <c r="CP19" s="90">
        <f>IFERROR(VLOOKUP($CO19,'Table 3 TransCost D2 '!$B$10:$E$34,4,FALSE),0)</f>
        <v>52.20000000000001</v>
      </c>
      <c r="CQ19" s="194">
        <f t="shared" si="20"/>
        <v>0</v>
      </c>
    </row>
    <row r="20" spans="2:95">
      <c r="B20" s="15">
        <f t="shared" si="18"/>
        <v>2025</v>
      </c>
      <c r="C20" s="9">
        <f t="shared" si="4"/>
        <v>0</v>
      </c>
      <c r="D20" s="45"/>
      <c r="E20" s="9">
        <f t="shared" ca="1" si="19"/>
        <v>23.790786502864066</v>
      </c>
      <c r="F20" s="37"/>
      <c r="G20" s="14">
        <f t="shared" ca="1" si="21"/>
        <v>23.790786502864066</v>
      </c>
      <c r="H20" s="36"/>
      <c r="I20" s="194"/>
      <c r="J20" s="194"/>
      <c r="M20" s="117"/>
      <c r="O20">
        <f t="shared" si="5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I20">
        <f t="shared" si="6"/>
        <v>0</v>
      </c>
      <c r="AJ20">
        <f t="shared" si="7"/>
        <v>0</v>
      </c>
      <c r="AK20">
        <f t="shared" si="8"/>
        <v>0</v>
      </c>
      <c r="AL20">
        <f t="shared" si="9"/>
        <v>0</v>
      </c>
      <c r="AM20">
        <f t="shared" si="10"/>
        <v>0</v>
      </c>
      <c r="AN20">
        <f t="shared" si="11"/>
        <v>0</v>
      </c>
      <c r="AO20">
        <f t="shared" si="12"/>
        <v>0</v>
      </c>
      <c r="AP20">
        <f t="shared" si="13"/>
        <v>0</v>
      </c>
      <c r="AQ20">
        <f t="shared" si="14"/>
        <v>0</v>
      </c>
      <c r="AR20">
        <f t="shared" si="15"/>
        <v>0</v>
      </c>
      <c r="AS20">
        <f t="shared" si="15"/>
        <v>0</v>
      </c>
      <c r="AT20">
        <f t="shared" si="15"/>
        <v>0</v>
      </c>
      <c r="AU20">
        <f t="shared" si="15"/>
        <v>0</v>
      </c>
      <c r="AV20">
        <f t="shared" si="15"/>
        <v>0</v>
      </c>
      <c r="AW20">
        <f t="shared" si="15"/>
        <v>0</v>
      </c>
      <c r="AX20">
        <f t="shared" si="15"/>
        <v>0</v>
      </c>
      <c r="AY20">
        <f t="shared" si="15"/>
        <v>0</v>
      </c>
      <c r="AZ20">
        <f t="shared" si="15"/>
        <v>0</v>
      </c>
      <c r="BB20">
        <f>VLOOKUP($O20,'Table 3 EV2020 Wind_2020'!$B$10:$K$36,10,FALSE)</f>
        <v>-5.0999999999999996</v>
      </c>
      <c r="BC20">
        <f>VLOOKUP($O20,'Table 3 EV2020 Wind_2021'!$B$10:$K$36,10,FALSE)</f>
        <v>-7.37</v>
      </c>
      <c r="BD20">
        <f>VLOOKUP($O20,'Table 3 DJ Wind 2030'!$B$10:$J$36,9,FALSE)</f>
        <v>48.28</v>
      </c>
      <c r="BE20">
        <f>VLOOKUP($O20,'Table 3 ID Wind 2033'!$B$10:$J$36,9,FALSE)</f>
        <v>45.39</v>
      </c>
      <c r="BF20">
        <f>VLOOKUP($O20,'Table 3 WW Wind 2035'!$B$10:$J$36,9,FALSE)</f>
        <v>45.39</v>
      </c>
      <c r="BG20">
        <f>VLOOKUP($O20,'Table 3 YK Wind 2035'!$B$10:$J$36,9,FALSE)</f>
        <v>45.39</v>
      </c>
      <c r="BH20">
        <f>VLOOKUP($O20,'Table 3 OR Wind 2035'!$B$10:$J$36,9,FALSE)</f>
        <v>45.39</v>
      </c>
      <c r="BI20">
        <f>VLOOKUP($O20,'Table 3 UT Wind 2036'!$B$10:$J$36,9,FALSE)</f>
        <v>45.39</v>
      </c>
      <c r="BJ20">
        <f>VLOOKUP($O20,'Table 3 YK Solar 2030'!$B$10:$J$36,9,FALSE)</f>
        <v>22.65</v>
      </c>
      <c r="BK20">
        <f>VLOOKUP($O20,'Table 3 YK Solar 2032'!$B$10:$J$36,9,FALSE)</f>
        <v>22.65</v>
      </c>
      <c r="BL20">
        <f>VLOOKUP($O20,'Table 3 YK Solar 2033'!$B$10:$J$36,9,FALSE)</f>
        <v>22.65</v>
      </c>
      <c r="BM20">
        <f>VLOOKUP($O20,'Table 3 UT Solar 2033 ST'!$B$10:$J$36,9,FALSE)</f>
        <v>23.81</v>
      </c>
      <c r="BN20">
        <f>VLOOKUP($O20,'Table 3 UT Solar 2035 ST'!$B$10:$J$36,9,FALSE)</f>
        <v>23.81</v>
      </c>
      <c r="BO20">
        <f>VLOOKUP($O20,'Table 3 UT Solar 2035 FT'!$B$10:$J$36,9,FALSE)</f>
        <v>22.62</v>
      </c>
      <c r="BP20">
        <f>VLOOKUP($O20,'Table 3 OR Solar 2030'!$B$10:$J$36,9,FALSE)</f>
        <v>23.84</v>
      </c>
      <c r="BQ20">
        <f>VLOOKUP($O20,'Table 3 OR Solar 2031'!$B$10:$J$36,9,FALSE)</f>
        <v>23.84</v>
      </c>
      <c r="BR20">
        <f>VLOOKUP($O20,'Table 3 OR Solar 2032'!$B$10:$J$36,9,FALSE)</f>
        <v>23.84</v>
      </c>
      <c r="BS20">
        <f>VLOOKUP($O20,'Table 3 OR Solar 2033'!$B$10:$J$36,9,FALSE)</f>
        <v>23.84</v>
      </c>
      <c r="BU20">
        <f>SUM(AI$13:AI20)*BB20/1000</f>
        <v>0</v>
      </c>
      <c r="BV20">
        <f>SUM(AJ$13:AJ20)*BC20/1000</f>
        <v>0</v>
      </c>
      <c r="BW20">
        <f>SUM(AK$13:AK20)*BD20/1000</f>
        <v>0</v>
      </c>
      <c r="BX20">
        <f>SUM(AL$13:AL20)*BE20/1000</f>
        <v>0</v>
      </c>
      <c r="BY20">
        <f>SUM(AM$13:AM20)*BF20/1000</f>
        <v>0</v>
      </c>
      <c r="BZ20">
        <f>SUM(AN$13:AN20)*BG20/1000</f>
        <v>0</v>
      </c>
      <c r="CA20">
        <f>SUM(AO$13:AO20)*BH20/1000</f>
        <v>0</v>
      </c>
      <c r="CB20">
        <f>SUM(AP$13:AP20)*BI20/1000</f>
        <v>0</v>
      </c>
      <c r="CC20">
        <f>SUM(AQ$13:AQ20)*BJ20/1000</f>
        <v>0</v>
      </c>
      <c r="CD20">
        <f>SUM(AR$13:AR20)*BK20/1000</f>
        <v>0</v>
      </c>
      <c r="CE20">
        <f>SUM(AS$13:AS20)*BL20/1000</f>
        <v>0</v>
      </c>
      <c r="CF20">
        <f>SUM(AT$13:AT20)*BM20/1000</f>
        <v>0</v>
      </c>
      <c r="CG20">
        <f>SUM(AU$13:AU20)*BN20/1000</f>
        <v>0</v>
      </c>
      <c r="CH20">
        <f>SUM(AV$13:AV20)*BO20/1000</f>
        <v>0</v>
      </c>
      <c r="CI20">
        <f>SUM(AW$13:AW20)*BP20/1000</f>
        <v>0</v>
      </c>
      <c r="CJ20">
        <f>SUM(AX$13:AX20)*BQ20/1000</f>
        <v>0</v>
      </c>
      <c r="CK20">
        <f>SUM(AY$13:AY20)*BR20/1000</f>
        <v>0</v>
      </c>
      <c r="CL20">
        <f>SUM(AZ$13:AZ20)*BS20/1000</f>
        <v>0</v>
      </c>
      <c r="CM20">
        <f t="shared" si="22"/>
        <v>0</v>
      </c>
      <c r="CO20">
        <f t="shared" si="17"/>
        <v>2025</v>
      </c>
      <c r="CP20" s="90">
        <f>IFERROR(VLOOKUP($CO20,'Table 3 TransCost D2 '!$B$10:$E$34,4,FALSE),0)</f>
        <v>53.41</v>
      </c>
      <c r="CQ20" s="194">
        <f t="shared" si="20"/>
        <v>0</v>
      </c>
    </row>
    <row r="21" spans="2:95">
      <c r="B21" s="15">
        <f t="shared" si="18"/>
        <v>2026</v>
      </c>
      <c r="C21" s="9">
        <f t="shared" si="4"/>
        <v>0</v>
      </c>
      <c r="D21" s="45"/>
      <c r="E21" s="9">
        <f t="shared" ca="1" si="19"/>
        <v>24.630561279387198</v>
      </c>
      <c r="F21" s="37"/>
      <c r="G21" s="14">
        <f t="shared" ca="1" si="21"/>
        <v>24.630561279387198</v>
      </c>
      <c r="H21" s="36"/>
      <c r="I21" s="194"/>
      <c r="J21" s="194"/>
      <c r="M21" s="117"/>
      <c r="O21">
        <f t="shared" si="5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I21">
        <f t="shared" si="6"/>
        <v>0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N21">
        <f t="shared" si="11"/>
        <v>0</v>
      </c>
      <c r="AO21">
        <f t="shared" si="12"/>
        <v>0</v>
      </c>
      <c r="AP21">
        <f t="shared" si="13"/>
        <v>0</v>
      </c>
      <c r="AQ21">
        <f t="shared" si="14"/>
        <v>0</v>
      </c>
      <c r="AR21">
        <f t="shared" si="15"/>
        <v>0</v>
      </c>
      <c r="AS21">
        <f t="shared" si="15"/>
        <v>0</v>
      </c>
      <c r="AT21">
        <f t="shared" si="15"/>
        <v>0</v>
      </c>
      <c r="AU21">
        <f t="shared" si="15"/>
        <v>0</v>
      </c>
      <c r="AV21">
        <f t="shared" si="15"/>
        <v>0</v>
      </c>
      <c r="AW21">
        <f t="shared" si="15"/>
        <v>0</v>
      </c>
      <c r="AX21">
        <f t="shared" si="15"/>
        <v>0</v>
      </c>
      <c r="AY21">
        <f t="shared" si="15"/>
        <v>0</v>
      </c>
      <c r="AZ21">
        <f t="shared" si="15"/>
        <v>0</v>
      </c>
      <c r="BB21">
        <f>VLOOKUP($O21,'Table 3 EV2020 Wind_2020'!$B$10:$K$36,10,FALSE)</f>
        <v>-2.35</v>
      </c>
      <c r="BC21">
        <f>VLOOKUP($O21,'Table 3 EV2020 Wind_2021'!$B$10:$K$36,10,FALSE)</f>
        <v>-4.67</v>
      </c>
      <c r="BD21">
        <f>VLOOKUP($O21,'Table 3 DJ Wind 2030'!$B$10:$J$36,9,FALSE)</f>
        <v>49.39</v>
      </c>
      <c r="BE21">
        <f>VLOOKUP($O21,'Table 3 ID Wind 2033'!$B$10:$J$36,9,FALSE)</f>
        <v>46.42</v>
      </c>
      <c r="BF21">
        <f>VLOOKUP($O21,'Table 3 WW Wind 2035'!$B$10:$J$36,9,FALSE)</f>
        <v>46.42</v>
      </c>
      <c r="BG21">
        <f>VLOOKUP($O21,'Table 3 YK Wind 2035'!$B$10:$J$36,9,FALSE)</f>
        <v>46.42</v>
      </c>
      <c r="BH21">
        <f>VLOOKUP($O21,'Table 3 OR Wind 2035'!$B$10:$J$36,9,FALSE)</f>
        <v>46.42</v>
      </c>
      <c r="BI21">
        <f>VLOOKUP($O21,'Table 3 UT Wind 2036'!$B$10:$J$36,9,FALSE)</f>
        <v>46.42</v>
      </c>
      <c r="BJ21">
        <f>VLOOKUP($O21,'Table 3 YK Solar 2030'!$B$10:$J$36,9,FALSE)</f>
        <v>23.17</v>
      </c>
      <c r="BK21">
        <f>VLOOKUP($O21,'Table 3 YK Solar 2032'!$B$10:$J$36,9,FALSE)</f>
        <v>23.17</v>
      </c>
      <c r="BL21">
        <f>VLOOKUP($O21,'Table 3 YK Solar 2033'!$B$10:$J$36,9,FALSE)</f>
        <v>23.17</v>
      </c>
      <c r="BM21">
        <f>VLOOKUP($O21,'Table 3 UT Solar 2033 ST'!$B$10:$J$36,9,FALSE)</f>
        <v>24.35</v>
      </c>
      <c r="BN21">
        <f>VLOOKUP($O21,'Table 3 UT Solar 2035 ST'!$B$10:$J$36,9,FALSE)</f>
        <v>24.35</v>
      </c>
      <c r="BO21">
        <f>VLOOKUP($O21,'Table 3 UT Solar 2035 FT'!$B$10:$J$36,9,FALSE)</f>
        <v>23.13</v>
      </c>
      <c r="BP21">
        <f>VLOOKUP($O21,'Table 3 OR Solar 2030'!$B$10:$J$36,9,FALSE)</f>
        <v>24.38</v>
      </c>
      <c r="BQ21">
        <f>VLOOKUP($O21,'Table 3 OR Solar 2031'!$B$10:$J$36,9,FALSE)</f>
        <v>24.38</v>
      </c>
      <c r="BR21">
        <f>VLOOKUP($O21,'Table 3 OR Solar 2032'!$B$10:$J$36,9,FALSE)</f>
        <v>24.38</v>
      </c>
      <c r="BS21">
        <f>VLOOKUP($O21,'Table 3 OR Solar 2033'!$B$10:$J$36,9,FALSE)</f>
        <v>24.38</v>
      </c>
      <c r="BU21">
        <f>SUM(AI$13:AI21)*BB21/1000</f>
        <v>0</v>
      </c>
      <c r="BV21">
        <f>SUM(AJ$13:AJ21)*BC21/1000</f>
        <v>0</v>
      </c>
      <c r="BW21">
        <f>SUM(AK$13:AK21)*BD21/1000</f>
        <v>0</v>
      </c>
      <c r="BX21">
        <f>SUM(AL$13:AL21)*BE21/1000</f>
        <v>0</v>
      </c>
      <c r="BY21">
        <f>SUM(AM$13:AM21)*BF21/1000</f>
        <v>0</v>
      </c>
      <c r="BZ21">
        <f>SUM(AN$13:AN21)*BG21/1000</f>
        <v>0</v>
      </c>
      <c r="CA21">
        <f>SUM(AO$13:AO21)*BH21/1000</f>
        <v>0</v>
      </c>
      <c r="CB21">
        <f>SUM(AP$13:AP21)*BI21/1000</f>
        <v>0</v>
      </c>
      <c r="CC21">
        <f>SUM(AQ$13:AQ21)*BJ21/1000</f>
        <v>0</v>
      </c>
      <c r="CD21">
        <f>SUM(AR$13:AR21)*BK21/1000</f>
        <v>0</v>
      </c>
      <c r="CE21">
        <f>SUM(AS$13:AS21)*BL21/1000</f>
        <v>0</v>
      </c>
      <c r="CF21">
        <f>SUM(AT$13:AT21)*BM21/1000</f>
        <v>0</v>
      </c>
      <c r="CG21">
        <f>SUM(AU$13:AU21)*BN21/1000</f>
        <v>0</v>
      </c>
      <c r="CH21">
        <f>SUM(AV$13:AV21)*BO21/1000</f>
        <v>0</v>
      </c>
      <c r="CI21">
        <f>SUM(AW$13:AW21)*BP21/1000</f>
        <v>0</v>
      </c>
      <c r="CJ21">
        <f>SUM(AX$13:AX21)*BQ21/1000</f>
        <v>0</v>
      </c>
      <c r="CK21">
        <f>SUM(AY$13:AY21)*BR21/1000</f>
        <v>0</v>
      </c>
      <c r="CL21">
        <f>SUM(AZ$13:AZ21)*BS21/1000</f>
        <v>0</v>
      </c>
      <c r="CM21">
        <f t="shared" si="22"/>
        <v>0</v>
      </c>
      <c r="CO21">
        <f t="shared" si="17"/>
        <v>2026</v>
      </c>
      <c r="CP21" s="90">
        <f>IFERROR(VLOOKUP($CO21,'Table 3 TransCost D2 '!$B$10:$E$34,4,FALSE),0)</f>
        <v>54.63</v>
      </c>
      <c r="CQ21" s="194">
        <f t="shared" si="20"/>
        <v>0</v>
      </c>
    </row>
    <row r="22" spans="2:95">
      <c r="B22" s="15">
        <f t="shared" si="18"/>
        <v>2027</v>
      </c>
      <c r="C22" s="9">
        <f t="shared" si="4"/>
        <v>0</v>
      </c>
      <c r="D22" s="45"/>
      <c r="E22" s="9">
        <f t="shared" ca="1" si="19"/>
        <v>25.287983711178551</v>
      </c>
      <c r="F22" s="37"/>
      <c r="G22" s="14">
        <f t="shared" ca="1" si="21"/>
        <v>25.287983711178551</v>
      </c>
      <c r="H22" s="36"/>
      <c r="I22" s="194"/>
      <c r="J22" s="194"/>
      <c r="M22" s="117"/>
      <c r="O22">
        <f t="shared" si="5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f t="shared" si="6"/>
        <v>0</v>
      </c>
      <c r="AJ22">
        <f t="shared" si="7"/>
        <v>0</v>
      </c>
      <c r="AK22">
        <f t="shared" si="8"/>
        <v>0</v>
      </c>
      <c r="AL22">
        <f t="shared" si="9"/>
        <v>0</v>
      </c>
      <c r="AM22">
        <f t="shared" si="10"/>
        <v>0</v>
      </c>
      <c r="AN22">
        <f t="shared" si="11"/>
        <v>0</v>
      </c>
      <c r="AO22">
        <f t="shared" si="12"/>
        <v>0</v>
      </c>
      <c r="AP22">
        <f t="shared" si="13"/>
        <v>0</v>
      </c>
      <c r="AQ22">
        <f t="shared" si="14"/>
        <v>0</v>
      </c>
      <c r="AR22">
        <f t="shared" si="15"/>
        <v>0</v>
      </c>
      <c r="AS22">
        <f t="shared" si="15"/>
        <v>0</v>
      </c>
      <c r="AT22">
        <f t="shared" si="15"/>
        <v>0</v>
      </c>
      <c r="AU22">
        <f t="shared" si="15"/>
        <v>0</v>
      </c>
      <c r="AV22">
        <f t="shared" si="15"/>
        <v>0</v>
      </c>
      <c r="AW22">
        <f t="shared" si="15"/>
        <v>0</v>
      </c>
      <c r="AX22">
        <f t="shared" si="15"/>
        <v>0</v>
      </c>
      <c r="AY22">
        <f t="shared" si="15"/>
        <v>0</v>
      </c>
      <c r="AZ22">
        <f t="shared" si="15"/>
        <v>0</v>
      </c>
      <c r="BB22">
        <f>VLOOKUP($O22,'Table 3 EV2020 Wind_2020'!$B$10:$K$36,10,FALSE)</f>
        <v>-4.1100000000000003</v>
      </c>
      <c r="BC22">
        <f>VLOOKUP($O22,'Table 3 EV2020 Wind_2021'!$B$10:$K$36,10,FALSE)</f>
        <v>-6.48</v>
      </c>
      <c r="BD22">
        <f>VLOOKUP($O22,'Table 3 DJ Wind 2030'!$B$10:$J$36,9,FALSE)</f>
        <v>50.48</v>
      </c>
      <c r="BE22">
        <f>VLOOKUP($O22,'Table 3 ID Wind 2033'!$B$10:$J$36,9,FALSE)</f>
        <v>47.44</v>
      </c>
      <c r="BF22">
        <f>VLOOKUP($O22,'Table 3 WW Wind 2035'!$B$10:$J$36,9,FALSE)</f>
        <v>47.44</v>
      </c>
      <c r="BG22">
        <f>VLOOKUP($O22,'Table 3 YK Wind 2035'!$B$10:$J$36,9,FALSE)</f>
        <v>47.44</v>
      </c>
      <c r="BH22">
        <f>VLOOKUP($O22,'Table 3 OR Wind 2035'!$B$10:$J$36,9,FALSE)</f>
        <v>47.44</v>
      </c>
      <c r="BI22">
        <f>VLOOKUP($O22,'Table 3 UT Wind 2036'!$B$10:$J$36,9,FALSE)</f>
        <v>47.44</v>
      </c>
      <c r="BJ22">
        <f>VLOOKUP($O22,'Table 3 YK Solar 2030'!$B$10:$J$36,9,FALSE)</f>
        <v>23.68</v>
      </c>
      <c r="BK22">
        <f>VLOOKUP($O22,'Table 3 YK Solar 2032'!$B$10:$J$36,9,FALSE)</f>
        <v>23.68</v>
      </c>
      <c r="BL22">
        <f>VLOOKUP($O22,'Table 3 YK Solar 2033'!$B$10:$J$36,9,FALSE)</f>
        <v>23.68</v>
      </c>
      <c r="BM22">
        <f>VLOOKUP($O22,'Table 3 UT Solar 2033 ST'!$B$10:$J$36,9,FALSE)</f>
        <v>24.89</v>
      </c>
      <c r="BN22">
        <f>VLOOKUP($O22,'Table 3 UT Solar 2035 ST'!$B$10:$J$36,9,FALSE)</f>
        <v>24.89</v>
      </c>
      <c r="BO22">
        <f>VLOOKUP($O22,'Table 3 UT Solar 2035 FT'!$B$10:$J$36,9,FALSE)</f>
        <v>23.64</v>
      </c>
      <c r="BP22">
        <f>VLOOKUP($O22,'Table 3 OR Solar 2030'!$B$10:$J$36,9,FALSE)</f>
        <v>24.92</v>
      </c>
      <c r="BQ22">
        <f>VLOOKUP($O22,'Table 3 OR Solar 2031'!$B$10:$J$36,9,FALSE)</f>
        <v>24.92</v>
      </c>
      <c r="BR22">
        <f>VLOOKUP($O22,'Table 3 OR Solar 2032'!$B$10:$J$36,9,FALSE)</f>
        <v>24.92</v>
      </c>
      <c r="BS22">
        <f>VLOOKUP($O22,'Table 3 OR Solar 2033'!$B$10:$J$36,9,FALSE)</f>
        <v>24.92</v>
      </c>
      <c r="BU22">
        <f>SUM(AI$13:AI22)*BB22/1000</f>
        <v>0</v>
      </c>
      <c r="BV22">
        <f>SUM(AJ$13:AJ22)*BC22/1000</f>
        <v>0</v>
      </c>
      <c r="BW22">
        <f>SUM(AK$13:AK22)*BD22/1000</f>
        <v>0</v>
      </c>
      <c r="BX22">
        <f>SUM(AL$13:AL22)*BE22/1000</f>
        <v>0</v>
      </c>
      <c r="BY22">
        <f>SUM(AM$13:AM22)*BF22/1000</f>
        <v>0</v>
      </c>
      <c r="BZ22">
        <f>SUM(AN$13:AN22)*BG22/1000</f>
        <v>0</v>
      </c>
      <c r="CA22">
        <f>SUM(AO$13:AO22)*BH22/1000</f>
        <v>0</v>
      </c>
      <c r="CB22">
        <f>SUM(AP$13:AP22)*BI22/1000</f>
        <v>0</v>
      </c>
      <c r="CC22">
        <f>SUM(AQ$13:AQ22)*BJ22/1000</f>
        <v>0</v>
      </c>
      <c r="CD22">
        <f>SUM(AR$13:AR22)*BK22/1000</f>
        <v>0</v>
      </c>
      <c r="CE22">
        <f>SUM(AS$13:AS22)*BL22/1000</f>
        <v>0</v>
      </c>
      <c r="CF22">
        <f>SUM(AT$13:AT22)*BM22/1000</f>
        <v>0</v>
      </c>
      <c r="CG22">
        <f>SUM(AU$13:AU22)*BN22/1000</f>
        <v>0</v>
      </c>
      <c r="CH22">
        <f>SUM(AV$13:AV22)*BO22/1000</f>
        <v>0</v>
      </c>
      <c r="CI22">
        <f>SUM(AW$13:AW22)*BP22/1000</f>
        <v>0</v>
      </c>
      <c r="CJ22">
        <f>SUM(AX$13:AX22)*BQ22/1000</f>
        <v>0</v>
      </c>
      <c r="CK22">
        <f>SUM(AY$13:AY22)*BR22/1000</f>
        <v>0</v>
      </c>
      <c r="CL22">
        <f>SUM(AZ$13:AZ22)*BS22/1000</f>
        <v>0</v>
      </c>
      <c r="CM22">
        <f t="shared" si="22"/>
        <v>0</v>
      </c>
      <c r="CO22">
        <f t="shared" si="17"/>
        <v>2027</v>
      </c>
      <c r="CP22" s="90">
        <f>IFERROR(VLOOKUP($CO22,'Table 3 TransCost D2 '!$B$10:$E$34,4,FALSE),0)</f>
        <v>55.830000000000005</v>
      </c>
      <c r="CQ22" s="194">
        <f t="shared" si="20"/>
        <v>0</v>
      </c>
    </row>
    <row r="23" spans="2:95">
      <c r="B23" s="15">
        <f t="shared" si="18"/>
        <v>2028</v>
      </c>
      <c r="C23" s="9">
        <f t="shared" si="4"/>
        <v>0</v>
      </c>
      <c r="D23" s="45"/>
      <c r="E23" s="9">
        <f t="shared" ca="1" si="19"/>
        <v>28.793915565728962</v>
      </c>
      <c r="F23" s="37"/>
      <c r="G23" s="14">
        <f t="shared" ca="1" si="21"/>
        <v>28.793915565728962</v>
      </c>
      <c r="H23" s="36"/>
      <c r="I23" s="194"/>
      <c r="J23" s="194"/>
      <c r="M23" s="117"/>
      <c r="O23">
        <f t="shared" si="5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f t="shared" si="6"/>
        <v>0</v>
      </c>
      <c r="AJ23">
        <f t="shared" si="7"/>
        <v>0</v>
      </c>
      <c r="AK23">
        <f t="shared" si="8"/>
        <v>0</v>
      </c>
      <c r="AL23">
        <f t="shared" si="9"/>
        <v>0</v>
      </c>
      <c r="AM23">
        <f t="shared" si="10"/>
        <v>0</v>
      </c>
      <c r="AN23">
        <f t="shared" si="11"/>
        <v>0</v>
      </c>
      <c r="AO23">
        <f t="shared" si="12"/>
        <v>0</v>
      </c>
      <c r="AP23">
        <f t="shared" si="13"/>
        <v>0</v>
      </c>
      <c r="AQ23">
        <f t="shared" si="14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5"/>
        <v>0</v>
      </c>
      <c r="AZ23">
        <f t="shared" si="15"/>
        <v>0</v>
      </c>
      <c r="BB23">
        <f>VLOOKUP($O23,'Table 3 EV2020 Wind_2020'!$B$10:$K$36,10,FALSE)</f>
        <v>-1.37</v>
      </c>
      <c r="BC23">
        <f>VLOOKUP($O23,'Table 3 EV2020 Wind_2021'!$B$10:$K$36,10,FALSE)</f>
        <v>-3.79</v>
      </c>
      <c r="BD23">
        <f>VLOOKUP($O23,'Table 3 DJ Wind 2030'!$B$10:$J$36,9,FALSE)</f>
        <v>51.58</v>
      </c>
      <c r="BE23">
        <f>VLOOKUP($O23,'Table 3 ID Wind 2033'!$B$10:$J$36,9,FALSE)</f>
        <v>48.47</v>
      </c>
      <c r="BF23">
        <f>VLOOKUP($O23,'Table 3 WW Wind 2035'!$B$10:$J$36,9,FALSE)</f>
        <v>48.47</v>
      </c>
      <c r="BG23">
        <f>VLOOKUP($O23,'Table 3 YK Wind 2035'!$B$10:$J$36,9,FALSE)</f>
        <v>48.47</v>
      </c>
      <c r="BH23">
        <f>VLOOKUP($O23,'Table 3 OR Wind 2035'!$B$10:$J$36,9,FALSE)</f>
        <v>48.47</v>
      </c>
      <c r="BI23">
        <f>VLOOKUP($O23,'Table 3 UT Wind 2036'!$B$10:$J$36,9,FALSE)</f>
        <v>48.47</v>
      </c>
      <c r="BJ23">
        <f>VLOOKUP($O23,'Table 3 YK Solar 2030'!$B$10:$J$36,9,FALSE)</f>
        <v>24.19</v>
      </c>
      <c r="BK23">
        <f>VLOOKUP($O23,'Table 3 YK Solar 2032'!$B$10:$J$36,9,FALSE)</f>
        <v>24.19</v>
      </c>
      <c r="BL23">
        <f>VLOOKUP($O23,'Table 3 YK Solar 2033'!$B$10:$J$36,9,FALSE)</f>
        <v>24.19</v>
      </c>
      <c r="BM23">
        <f>VLOOKUP($O23,'Table 3 UT Solar 2033 ST'!$B$10:$J$36,9,FALSE)</f>
        <v>25.43</v>
      </c>
      <c r="BN23">
        <f>VLOOKUP($O23,'Table 3 UT Solar 2035 ST'!$B$10:$J$36,9,FALSE)</f>
        <v>25.43</v>
      </c>
      <c r="BO23">
        <f>VLOOKUP($O23,'Table 3 UT Solar 2035 FT'!$B$10:$J$36,9,FALSE)</f>
        <v>24.15</v>
      </c>
      <c r="BP23">
        <f>VLOOKUP($O23,'Table 3 OR Solar 2030'!$B$10:$J$36,9,FALSE)</f>
        <v>25.46</v>
      </c>
      <c r="BQ23">
        <f>VLOOKUP($O23,'Table 3 OR Solar 2031'!$B$10:$J$36,9,FALSE)</f>
        <v>25.46</v>
      </c>
      <c r="BR23">
        <f>VLOOKUP($O23,'Table 3 OR Solar 2032'!$B$10:$J$36,9,FALSE)</f>
        <v>25.46</v>
      </c>
      <c r="BS23">
        <f>VLOOKUP($O23,'Table 3 OR Solar 2033'!$B$10:$J$36,9,FALSE)</f>
        <v>25.46</v>
      </c>
      <c r="BU23">
        <f>SUM(AI$13:AI23)*BB23/1000</f>
        <v>0</v>
      </c>
      <c r="BV23">
        <f>SUM(AJ$13:AJ23)*BC23/1000</f>
        <v>0</v>
      </c>
      <c r="BW23">
        <f>SUM(AK$13:AK23)*BD23/1000</f>
        <v>0</v>
      </c>
      <c r="BX23">
        <f>SUM(AL$13:AL23)*BE23/1000</f>
        <v>0</v>
      </c>
      <c r="BY23">
        <f>SUM(AM$13:AM23)*BF23/1000</f>
        <v>0</v>
      </c>
      <c r="BZ23">
        <f>SUM(AN$13:AN23)*BG23/1000</f>
        <v>0</v>
      </c>
      <c r="CA23">
        <f>SUM(AO$13:AO23)*BH23/1000</f>
        <v>0</v>
      </c>
      <c r="CB23">
        <f>SUM(AP$13:AP23)*BI23/1000</f>
        <v>0</v>
      </c>
      <c r="CC23">
        <f>SUM(AQ$13:AQ23)*BJ23/1000</f>
        <v>0</v>
      </c>
      <c r="CD23">
        <f>SUM(AR$13:AR23)*BK23/1000</f>
        <v>0</v>
      </c>
      <c r="CE23">
        <f>SUM(AS$13:AS23)*BL23/1000</f>
        <v>0</v>
      </c>
      <c r="CF23">
        <f>SUM(AT$13:AT23)*BM23/1000</f>
        <v>0</v>
      </c>
      <c r="CG23">
        <f>SUM(AU$13:AU23)*BN23/1000</f>
        <v>0</v>
      </c>
      <c r="CH23">
        <f>SUM(AV$13:AV23)*BO23/1000</f>
        <v>0</v>
      </c>
      <c r="CI23">
        <f>SUM(AW$13:AW23)*BP23/1000</f>
        <v>0</v>
      </c>
      <c r="CJ23">
        <f>SUM(AX$13:AX23)*BQ23/1000</f>
        <v>0</v>
      </c>
      <c r="CK23">
        <f>SUM(AY$13:AY23)*BR23/1000</f>
        <v>0</v>
      </c>
      <c r="CL23">
        <f>SUM(AZ$13:AZ23)*BS23/1000</f>
        <v>0</v>
      </c>
      <c r="CM23">
        <f t="shared" si="22"/>
        <v>0</v>
      </c>
      <c r="CO23">
        <f t="shared" si="17"/>
        <v>2028</v>
      </c>
      <c r="CP23" s="90">
        <f>IFERROR(VLOOKUP($CO23,'Table 3 TransCost D2 '!$B$10:$E$34,4,FALSE),0)</f>
        <v>57.04</v>
      </c>
      <c r="CQ23" s="194">
        <f t="shared" si="20"/>
        <v>0</v>
      </c>
    </row>
    <row r="24" spans="2:95">
      <c r="B24" s="15">
        <f t="shared" si="18"/>
        <v>2029</v>
      </c>
      <c r="C24" s="9">
        <f t="shared" si="4"/>
        <v>0</v>
      </c>
      <c r="D24" s="45"/>
      <c r="E24" s="9">
        <f t="shared" ca="1" si="19"/>
        <v>32.123816433374003</v>
      </c>
      <c r="F24" s="37"/>
      <c r="G24" s="14">
        <f t="shared" ca="1" si="21"/>
        <v>32.123816433374003</v>
      </c>
      <c r="H24" s="36"/>
      <c r="I24" s="194"/>
      <c r="J24" s="194"/>
      <c r="M24" s="117"/>
      <c r="O24">
        <f t="shared" si="5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I24">
        <f t="shared" si="6"/>
        <v>0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0</v>
      </c>
      <c r="AN24">
        <f t="shared" si="11"/>
        <v>0</v>
      </c>
      <c r="AO24">
        <f t="shared" si="12"/>
        <v>0</v>
      </c>
      <c r="AP24">
        <f t="shared" si="13"/>
        <v>0</v>
      </c>
      <c r="AQ24">
        <f t="shared" si="14"/>
        <v>0</v>
      </c>
      <c r="AR24">
        <f t="shared" si="15"/>
        <v>0</v>
      </c>
      <c r="AS24">
        <f t="shared" si="15"/>
        <v>0</v>
      </c>
      <c r="AT24">
        <f t="shared" si="15"/>
        <v>0</v>
      </c>
      <c r="AU24">
        <f t="shared" si="15"/>
        <v>0</v>
      </c>
      <c r="AV24">
        <f t="shared" si="15"/>
        <v>0</v>
      </c>
      <c r="AW24">
        <f t="shared" si="15"/>
        <v>0</v>
      </c>
      <c r="AX24">
        <f t="shared" si="15"/>
        <v>0</v>
      </c>
      <c r="AY24">
        <f t="shared" si="15"/>
        <v>0</v>
      </c>
      <c r="AZ24">
        <f t="shared" si="15"/>
        <v>0</v>
      </c>
      <c r="BB24">
        <f>VLOOKUP($O24,'Table 3 EV2020 Wind_2020'!$B$10:$K$36,10,FALSE)</f>
        <v>-3.07</v>
      </c>
      <c r="BC24">
        <f>VLOOKUP($O24,'Table 3 EV2020 Wind_2021'!$B$10:$K$36,10,FALSE)</f>
        <v>-5.54</v>
      </c>
      <c r="BD24">
        <f>VLOOKUP($O24,'Table 3 DJ Wind 2030'!$B$10:$J$36,9,FALSE)</f>
        <v>52.71</v>
      </c>
      <c r="BE24">
        <f>VLOOKUP($O24,'Table 3 ID Wind 2033'!$B$10:$J$36,9,FALSE)</f>
        <v>49.53</v>
      </c>
      <c r="BF24">
        <f>VLOOKUP($O24,'Table 3 WW Wind 2035'!$B$10:$J$36,9,FALSE)</f>
        <v>49.53</v>
      </c>
      <c r="BG24">
        <f>VLOOKUP($O24,'Table 3 YK Wind 2035'!$B$10:$J$36,9,FALSE)</f>
        <v>49.53</v>
      </c>
      <c r="BH24">
        <f>VLOOKUP($O24,'Table 3 OR Wind 2035'!$B$10:$J$36,9,FALSE)</f>
        <v>49.53</v>
      </c>
      <c r="BI24">
        <f>VLOOKUP($O24,'Table 3 UT Wind 2036'!$B$10:$J$36,9,FALSE)</f>
        <v>49.53</v>
      </c>
      <c r="BJ24">
        <f>VLOOKUP($O24,'Table 3 YK Solar 2030'!$B$10:$J$36,9,FALSE)</f>
        <v>24.72</v>
      </c>
      <c r="BK24">
        <f>VLOOKUP($O24,'Table 3 YK Solar 2032'!$B$10:$J$36,9,FALSE)</f>
        <v>24.72</v>
      </c>
      <c r="BL24">
        <f>VLOOKUP($O24,'Table 3 YK Solar 2033'!$B$10:$J$36,9,FALSE)</f>
        <v>24.72</v>
      </c>
      <c r="BM24">
        <f>VLOOKUP($O24,'Table 3 UT Solar 2033 ST'!$B$10:$J$36,9,FALSE)</f>
        <v>25.99</v>
      </c>
      <c r="BN24">
        <f>VLOOKUP($O24,'Table 3 UT Solar 2035 ST'!$B$10:$J$36,9,FALSE)</f>
        <v>25.99</v>
      </c>
      <c r="BO24">
        <f>VLOOKUP($O24,'Table 3 UT Solar 2035 FT'!$B$10:$J$36,9,FALSE)</f>
        <v>24.68</v>
      </c>
      <c r="BP24">
        <f>VLOOKUP($O24,'Table 3 OR Solar 2030'!$B$10:$J$36,9,FALSE)</f>
        <v>26.02</v>
      </c>
      <c r="BQ24">
        <f>VLOOKUP($O24,'Table 3 OR Solar 2031'!$B$10:$J$36,9,FALSE)</f>
        <v>26.02</v>
      </c>
      <c r="BR24">
        <f>VLOOKUP($O24,'Table 3 OR Solar 2032'!$B$10:$J$36,9,FALSE)</f>
        <v>26.02</v>
      </c>
      <c r="BS24">
        <f>VLOOKUP($O24,'Table 3 OR Solar 2033'!$B$10:$J$36,9,FALSE)</f>
        <v>26.02</v>
      </c>
      <c r="BU24">
        <f>SUM(AI$13:AI24)*BB24/1000</f>
        <v>0</v>
      </c>
      <c r="BV24">
        <f>SUM(AJ$13:AJ24)*BC24/1000</f>
        <v>0</v>
      </c>
      <c r="BW24">
        <f>SUM(AK$13:AK24)*BD24/1000</f>
        <v>0</v>
      </c>
      <c r="BX24">
        <f>SUM(AL$13:AL24)*BE24/1000</f>
        <v>0</v>
      </c>
      <c r="BY24">
        <f>SUM(AM$13:AM24)*BF24/1000</f>
        <v>0</v>
      </c>
      <c r="BZ24">
        <f>SUM(AN$13:AN24)*BG24/1000</f>
        <v>0</v>
      </c>
      <c r="CA24">
        <f>SUM(AO$13:AO24)*BH24/1000</f>
        <v>0</v>
      </c>
      <c r="CB24">
        <f>SUM(AP$13:AP24)*BI24/1000</f>
        <v>0</v>
      </c>
      <c r="CC24">
        <f>SUM(AQ$13:AQ24)*BJ24/1000</f>
        <v>0</v>
      </c>
      <c r="CD24">
        <f>SUM(AR$13:AR24)*BK24/1000</f>
        <v>0</v>
      </c>
      <c r="CE24">
        <f>SUM(AS$13:AS24)*BL24/1000</f>
        <v>0</v>
      </c>
      <c r="CF24">
        <f>SUM(AT$13:AT24)*BM24/1000</f>
        <v>0</v>
      </c>
      <c r="CG24">
        <f>SUM(AU$13:AU24)*BN24/1000</f>
        <v>0</v>
      </c>
      <c r="CH24">
        <f>SUM(AV$13:AV24)*BO24/1000</f>
        <v>0</v>
      </c>
      <c r="CI24">
        <f>SUM(AW$13:AW24)*BP24/1000</f>
        <v>0</v>
      </c>
      <c r="CJ24">
        <f>SUM(AX$13:AX24)*BQ24/1000</f>
        <v>0</v>
      </c>
      <c r="CK24">
        <f>SUM(AY$13:AY24)*BR24/1000</f>
        <v>0</v>
      </c>
      <c r="CL24">
        <f>SUM(AZ$13:AZ24)*BS24/1000</f>
        <v>0</v>
      </c>
      <c r="CM24">
        <f t="shared" si="22"/>
        <v>0</v>
      </c>
      <c r="CO24">
        <f t="shared" si="17"/>
        <v>2029</v>
      </c>
      <c r="CP24" s="90">
        <f>IFERROR(VLOOKUP($CO24,'Table 3 TransCost D2 '!$B$10:$E$34,4,FALSE),0)</f>
        <v>58.29</v>
      </c>
      <c r="CQ24" s="194">
        <f t="shared" si="20"/>
        <v>0</v>
      </c>
    </row>
    <row r="25" spans="2:95">
      <c r="B25" s="15">
        <f t="shared" si="18"/>
        <v>2030</v>
      </c>
      <c r="C25" s="9">
        <f t="shared" si="4"/>
        <v>0</v>
      </c>
      <c r="D25" s="45"/>
      <c r="E25" s="9">
        <f t="shared" ca="1" si="19"/>
        <v>35.673372342000178</v>
      </c>
      <c r="F25" s="37"/>
      <c r="G25" s="14">
        <f t="shared" ca="1" si="21"/>
        <v>35.673372342000178</v>
      </c>
      <c r="H25" s="36"/>
      <c r="I25" s="194"/>
      <c r="J25" s="194"/>
      <c r="M25" s="117"/>
      <c r="O25">
        <f t="shared" si="5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I25">
        <f t="shared" si="6"/>
        <v>0</v>
      </c>
      <c r="AJ25">
        <f t="shared" si="7"/>
        <v>0</v>
      </c>
      <c r="AK25">
        <f t="shared" si="8"/>
        <v>0</v>
      </c>
      <c r="AL25">
        <f t="shared" si="9"/>
        <v>0</v>
      </c>
      <c r="AM25">
        <f t="shared" si="10"/>
        <v>0</v>
      </c>
      <c r="AN25">
        <f t="shared" si="11"/>
        <v>0</v>
      </c>
      <c r="AO25">
        <f t="shared" si="12"/>
        <v>0</v>
      </c>
      <c r="AP25">
        <f t="shared" si="13"/>
        <v>0</v>
      </c>
      <c r="AQ25">
        <f t="shared" si="14"/>
        <v>0</v>
      </c>
      <c r="AR25">
        <f t="shared" si="15"/>
        <v>0</v>
      </c>
      <c r="AS25">
        <f t="shared" si="15"/>
        <v>0</v>
      </c>
      <c r="AT25">
        <f t="shared" si="15"/>
        <v>0</v>
      </c>
      <c r="AU25">
        <f t="shared" si="15"/>
        <v>0</v>
      </c>
      <c r="AV25">
        <f t="shared" si="15"/>
        <v>0</v>
      </c>
      <c r="AW25">
        <f t="shared" si="15"/>
        <v>0</v>
      </c>
      <c r="AX25">
        <f t="shared" si="15"/>
        <v>0</v>
      </c>
      <c r="AY25">
        <f t="shared" si="15"/>
        <v>0</v>
      </c>
      <c r="AZ25">
        <f t="shared" si="15"/>
        <v>0</v>
      </c>
      <c r="BB25">
        <f>VLOOKUP($O25,'Table 3 EV2020 Wind_2020'!$B$10:$K$36,10,FALSE)</f>
        <v>18.54</v>
      </c>
      <c r="BC25">
        <f>VLOOKUP($O25,'Table 3 EV2020 Wind_2021'!$B$10:$K$36,10,FALSE)</f>
        <v>-7.27</v>
      </c>
      <c r="BD25">
        <f>VLOOKUP($O25,'Table 3 DJ Wind 2030'!$B$10:$J$36,9,FALSE)</f>
        <v>150.03</v>
      </c>
      <c r="BE25">
        <f>VLOOKUP($O25,'Table 3 ID Wind 2033'!$B$10:$J$36,9,FALSE)</f>
        <v>50.61</v>
      </c>
      <c r="BF25">
        <f>VLOOKUP($O25,'Table 3 WW Wind 2035'!$B$10:$J$36,9,FALSE)</f>
        <v>50.61</v>
      </c>
      <c r="BG25">
        <f>VLOOKUP($O25,'Table 3 YK Wind 2035'!$B$10:$J$36,9,FALSE)</f>
        <v>50.61</v>
      </c>
      <c r="BH25">
        <f>VLOOKUP($O25,'Table 3 OR Wind 2035'!$B$10:$J$36,9,FALSE)</f>
        <v>50.61</v>
      </c>
      <c r="BI25">
        <f>VLOOKUP($O25,'Table 3 UT Wind 2036'!$B$10:$J$36,9,FALSE)</f>
        <v>50.61</v>
      </c>
      <c r="BJ25">
        <f>VLOOKUP($O25,'Table 3 YK Solar 2030'!$B$10:$J$36,9,FALSE)</f>
        <v>117.32</v>
      </c>
      <c r="BK25">
        <f>VLOOKUP($O25,'Table 3 YK Solar 2032'!$B$10:$J$36,9,FALSE)</f>
        <v>25.26</v>
      </c>
      <c r="BL25">
        <f>VLOOKUP($O25,'Table 3 YK Solar 2033'!$B$10:$J$36,9,FALSE)</f>
        <v>25.26</v>
      </c>
      <c r="BM25">
        <f>VLOOKUP($O25,'Table 3 UT Solar 2033 ST'!$B$10:$J$36,9,FALSE)</f>
        <v>26.55</v>
      </c>
      <c r="BN25">
        <f>VLOOKUP($O25,'Table 3 UT Solar 2035 ST'!$B$10:$J$36,9,FALSE)</f>
        <v>26.55</v>
      </c>
      <c r="BO25">
        <f>VLOOKUP($O25,'Table 3 UT Solar 2035 FT'!$B$10:$J$36,9,FALSE)</f>
        <v>25.22</v>
      </c>
      <c r="BP25">
        <f>VLOOKUP($O25,'Table 3 OR Solar 2030'!$B$10:$J$36,9,FALSE)</f>
        <v>120.42</v>
      </c>
      <c r="BQ25">
        <f>VLOOKUP($O25,'Table 3 OR Solar 2031'!$B$10:$J$36,9,FALSE)</f>
        <v>26.59</v>
      </c>
      <c r="BR25">
        <f>VLOOKUP($O25,'Table 3 OR Solar 2032'!$B$10:$J$36,9,FALSE)</f>
        <v>26.59</v>
      </c>
      <c r="BS25">
        <f>VLOOKUP($O25,'Table 3 OR Solar 2033'!$B$10:$J$36,9,FALSE)</f>
        <v>26.59</v>
      </c>
      <c r="BU25">
        <f>SUM(AI$13:AI25)*BB25/1000</f>
        <v>0</v>
      </c>
      <c r="BV25">
        <f>SUM(AJ$13:AJ25)*BC25/1000</f>
        <v>0</v>
      </c>
      <c r="BW25">
        <f>SUM(AK$13:AK25)*BD25/1000</f>
        <v>0</v>
      </c>
      <c r="BX25">
        <f>SUM(AL$13:AL25)*BE25/1000</f>
        <v>0</v>
      </c>
      <c r="BY25">
        <f>SUM(AM$13:AM25)*BF25/1000</f>
        <v>0</v>
      </c>
      <c r="BZ25">
        <f>SUM(AN$13:AN25)*BG25/1000</f>
        <v>0</v>
      </c>
      <c r="CA25">
        <f>SUM(AO$13:AO25)*BH25/1000</f>
        <v>0</v>
      </c>
      <c r="CB25">
        <f>SUM(AP$13:AP25)*BI25/1000</f>
        <v>0</v>
      </c>
      <c r="CC25">
        <f>SUM(AQ$13:AQ25)*BJ25/1000</f>
        <v>0</v>
      </c>
      <c r="CD25">
        <f>SUM(AR$13:AR25)*BK25/1000</f>
        <v>0</v>
      </c>
      <c r="CE25">
        <f>SUM(AS$13:AS25)*BL25/1000</f>
        <v>0</v>
      </c>
      <c r="CF25">
        <f>SUM(AT$13:AT25)*BM25/1000</f>
        <v>0</v>
      </c>
      <c r="CG25">
        <f>SUM(AU$13:AU25)*BN25/1000</f>
        <v>0</v>
      </c>
      <c r="CH25">
        <f>SUM(AV$13:AV25)*BO25/1000</f>
        <v>0</v>
      </c>
      <c r="CI25">
        <f>SUM(AW$13:AW25)*BP25/1000</f>
        <v>0</v>
      </c>
      <c r="CJ25">
        <f>SUM(AX$13:AX25)*BQ25/1000</f>
        <v>0</v>
      </c>
      <c r="CK25">
        <f>SUM(AY$13:AY25)*BR25/1000</f>
        <v>0</v>
      </c>
      <c r="CL25">
        <f>SUM(AZ$13:AZ25)*BS25/1000</f>
        <v>0</v>
      </c>
      <c r="CM25">
        <f t="shared" si="22"/>
        <v>0</v>
      </c>
      <c r="CO25">
        <f t="shared" si="17"/>
        <v>2030</v>
      </c>
      <c r="CP25" s="90">
        <f>IFERROR(VLOOKUP($CO25,'Table 3 TransCost D2 '!$B$10:$E$34,4,FALSE),0)</f>
        <v>59.56</v>
      </c>
      <c r="CQ25" s="194">
        <f t="shared" si="20"/>
        <v>0</v>
      </c>
    </row>
    <row r="26" spans="2:95">
      <c r="B26" s="15">
        <f t="shared" si="18"/>
        <v>2031</v>
      </c>
      <c r="C26" s="9">
        <f t="shared" si="4"/>
        <v>0</v>
      </c>
      <c r="D26" s="45"/>
      <c r="E26" s="9">
        <f t="shared" ca="1" si="19"/>
        <v>37.269180510555351</v>
      </c>
      <c r="F26" s="37"/>
      <c r="G26" s="14">
        <f t="shared" ca="1" si="21"/>
        <v>37.269180510555351</v>
      </c>
      <c r="H26" s="36"/>
      <c r="I26" s="194"/>
      <c r="J26" s="194"/>
      <c r="M26" s="117"/>
      <c r="O26">
        <f t="shared" si="5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I26">
        <f t="shared" si="6"/>
        <v>0</v>
      </c>
      <c r="AJ26">
        <f t="shared" si="7"/>
        <v>0</v>
      </c>
      <c r="AK26">
        <f t="shared" si="8"/>
        <v>0</v>
      </c>
      <c r="AL26">
        <f t="shared" si="9"/>
        <v>0</v>
      </c>
      <c r="AM26">
        <f t="shared" si="10"/>
        <v>0</v>
      </c>
      <c r="AN26">
        <f t="shared" si="11"/>
        <v>0</v>
      </c>
      <c r="AO26">
        <f t="shared" si="12"/>
        <v>0</v>
      </c>
      <c r="AP26">
        <f t="shared" si="13"/>
        <v>0</v>
      </c>
      <c r="AQ26">
        <f t="shared" si="14"/>
        <v>0</v>
      </c>
      <c r="AR26">
        <f t="shared" si="15"/>
        <v>0</v>
      </c>
      <c r="AS26">
        <f t="shared" si="15"/>
        <v>0</v>
      </c>
      <c r="AT26">
        <f t="shared" si="15"/>
        <v>0</v>
      </c>
      <c r="AU26">
        <f t="shared" si="15"/>
        <v>0</v>
      </c>
      <c r="AV26">
        <f t="shared" si="15"/>
        <v>0</v>
      </c>
      <c r="AW26">
        <f t="shared" si="15"/>
        <v>0</v>
      </c>
      <c r="AX26">
        <f t="shared" si="15"/>
        <v>0</v>
      </c>
      <c r="AY26">
        <f t="shared" si="15"/>
        <v>0</v>
      </c>
      <c r="AZ26">
        <f t="shared" si="15"/>
        <v>0</v>
      </c>
      <c r="BB26">
        <f>VLOOKUP($O26,'Table 3 EV2020 Wind_2020'!$B$10:$K$36,10,FALSE)</f>
        <v>137.82</v>
      </c>
      <c r="BC26">
        <f>VLOOKUP($O26,'Table 3 EV2020 Wind_2021'!$B$10:$K$36,10,FALSE)</f>
        <v>135.24</v>
      </c>
      <c r="BD26">
        <f>VLOOKUP($O26,'Table 3 DJ Wind 2030'!$B$10:$J$36,9,FALSE)</f>
        <v>153.22999999999999</v>
      </c>
      <c r="BE26">
        <f>VLOOKUP($O26,'Table 3 ID Wind 2033'!$B$10:$J$36,9,FALSE)</f>
        <v>51.69</v>
      </c>
      <c r="BF26">
        <f>VLOOKUP($O26,'Table 3 WW Wind 2035'!$B$10:$J$36,9,FALSE)</f>
        <v>51.69</v>
      </c>
      <c r="BG26">
        <f>VLOOKUP($O26,'Table 3 YK Wind 2035'!$B$10:$J$36,9,FALSE)</f>
        <v>51.69</v>
      </c>
      <c r="BH26">
        <f>VLOOKUP($O26,'Table 3 OR Wind 2035'!$B$10:$J$36,9,FALSE)</f>
        <v>51.69</v>
      </c>
      <c r="BI26">
        <f>VLOOKUP($O26,'Table 3 UT Wind 2036'!$B$10:$J$36,9,FALSE)</f>
        <v>51.69</v>
      </c>
      <c r="BJ26">
        <f>VLOOKUP($O26,'Table 3 YK Solar 2030'!$B$10:$J$36,9,FALSE)</f>
        <v>119.82</v>
      </c>
      <c r="BK26">
        <f>VLOOKUP($O26,'Table 3 YK Solar 2032'!$B$10:$J$36,9,FALSE)</f>
        <v>25.8</v>
      </c>
      <c r="BL26">
        <f>VLOOKUP($O26,'Table 3 YK Solar 2033'!$B$10:$J$36,9,FALSE)</f>
        <v>25.8</v>
      </c>
      <c r="BM26">
        <f>VLOOKUP($O26,'Table 3 UT Solar 2033 ST'!$B$10:$J$36,9,FALSE)</f>
        <v>27.12</v>
      </c>
      <c r="BN26">
        <f>VLOOKUP($O26,'Table 3 UT Solar 2035 ST'!$B$10:$J$36,9,FALSE)</f>
        <v>27.12</v>
      </c>
      <c r="BO26">
        <f>VLOOKUP($O26,'Table 3 UT Solar 2035 FT'!$B$10:$J$36,9,FALSE)</f>
        <v>25.76</v>
      </c>
      <c r="BP26">
        <f>VLOOKUP($O26,'Table 3 OR Solar 2030'!$B$10:$J$36,9,FALSE)</f>
        <v>122.98</v>
      </c>
      <c r="BQ26">
        <f>VLOOKUP($O26,'Table 3 OR Solar 2031'!$B$10:$J$36,9,FALSE)</f>
        <v>120.45</v>
      </c>
      <c r="BR26">
        <f>VLOOKUP($O26,'Table 3 OR Solar 2032'!$B$10:$J$36,9,FALSE)</f>
        <v>27.16</v>
      </c>
      <c r="BS26">
        <f>VLOOKUP($O26,'Table 3 OR Solar 2033'!$B$10:$J$36,9,FALSE)</f>
        <v>27.16</v>
      </c>
      <c r="BU26">
        <f>SUM(AI$13:AI26)*BB26/1000</f>
        <v>0</v>
      </c>
      <c r="BV26">
        <f>SUM(AJ$13:AJ26)*BC26/1000</f>
        <v>0</v>
      </c>
      <c r="BW26">
        <f>SUM(AK$13:AK26)*BD26/1000</f>
        <v>0</v>
      </c>
      <c r="BX26">
        <f>SUM(AL$13:AL26)*BE26/1000</f>
        <v>0</v>
      </c>
      <c r="BY26">
        <f>SUM(AM$13:AM26)*BF26/1000</f>
        <v>0</v>
      </c>
      <c r="BZ26">
        <f>SUM(AN$13:AN26)*BG26/1000</f>
        <v>0</v>
      </c>
      <c r="CA26">
        <f>SUM(AO$13:AO26)*BH26/1000</f>
        <v>0</v>
      </c>
      <c r="CB26">
        <f>SUM(AP$13:AP26)*BI26/1000</f>
        <v>0</v>
      </c>
      <c r="CC26">
        <f>SUM(AQ$13:AQ26)*BJ26/1000</f>
        <v>0</v>
      </c>
      <c r="CD26">
        <f>SUM(AR$13:AR26)*BK26/1000</f>
        <v>0</v>
      </c>
      <c r="CE26">
        <f>SUM(AS$13:AS26)*BL26/1000</f>
        <v>0</v>
      </c>
      <c r="CF26">
        <f>SUM(AT$13:AT26)*BM26/1000</f>
        <v>0</v>
      </c>
      <c r="CG26">
        <f>SUM(AU$13:AU26)*BN26/1000</f>
        <v>0</v>
      </c>
      <c r="CH26">
        <f>SUM(AV$13:AV26)*BO26/1000</f>
        <v>0</v>
      </c>
      <c r="CI26">
        <f>SUM(AW$13:AW26)*BP26/1000</f>
        <v>0</v>
      </c>
      <c r="CJ26">
        <f>SUM(AX$13:AX26)*BQ26/1000</f>
        <v>0</v>
      </c>
      <c r="CK26">
        <f>SUM(AY$13:AY26)*BR26/1000</f>
        <v>0</v>
      </c>
      <c r="CL26">
        <f>SUM(AZ$13:AZ26)*BS26/1000</f>
        <v>0</v>
      </c>
      <c r="CM26">
        <f t="shared" si="22"/>
        <v>0</v>
      </c>
      <c r="CO26">
        <f t="shared" si="17"/>
        <v>2031</v>
      </c>
      <c r="CP26" s="90">
        <f>IFERROR(VLOOKUP($CO26,'Table 3 TransCost D2 '!$B$10:$E$34,4,FALSE),0)</f>
        <v>60.830000000000005</v>
      </c>
      <c r="CQ26" s="194">
        <f t="shared" si="20"/>
        <v>0</v>
      </c>
    </row>
    <row r="27" spans="2:95">
      <c r="B27" s="15">
        <f t="shared" si="18"/>
        <v>2032</v>
      </c>
      <c r="C27" s="9">
        <f t="shared" si="4"/>
        <v>0</v>
      </c>
      <c r="D27" s="45"/>
      <c r="E27" s="9">
        <f t="shared" ca="1" si="19"/>
        <v>39.966623413699502</v>
      </c>
      <c r="F27" s="37"/>
      <c r="G27" s="14">
        <f t="shared" ca="1" si="21"/>
        <v>39.966623413699502</v>
      </c>
      <c r="H27" s="36"/>
      <c r="I27" s="194"/>
      <c r="J27" s="194"/>
      <c r="M27" s="117"/>
      <c r="O27">
        <f t="shared" si="5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I27">
        <f t="shared" si="6"/>
        <v>0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0</v>
      </c>
      <c r="AN27">
        <f t="shared" si="11"/>
        <v>0</v>
      </c>
      <c r="AO27">
        <f t="shared" si="12"/>
        <v>0</v>
      </c>
      <c r="AP27">
        <f t="shared" si="13"/>
        <v>0</v>
      </c>
      <c r="AQ27">
        <f t="shared" si="14"/>
        <v>0</v>
      </c>
      <c r="AR27">
        <f t="shared" si="15"/>
        <v>0</v>
      </c>
      <c r="AS27">
        <f t="shared" si="15"/>
        <v>0</v>
      </c>
      <c r="AT27">
        <f t="shared" si="15"/>
        <v>0</v>
      </c>
      <c r="AU27">
        <f t="shared" si="15"/>
        <v>0</v>
      </c>
      <c r="AV27">
        <f t="shared" si="15"/>
        <v>0</v>
      </c>
      <c r="AW27">
        <f t="shared" si="15"/>
        <v>0</v>
      </c>
      <c r="AX27">
        <f t="shared" si="15"/>
        <v>0</v>
      </c>
      <c r="AY27">
        <f t="shared" si="15"/>
        <v>0</v>
      </c>
      <c r="AZ27">
        <f t="shared" si="15"/>
        <v>0</v>
      </c>
      <c r="BB27">
        <f>VLOOKUP($O27,'Table 3 EV2020 Wind_2020'!$B$10:$K$36,10,FALSE)</f>
        <v>140.69</v>
      </c>
      <c r="BC27">
        <f>VLOOKUP($O27,'Table 3 EV2020 Wind_2021'!$B$10:$K$36,10,FALSE)</f>
        <v>138.05000000000001</v>
      </c>
      <c r="BD27">
        <f>VLOOKUP($O27,'Table 3 DJ Wind 2030'!$B$10:$J$36,9,FALSE)</f>
        <v>156.44</v>
      </c>
      <c r="BE27">
        <f>VLOOKUP($O27,'Table 3 ID Wind 2033'!$B$10:$J$36,9,FALSE)</f>
        <v>52.77</v>
      </c>
      <c r="BF27">
        <f>VLOOKUP($O27,'Table 3 WW Wind 2035'!$B$10:$J$36,9,FALSE)</f>
        <v>52.77</v>
      </c>
      <c r="BG27">
        <f>VLOOKUP($O27,'Table 3 YK Wind 2035'!$B$10:$J$36,9,FALSE)</f>
        <v>52.77</v>
      </c>
      <c r="BH27">
        <f>VLOOKUP($O27,'Table 3 OR Wind 2035'!$B$10:$J$36,9,FALSE)</f>
        <v>52.77</v>
      </c>
      <c r="BI27">
        <f>VLOOKUP($O27,'Table 3 UT Wind 2036'!$B$10:$J$36,9,FALSE)</f>
        <v>52.77</v>
      </c>
      <c r="BJ27">
        <f>VLOOKUP($O27,'Table 3 YK Solar 2030'!$B$10:$J$36,9,FALSE)</f>
        <v>122.33</v>
      </c>
      <c r="BK27">
        <f>VLOOKUP($O27,'Table 3 YK Solar 2032'!$B$10:$J$36,9,FALSE)</f>
        <v>117.35</v>
      </c>
      <c r="BL27">
        <f>VLOOKUP($O27,'Table 3 YK Solar 2033'!$B$10:$J$36,9,FALSE)</f>
        <v>26.34</v>
      </c>
      <c r="BM27">
        <f>VLOOKUP($O27,'Table 3 UT Solar 2033 ST'!$B$10:$J$36,9,FALSE)</f>
        <v>27.69</v>
      </c>
      <c r="BN27">
        <f>VLOOKUP($O27,'Table 3 UT Solar 2035 ST'!$B$10:$J$36,9,FALSE)</f>
        <v>27.69</v>
      </c>
      <c r="BO27">
        <f>VLOOKUP($O27,'Table 3 UT Solar 2035 FT'!$B$10:$J$36,9,FALSE)</f>
        <v>26.3</v>
      </c>
      <c r="BP27">
        <f>VLOOKUP($O27,'Table 3 OR Solar 2030'!$B$10:$J$36,9,FALSE)</f>
        <v>125.56</v>
      </c>
      <c r="BQ27">
        <f>VLOOKUP($O27,'Table 3 OR Solar 2031'!$B$10:$J$36,9,FALSE)</f>
        <v>122.97</v>
      </c>
      <c r="BR27">
        <f>VLOOKUP($O27,'Table 3 OR Solar 2032'!$B$10:$J$36,9,FALSE)</f>
        <v>120.49</v>
      </c>
      <c r="BS27">
        <f>VLOOKUP($O27,'Table 3 OR Solar 2033'!$B$10:$J$36,9,FALSE)</f>
        <v>27.73</v>
      </c>
      <c r="BU27">
        <f>SUM(AI$13:AI27)*BB27/1000</f>
        <v>0</v>
      </c>
      <c r="BV27">
        <f>SUM(AJ$13:AJ27)*BC27/1000</f>
        <v>0</v>
      </c>
      <c r="BW27">
        <f>SUM(AK$13:AK27)*BD27/1000</f>
        <v>0</v>
      </c>
      <c r="BX27">
        <f>SUM(AL$13:AL27)*BE27/1000</f>
        <v>0</v>
      </c>
      <c r="BY27">
        <f>SUM(AM$13:AM27)*BF27/1000</f>
        <v>0</v>
      </c>
      <c r="BZ27">
        <f>SUM(AN$13:AN27)*BG27/1000</f>
        <v>0</v>
      </c>
      <c r="CA27">
        <f>SUM(AO$13:AO27)*BH27/1000</f>
        <v>0</v>
      </c>
      <c r="CB27">
        <f>SUM(AP$13:AP27)*BI27/1000</f>
        <v>0</v>
      </c>
      <c r="CC27">
        <f>SUM(AQ$13:AQ27)*BJ27/1000</f>
        <v>0</v>
      </c>
      <c r="CD27">
        <f>SUM(AR$13:AR27)*BK27/1000</f>
        <v>0</v>
      </c>
      <c r="CE27">
        <f>SUM(AS$13:AS27)*BL27/1000</f>
        <v>0</v>
      </c>
      <c r="CF27">
        <f>SUM(AT$13:AT27)*BM27/1000</f>
        <v>0</v>
      </c>
      <c r="CG27">
        <f>SUM(AU$13:AU27)*BN27/1000</f>
        <v>0</v>
      </c>
      <c r="CH27">
        <f>SUM(AV$13:AV27)*BO27/1000</f>
        <v>0</v>
      </c>
      <c r="CI27">
        <f>SUM(AW$13:AW27)*BP27/1000</f>
        <v>0</v>
      </c>
      <c r="CJ27">
        <f>SUM(AX$13:AX27)*BQ27/1000</f>
        <v>0</v>
      </c>
      <c r="CK27">
        <f>SUM(AY$13:AY27)*BR27/1000</f>
        <v>0</v>
      </c>
      <c r="CL27">
        <f>SUM(AZ$13:AZ27)*BS27/1000</f>
        <v>0</v>
      </c>
      <c r="CM27">
        <f t="shared" si="22"/>
        <v>0</v>
      </c>
      <c r="CO27">
        <f t="shared" si="17"/>
        <v>2032</v>
      </c>
      <c r="CP27" s="90">
        <f>IFERROR(VLOOKUP($CO27,'Table 3 TransCost D2 '!$B$10:$E$34,4,FALSE),0)</f>
        <v>62.1</v>
      </c>
      <c r="CQ27" s="194">
        <f t="shared" si="20"/>
        <v>0</v>
      </c>
    </row>
    <row r="28" spans="2:95">
      <c r="B28" s="15">
        <f t="shared" si="18"/>
        <v>2033</v>
      </c>
      <c r="C28" s="9">
        <f t="shared" si="4"/>
        <v>0</v>
      </c>
      <c r="D28" s="45"/>
      <c r="E28" s="9">
        <f t="shared" ca="1" si="19"/>
        <v>41.27363795738006</v>
      </c>
      <c r="F28" s="37"/>
      <c r="G28" s="14">
        <f t="shared" ca="1" si="21"/>
        <v>41.27363795738006</v>
      </c>
      <c r="H28" s="36"/>
      <c r="I28" s="194"/>
      <c r="J28" s="194"/>
      <c r="M28" s="117"/>
      <c r="O28">
        <f t="shared" si="5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I28">
        <f t="shared" si="6"/>
        <v>0</v>
      </c>
      <c r="AJ28">
        <f t="shared" si="7"/>
        <v>0</v>
      </c>
      <c r="AK28">
        <f t="shared" si="8"/>
        <v>0</v>
      </c>
      <c r="AL28">
        <f t="shared" si="9"/>
        <v>0</v>
      </c>
      <c r="AM28">
        <f t="shared" si="10"/>
        <v>0</v>
      </c>
      <c r="AN28">
        <f t="shared" si="11"/>
        <v>0</v>
      </c>
      <c r="AO28">
        <f t="shared" si="12"/>
        <v>0</v>
      </c>
      <c r="AP28">
        <f t="shared" si="13"/>
        <v>0</v>
      </c>
      <c r="AQ28">
        <f t="shared" si="14"/>
        <v>0</v>
      </c>
      <c r="AR28">
        <f t="shared" si="15"/>
        <v>0</v>
      </c>
      <c r="AS28">
        <f t="shared" si="15"/>
        <v>0</v>
      </c>
      <c r="AT28">
        <f t="shared" si="15"/>
        <v>0</v>
      </c>
      <c r="AU28">
        <f t="shared" si="15"/>
        <v>0</v>
      </c>
      <c r="AV28">
        <f t="shared" si="15"/>
        <v>0</v>
      </c>
      <c r="AW28">
        <f t="shared" si="15"/>
        <v>0</v>
      </c>
      <c r="AX28">
        <f t="shared" si="15"/>
        <v>0</v>
      </c>
      <c r="AY28">
        <f t="shared" si="15"/>
        <v>0</v>
      </c>
      <c r="AZ28">
        <f t="shared" si="15"/>
        <v>0</v>
      </c>
      <c r="BB28">
        <f>VLOOKUP($O28,'Table 3 EV2020 Wind_2020'!$B$10:$K$36,10,FALSE)</f>
        <v>143.6</v>
      </c>
      <c r="BC28">
        <f>VLOOKUP($O28,'Table 3 EV2020 Wind_2021'!$B$10:$K$36,10,FALSE)</f>
        <v>140.91</v>
      </c>
      <c r="BD28">
        <f>VLOOKUP($O28,'Table 3 DJ Wind 2030'!$B$10:$J$36,9,FALSE)</f>
        <v>159.69999999999999</v>
      </c>
      <c r="BE28">
        <f>VLOOKUP($O28,'Table 3 ID Wind 2033'!$B$10:$J$36,9,FALSE)</f>
        <v>154.78</v>
      </c>
      <c r="BF28">
        <f>VLOOKUP($O28,'Table 3 WW Wind 2035'!$B$10:$J$36,9,FALSE)</f>
        <v>53.87</v>
      </c>
      <c r="BG28">
        <f>VLOOKUP($O28,'Table 3 YK Wind 2035'!$B$10:$J$36,9,FALSE)</f>
        <v>53.87</v>
      </c>
      <c r="BH28">
        <f>VLOOKUP($O28,'Table 3 OR Wind 2035'!$B$10:$J$36,9,FALSE)</f>
        <v>53.87</v>
      </c>
      <c r="BI28">
        <f>VLOOKUP($O28,'Table 3 UT Wind 2036'!$B$10:$J$36,9,FALSE)</f>
        <v>53.87</v>
      </c>
      <c r="BJ28">
        <f>VLOOKUP($O28,'Table 3 YK Solar 2030'!$B$10:$J$36,9,FALSE)</f>
        <v>124.88</v>
      </c>
      <c r="BK28">
        <f>VLOOKUP($O28,'Table 3 YK Solar 2032'!$B$10:$J$36,9,FALSE)</f>
        <v>119.79</v>
      </c>
      <c r="BL28">
        <f>VLOOKUP($O28,'Table 3 YK Solar 2033'!$B$10:$J$36,9,FALSE)</f>
        <v>117.38</v>
      </c>
      <c r="BM28">
        <f>VLOOKUP($O28,'Table 3 UT Solar 2033 ST'!$B$10:$J$36,9,FALSE)</f>
        <v>118.27</v>
      </c>
      <c r="BN28">
        <f>VLOOKUP($O28,'Table 3 UT Solar 2035 ST'!$B$10:$J$36,9,FALSE)</f>
        <v>28.27</v>
      </c>
      <c r="BO28">
        <f>VLOOKUP($O28,'Table 3 UT Solar 2035 FT'!$B$10:$J$36,9,FALSE)</f>
        <v>26.85</v>
      </c>
      <c r="BP28">
        <f>VLOOKUP($O28,'Table 3 OR Solar 2030'!$B$10:$J$36,9,FALSE)</f>
        <v>128.18</v>
      </c>
      <c r="BQ28">
        <f>VLOOKUP($O28,'Table 3 OR Solar 2031'!$B$10:$J$36,9,FALSE)</f>
        <v>125.53</v>
      </c>
      <c r="BR28">
        <f>VLOOKUP($O28,'Table 3 OR Solar 2032'!$B$10:$J$36,9,FALSE)</f>
        <v>123</v>
      </c>
      <c r="BS28">
        <f>VLOOKUP($O28,'Table 3 OR Solar 2033'!$B$10:$J$36,9,FALSE)</f>
        <v>120.54</v>
      </c>
      <c r="BU28">
        <f>SUM(AI$13:AI28)*BB28/1000</f>
        <v>0</v>
      </c>
      <c r="BV28">
        <f>SUM(AJ$13:AJ28)*BC28/1000</f>
        <v>0</v>
      </c>
      <c r="BW28">
        <f>SUM(AK$13:AK28)*BD28/1000</f>
        <v>0</v>
      </c>
      <c r="BX28">
        <f>SUM(AL$13:AL28)*BE28/1000</f>
        <v>0</v>
      </c>
      <c r="BY28">
        <f>SUM(AM$13:AM28)*BF28/1000</f>
        <v>0</v>
      </c>
      <c r="BZ28">
        <f>SUM(AN$13:AN28)*BG28/1000</f>
        <v>0</v>
      </c>
      <c r="CA28">
        <f>SUM(AO$13:AO28)*BH28/1000</f>
        <v>0</v>
      </c>
      <c r="CB28">
        <f>SUM(AP$13:AP28)*BI28/1000</f>
        <v>0</v>
      </c>
      <c r="CC28">
        <f>SUM(AQ$13:AQ28)*BJ28/1000</f>
        <v>0</v>
      </c>
      <c r="CD28">
        <f>SUM(AR$13:AR28)*BK28/1000</f>
        <v>0</v>
      </c>
      <c r="CE28">
        <f>SUM(AS$13:AS28)*BL28/1000</f>
        <v>0</v>
      </c>
      <c r="CF28">
        <f>SUM(AT$13:AT28)*BM28/1000</f>
        <v>0</v>
      </c>
      <c r="CG28">
        <f>SUM(AU$13:AU28)*BN28/1000</f>
        <v>0</v>
      </c>
      <c r="CH28">
        <f>SUM(AV$13:AV28)*BO28/1000</f>
        <v>0</v>
      </c>
      <c r="CI28">
        <f>SUM(AW$13:AW28)*BP28/1000</f>
        <v>0</v>
      </c>
      <c r="CJ28">
        <f>SUM(AX$13:AX28)*BQ28/1000</f>
        <v>0</v>
      </c>
      <c r="CK28">
        <f>SUM(AY$13:AY28)*BR28/1000</f>
        <v>0</v>
      </c>
      <c r="CL28">
        <f>SUM(AZ$13:AZ28)*BS28/1000</f>
        <v>0</v>
      </c>
      <c r="CM28">
        <f t="shared" si="22"/>
        <v>0</v>
      </c>
      <c r="CO28">
        <f t="shared" si="17"/>
        <v>2033</v>
      </c>
      <c r="CP28" s="90">
        <f>IFERROR(VLOOKUP($CO28,'Table 3 TransCost D2 '!$B$10:$E$34,4,FALSE),0)</f>
        <v>63.390000000000008</v>
      </c>
      <c r="CQ28" s="194">
        <f t="shared" si="20"/>
        <v>0</v>
      </c>
    </row>
    <row r="29" spans="2:95">
      <c r="B29" s="15">
        <f t="shared" si="18"/>
        <v>2034</v>
      </c>
      <c r="C29" s="9">
        <f t="shared" si="4"/>
        <v>0</v>
      </c>
      <c r="D29" s="45"/>
      <c r="E29" s="9">
        <f t="shared" ca="1" si="19"/>
        <v>42.237167087753022</v>
      </c>
      <c r="F29" s="37"/>
      <c r="G29" s="14">
        <f t="shared" ca="1" si="21"/>
        <v>42.237167087753022</v>
      </c>
      <c r="H29" s="36"/>
      <c r="I29" s="194"/>
      <c r="J29" s="194"/>
      <c r="M29" s="117"/>
      <c r="O29">
        <f t="shared" si="5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I29">
        <f t="shared" si="6"/>
        <v>0</v>
      </c>
      <c r="AJ29">
        <f t="shared" si="7"/>
        <v>0</v>
      </c>
      <c r="AK29">
        <f t="shared" si="8"/>
        <v>0</v>
      </c>
      <c r="AL29">
        <f t="shared" si="9"/>
        <v>0</v>
      </c>
      <c r="AM29">
        <f t="shared" si="10"/>
        <v>0</v>
      </c>
      <c r="AN29">
        <f t="shared" si="11"/>
        <v>0</v>
      </c>
      <c r="AO29">
        <f t="shared" si="12"/>
        <v>0</v>
      </c>
      <c r="AP29">
        <f t="shared" si="13"/>
        <v>0</v>
      </c>
      <c r="AQ29">
        <f t="shared" si="14"/>
        <v>0</v>
      </c>
      <c r="AR29">
        <f t="shared" ref="AR29:AZ33" si="23">Y29/Y$5</f>
        <v>0</v>
      </c>
      <c r="AS29">
        <f t="shared" si="23"/>
        <v>0</v>
      </c>
      <c r="AT29">
        <f t="shared" si="23"/>
        <v>0</v>
      </c>
      <c r="AU29">
        <f t="shared" si="23"/>
        <v>0</v>
      </c>
      <c r="AV29">
        <f t="shared" si="23"/>
        <v>0</v>
      </c>
      <c r="AW29">
        <f t="shared" si="23"/>
        <v>0</v>
      </c>
      <c r="AX29">
        <f t="shared" si="23"/>
        <v>0</v>
      </c>
      <c r="AY29">
        <f t="shared" si="23"/>
        <v>0</v>
      </c>
      <c r="AZ29">
        <f t="shared" si="23"/>
        <v>0</v>
      </c>
      <c r="BB29">
        <f>VLOOKUP($O29,'Table 3 EV2020 Wind_2020'!$B$10:$K$36,10,FALSE)</f>
        <v>146.54</v>
      </c>
      <c r="BC29">
        <f>VLOOKUP($O29,'Table 3 EV2020 Wind_2021'!$B$10:$K$36,10,FALSE)</f>
        <v>143.79</v>
      </c>
      <c r="BD29">
        <f>VLOOKUP($O29,'Table 3 DJ Wind 2030'!$B$10:$J$36,9,FALSE)</f>
        <v>163</v>
      </c>
      <c r="BE29">
        <f>VLOOKUP($O29,'Table 3 ID Wind 2033'!$B$10:$J$36,9,FALSE)</f>
        <v>157.97</v>
      </c>
      <c r="BF29">
        <f>VLOOKUP($O29,'Table 3 WW Wind 2035'!$B$10:$J$36,9,FALSE)</f>
        <v>54.98</v>
      </c>
      <c r="BG29">
        <f>VLOOKUP($O29,'Table 3 YK Wind 2035'!$B$10:$J$36,9,FALSE)</f>
        <v>54.98</v>
      </c>
      <c r="BH29">
        <f>VLOOKUP($O29,'Table 3 OR Wind 2035'!$B$10:$J$36,9,FALSE)</f>
        <v>54.98</v>
      </c>
      <c r="BI29">
        <f>VLOOKUP($O29,'Table 3 UT Wind 2036'!$B$10:$J$36,9,FALSE)</f>
        <v>54.98</v>
      </c>
      <c r="BJ29">
        <f>VLOOKUP($O29,'Table 3 YK Solar 2030'!$B$10:$J$36,9,FALSE)</f>
        <v>127.46</v>
      </c>
      <c r="BK29">
        <f>VLOOKUP($O29,'Table 3 YK Solar 2032'!$B$10:$J$36,9,FALSE)</f>
        <v>122.27</v>
      </c>
      <c r="BL29">
        <f>VLOOKUP($O29,'Table 3 YK Solar 2033'!$B$10:$J$36,9,FALSE)</f>
        <v>119.81</v>
      </c>
      <c r="BM29">
        <f>VLOOKUP($O29,'Table 3 UT Solar 2033 ST'!$B$10:$J$36,9,FALSE)</f>
        <v>120.71</v>
      </c>
      <c r="BN29">
        <f>VLOOKUP($O29,'Table 3 UT Solar 2035 ST'!$B$10:$J$36,9,FALSE)</f>
        <v>28.85</v>
      </c>
      <c r="BO29">
        <f>VLOOKUP($O29,'Table 3 UT Solar 2035 FT'!$B$10:$J$36,9,FALSE)</f>
        <v>27.4</v>
      </c>
      <c r="BP29">
        <f>VLOOKUP($O29,'Table 3 OR Solar 2030'!$B$10:$J$36,9,FALSE)</f>
        <v>130.82</v>
      </c>
      <c r="BQ29">
        <f>VLOOKUP($O29,'Table 3 OR Solar 2031'!$B$10:$J$36,9,FALSE)</f>
        <v>128.12</v>
      </c>
      <c r="BR29">
        <f>VLOOKUP($O29,'Table 3 OR Solar 2032'!$B$10:$J$36,9,FALSE)</f>
        <v>125.54</v>
      </c>
      <c r="BS29">
        <f>VLOOKUP($O29,'Table 3 OR Solar 2033'!$B$10:$J$36,9,FALSE)</f>
        <v>123.03</v>
      </c>
      <c r="BU29">
        <f>SUM(AI$13:AI29)*BB29/1000</f>
        <v>0</v>
      </c>
      <c r="BV29">
        <f>SUM(AJ$13:AJ29)*BC29/1000</f>
        <v>0</v>
      </c>
      <c r="BW29">
        <f>SUM(AK$13:AK29)*BD29/1000</f>
        <v>0</v>
      </c>
      <c r="BX29">
        <f>SUM(AL$13:AL29)*BE29/1000</f>
        <v>0</v>
      </c>
      <c r="BY29">
        <f>SUM(AM$13:AM29)*BF29/1000</f>
        <v>0</v>
      </c>
      <c r="BZ29">
        <f>SUM(AN$13:AN29)*BG29/1000</f>
        <v>0</v>
      </c>
      <c r="CA29">
        <f>SUM(AO$13:AO29)*BH29/1000</f>
        <v>0</v>
      </c>
      <c r="CB29">
        <f>SUM(AP$13:AP29)*BI29/1000</f>
        <v>0</v>
      </c>
      <c r="CC29">
        <f>SUM(AQ$13:AQ29)*BJ29/1000</f>
        <v>0</v>
      </c>
      <c r="CD29">
        <f>SUM(AR$13:AR29)*BK29/1000</f>
        <v>0</v>
      </c>
      <c r="CE29">
        <f>SUM(AS$13:AS29)*BL29/1000</f>
        <v>0</v>
      </c>
      <c r="CF29">
        <f>SUM(AT$13:AT29)*BM29/1000</f>
        <v>0</v>
      </c>
      <c r="CG29">
        <f>SUM(AU$13:AU29)*BN29/1000</f>
        <v>0</v>
      </c>
      <c r="CH29">
        <f>SUM(AV$13:AV29)*BO29/1000</f>
        <v>0</v>
      </c>
      <c r="CI29">
        <f>SUM(AW$13:AW29)*BP29/1000</f>
        <v>0</v>
      </c>
      <c r="CJ29">
        <f>SUM(AX$13:AX29)*BQ29/1000</f>
        <v>0</v>
      </c>
      <c r="CK29">
        <f>SUM(AY$13:AY29)*BR29/1000</f>
        <v>0</v>
      </c>
      <c r="CL29">
        <f>SUM(AZ$13:AZ29)*BS29/1000</f>
        <v>0</v>
      </c>
      <c r="CM29">
        <f t="shared" si="22"/>
        <v>0</v>
      </c>
      <c r="CO29">
        <f t="shared" si="17"/>
        <v>2034</v>
      </c>
      <c r="CP29" s="90">
        <f>IFERROR(VLOOKUP($CO29,'Table 3 TransCost D2 '!$B$10:$E$34,4,FALSE),0)</f>
        <v>64.7</v>
      </c>
      <c r="CQ29" s="194">
        <f t="shared" si="20"/>
        <v>0</v>
      </c>
    </row>
    <row r="30" spans="2:95">
      <c r="B30" s="15">
        <f t="shared" si="18"/>
        <v>2035</v>
      </c>
      <c r="C30" s="9">
        <f t="shared" si="4"/>
        <v>0</v>
      </c>
      <c r="D30" s="45"/>
      <c r="E30" s="9">
        <f t="shared" ca="1" si="19"/>
        <v>45.024482427619994</v>
      </c>
      <c r="F30" s="37"/>
      <c r="G30" s="14">
        <f t="shared" ca="1" si="21"/>
        <v>45.024482427619994</v>
      </c>
      <c r="H30" s="36"/>
      <c r="I30" s="194"/>
      <c r="J30" s="194"/>
      <c r="M30" s="117"/>
      <c r="O30">
        <f t="shared" si="5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I30">
        <f t="shared" si="6"/>
        <v>0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N30">
        <f t="shared" si="11"/>
        <v>0</v>
      </c>
      <c r="AO30">
        <f t="shared" si="12"/>
        <v>0</v>
      </c>
      <c r="AP30">
        <f t="shared" si="13"/>
        <v>0</v>
      </c>
      <c r="AQ30">
        <f t="shared" si="14"/>
        <v>0</v>
      </c>
      <c r="AR30">
        <f t="shared" si="23"/>
        <v>0</v>
      </c>
      <c r="AS30">
        <f t="shared" si="23"/>
        <v>0</v>
      </c>
      <c r="AT30">
        <f t="shared" si="23"/>
        <v>0</v>
      </c>
      <c r="AU30">
        <f t="shared" si="23"/>
        <v>0</v>
      </c>
      <c r="AV30">
        <f t="shared" si="23"/>
        <v>0</v>
      </c>
      <c r="AW30">
        <f t="shared" si="23"/>
        <v>0</v>
      </c>
      <c r="AX30">
        <f t="shared" si="23"/>
        <v>0</v>
      </c>
      <c r="AY30">
        <f t="shared" si="23"/>
        <v>0</v>
      </c>
      <c r="AZ30">
        <f t="shared" si="23"/>
        <v>0</v>
      </c>
      <c r="BB30">
        <f>VLOOKUP($O30,'Table 3 EV2020 Wind_2020'!$B$10:$K$36,10,FALSE)</f>
        <v>149.52000000000001</v>
      </c>
      <c r="BC30">
        <f>VLOOKUP($O30,'Table 3 EV2020 Wind_2021'!$B$10:$K$36,10,FALSE)</f>
        <v>146.71</v>
      </c>
      <c r="BD30">
        <f>VLOOKUP($O30,'Table 3 DJ Wind 2030'!$B$10:$J$36,9,FALSE)</f>
        <v>166.35</v>
      </c>
      <c r="BE30">
        <f>VLOOKUP($O30,'Table 3 ID Wind 2033'!$B$10:$J$36,9,FALSE)</f>
        <v>161.22</v>
      </c>
      <c r="BF30">
        <f>VLOOKUP($O30,'Table 3 WW Wind 2035'!$B$10:$J$36,9,FALSE)</f>
        <v>156.83000000000001</v>
      </c>
      <c r="BG30">
        <f>VLOOKUP($O30,'Table 3 YK Wind 2035'!$B$10:$J$36,9,FALSE)</f>
        <v>156.83000000000001</v>
      </c>
      <c r="BH30">
        <f>VLOOKUP($O30,'Table 3 OR Wind 2035'!$B$10:$J$36,9,FALSE)</f>
        <v>155.38999999999999</v>
      </c>
      <c r="BI30">
        <f>VLOOKUP($O30,'Table 3 UT Wind 2036'!$B$10:$J$36,9,FALSE)</f>
        <v>56.11</v>
      </c>
      <c r="BJ30">
        <f>VLOOKUP($O30,'Table 3 YK Solar 2030'!$B$10:$J$36,9,FALSE)</f>
        <v>130.07</v>
      </c>
      <c r="BK30">
        <f>VLOOKUP($O30,'Table 3 YK Solar 2032'!$B$10:$J$36,9,FALSE)</f>
        <v>124.78</v>
      </c>
      <c r="BL30">
        <f>VLOOKUP($O30,'Table 3 YK Solar 2033'!$B$10:$J$36,9,FALSE)</f>
        <v>122.27</v>
      </c>
      <c r="BM30">
        <f>VLOOKUP($O30,'Table 3 UT Solar 2033 ST'!$B$10:$J$36,9,FALSE)</f>
        <v>123.19</v>
      </c>
      <c r="BN30">
        <f>VLOOKUP($O30,'Table 3 UT Solar 2035 ST'!$B$10:$J$36,9,FALSE)</f>
        <v>118.42</v>
      </c>
      <c r="BO30">
        <f>VLOOKUP($O30,'Table 3 UT Solar 2035 FT'!$B$10:$J$36,9,FALSE)</f>
        <v>115.12</v>
      </c>
      <c r="BP30">
        <f>VLOOKUP($O30,'Table 3 OR Solar 2030'!$B$10:$J$36,9,FALSE)</f>
        <v>133.5</v>
      </c>
      <c r="BQ30">
        <f>VLOOKUP($O30,'Table 3 OR Solar 2031'!$B$10:$J$36,9,FALSE)</f>
        <v>130.75</v>
      </c>
      <c r="BR30">
        <f>VLOOKUP($O30,'Table 3 OR Solar 2032'!$B$10:$J$36,9,FALSE)</f>
        <v>128.12</v>
      </c>
      <c r="BS30">
        <f>VLOOKUP($O30,'Table 3 OR Solar 2033'!$B$10:$J$36,9,FALSE)</f>
        <v>125.55</v>
      </c>
      <c r="BU30">
        <f>SUM(AI$13:AI30)*BB30/1000</f>
        <v>0</v>
      </c>
      <c r="BV30">
        <f>SUM(AJ$13:AJ30)*BC30/1000</f>
        <v>0</v>
      </c>
      <c r="BW30">
        <f>SUM(AK$13:AK30)*BD30/1000</f>
        <v>0</v>
      </c>
      <c r="BX30">
        <f>SUM(AL$13:AL30)*BE30/1000</f>
        <v>0</v>
      </c>
      <c r="BY30">
        <f>SUM(AM$13:AM30)*BF30/1000</f>
        <v>0</v>
      </c>
      <c r="BZ30">
        <f>SUM(AN$13:AN30)*BG30/1000</f>
        <v>0</v>
      </c>
      <c r="CA30">
        <f>SUM(AO$13:AO30)*BH30/1000</f>
        <v>0</v>
      </c>
      <c r="CB30">
        <f>SUM(AP$13:AP30)*BI30/1000</f>
        <v>0</v>
      </c>
      <c r="CC30">
        <f>SUM(AQ$13:AQ30)*BJ30/1000</f>
        <v>0</v>
      </c>
      <c r="CD30">
        <f>SUM(AR$13:AR30)*BK30/1000</f>
        <v>0</v>
      </c>
      <c r="CE30">
        <f>SUM(AS$13:AS30)*BL30/1000</f>
        <v>0</v>
      </c>
      <c r="CF30">
        <f>SUM(AT$13:AT30)*BM30/1000</f>
        <v>0</v>
      </c>
      <c r="CG30">
        <f>SUM(AU$13:AU30)*BN30/1000</f>
        <v>0</v>
      </c>
      <c r="CH30">
        <f>SUM(AV$13:AV30)*BO30/1000</f>
        <v>0</v>
      </c>
      <c r="CI30">
        <f>SUM(AW$13:AW30)*BP30/1000</f>
        <v>0</v>
      </c>
      <c r="CJ30">
        <f>SUM(AX$13:AX30)*BQ30/1000</f>
        <v>0</v>
      </c>
      <c r="CK30">
        <f>SUM(AY$13:AY30)*BR30/1000</f>
        <v>0</v>
      </c>
      <c r="CL30">
        <f>SUM(AZ$13:AZ30)*BS30/1000</f>
        <v>0</v>
      </c>
      <c r="CM30">
        <f t="shared" si="22"/>
        <v>0</v>
      </c>
      <c r="CO30">
        <f t="shared" si="17"/>
        <v>2035</v>
      </c>
      <c r="CP30" s="90">
        <f>IFERROR(VLOOKUP($CO30,'Table 3 TransCost D2 '!$B$10:$E$34,4,FALSE),0)</f>
        <v>66.03</v>
      </c>
      <c r="CQ30" s="194">
        <f t="shared" si="20"/>
        <v>0</v>
      </c>
    </row>
    <row r="31" spans="2:95">
      <c r="B31" s="15">
        <f t="shared" si="18"/>
        <v>2036</v>
      </c>
      <c r="C31" s="9">
        <f t="shared" si="4"/>
        <v>0</v>
      </c>
      <c r="D31" s="45"/>
      <c r="E31" s="9">
        <f t="shared" ca="1" si="19"/>
        <v>51.00559725211567</v>
      </c>
      <c r="F31" s="37"/>
      <c r="G31" s="14">
        <f t="shared" ca="1" si="21"/>
        <v>51.00559725211567</v>
      </c>
      <c r="H31" s="36"/>
      <c r="I31" s="194"/>
      <c r="J31" s="194"/>
      <c r="M31" s="117"/>
      <c r="O31">
        <f t="shared" si="5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I31">
        <f t="shared" si="6"/>
        <v>0</v>
      </c>
      <c r="AJ31">
        <f t="shared" si="7"/>
        <v>0</v>
      </c>
      <c r="AK31">
        <f t="shared" si="8"/>
        <v>0</v>
      </c>
      <c r="AL31">
        <f t="shared" si="9"/>
        <v>0</v>
      </c>
      <c r="AM31">
        <f t="shared" si="10"/>
        <v>0</v>
      </c>
      <c r="AN31">
        <f t="shared" si="11"/>
        <v>0</v>
      </c>
      <c r="AO31">
        <f t="shared" si="12"/>
        <v>0</v>
      </c>
      <c r="AP31">
        <f t="shared" si="13"/>
        <v>0</v>
      </c>
      <c r="AQ31">
        <f t="shared" si="14"/>
        <v>0</v>
      </c>
      <c r="AR31">
        <f t="shared" si="23"/>
        <v>0</v>
      </c>
      <c r="AS31">
        <f t="shared" si="23"/>
        <v>0</v>
      </c>
      <c r="AT31">
        <f t="shared" si="23"/>
        <v>0</v>
      </c>
      <c r="AU31">
        <f t="shared" si="23"/>
        <v>0</v>
      </c>
      <c r="AV31">
        <f t="shared" si="23"/>
        <v>0</v>
      </c>
      <c r="AW31">
        <f t="shared" si="23"/>
        <v>0</v>
      </c>
      <c r="AX31">
        <f t="shared" si="23"/>
        <v>0</v>
      </c>
      <c r="AY31">
        <f t="shared" si="23"/>
        <v>0</v>
      </c>
      <c r="AZ31">
        <f t="shared" si="23"/>
        <v>0</v>
      </c>
      <c r="BB31">
        <f>VLOOKUP($O31,'Table 3 EV2020 Wind_2020'!$B$10:$K$36,10,FALSE)</f>
        <v>152.53</v>
      </c>
      <c r="BC31">
        <f>VLOOKUP($O31,'Table 3 EV2020 Wind_2021'!$B$10:$K$36,10,FALSE)</f>
        <v>149.66</v>
      </c>
      <c r="BD31">
        <f>VLOOKUP($O31,'Table 3 DJ Wind 2030'!$B$10:$J$36,9,FALSE)</f>
        <v>169.73</v>
      </c>
      <c r="BE31">
        <f>VLOOKUP($O31,'Table 3 ID Wind 2033'!$B$10:$J$36,9,FALSE)</f>
        <v>164.5</v>
      </c>
      <c r="BF31">
        <f>VLOOKUP($O31,'Table 3 WW Wind 2035'!$B$10:$J$36,9,FALSE)</f>
        <v>160.02000000000001</v>
      </c>
      <c r="BG31">
        <f>VLOOKUP($O31,'Table 3 YK Wind 2035'!$B$10:$J$36,9,FALSE)</f>
        <v>160.02000000000001</v>
      </c>
      <c r="BH31">
        <f>VLOOKUP($O31,'Table 3 OR Wind 2035'!$B$10:$J$36,9,FALSE)</f>
        <v>158.55000000000001</v>
      </c>
      <c r="BI31">
        <f>VLOOKUP($O31,'Table 3 UT Wind 2036'!$B$10:$J$36,9,FALSE)</f>
        <v>154.58000000000001</v>
      </c>
      <c r="BJ31">
        <f>VLOOKUP($O31,'Table 3 YK Solar 2030'!$B$10:$J$36,9,FALSE)</f>
        <v>132.72</v>
      </c>
      <c r="BK31">
        <f>VLOOKUP($O31,'Table 3 YK Solar 2032'!$B$10:$J$36,9,FALSE)</f>
        <v>127.32</v>
      </c>
      <c r="BL31">
        <f>VLOOKUP($O31,'Table 3 YK Solar 2033'!$B$10:$J$36,9,FALSE)</f>
        <v>124.76</v>
      </c>
      <c r="BM31">
        <f>VLOOKUP($O31,'Table 3 UT Solar 2033 ST'!$B$10:$J$36,9,FALSE)</f>
        <v>125.7</v>
      </c>
      <c r="BN31">
        <f>VLOOKUP($O31,'Table 3 UT Solar 2035 ST'!$B$10:$J$36,9,FALSE)</f>
        <v>120.83</v>
      </c>
      <c r="BO31">
        <f>VLOOKUP($O31,'Table 3 UT Solar 2035 FT'!$B$10:$J$36,9,FALSE)</f>
        <v>117.46</v>
      </c>
      <c r="BP31">
        <f>VLOOKUP($O31,'Table 3 OR Solar 2030'!$B$10:$J$36,9,FALSE)</f>
        <v>136.22</v>
      </c>
      <c r="BQ31">
        <f>VLOOKUP($O31,'Table 3 OR Solar 2031'!$B$10:$J$36,9,FALSE)</f>
        <v>133.41</v>
      </c>
      <c r="BR31">
        <f>VLOOKUP($O31,'Table 3 OR Solar 2032'!$B$10:$J$36,9,FALSE)</f>
        <v>130.72999999999999</v>
      </c>
      <c r="BS31">
        <f>VLOOKUP($O31,'Table 3 OR Solar 2033'!$B$10:$J$36,9,FALSE)</f>
        <v>128.1</v>
      </c>
      <c r="BU31">
        <f>SUM(AI$13:AI31)*BB31/1000</f>
        <v>0</v>
      </c>
      <c r="BV31">
        <f>SUM(AJ$13:AJ31)*BC31/1000</f>
        <v>0</v>
      </c>
      <c r="BW31">
        <f>SUM(AK$13:AK31)*BD31/1000</f>
        <v>0</v>
      </c>
      <c r="BX31">
        <f>SUM(AL$13:AL31)*BE31/1000</f>
        <v>0</v>
      </c>
      <c r="BY31">
        <f>SUM(AM$13:AM31)*BF31/1000</f>
        <v>0</v>
      </c>
      <c r="BZ31">
        <f>SUM(AN$13:AN31)*BG31/1000</f>
        <v>0</v>
      </c>
      <c r="CA31">
        <f>SUM(AO$13:AO31)*BH31/1000</f>
        <v>0</v>
      </c>
      <c r="CB31">
        <f>SUM(AP$13:AP31)*BI31/1000</f>
        <v>0</v>
      </c>
      <c r="CC31">
        <f>SUM(AQ$13:AQ31)*BJ31/1000</f>
        <v>0</v>
      </c>
      <c r="CD31">
        <f>SUM(AR$13:AR31)*BK31/1000</f>
        <v>0</v>
      </c>
      <c r="CE31">
        <f>SUM(AS$13:AS31)*BL31/1000</f>
        <v>0</v>
      </c>
      <c r="CF31">
        <f>SUM(AT$13:AT31)*BM31/1000</f>
        <v>0</v>
      </c>
      <c r="CG31">
        <f>SUM(AU$13:AU31)*BN31/1000</f>
        <v>0</v>
      </c>
      <c r="CH31">
        <f>SUM(AV$13:AV31)*BO31/1000</f>
        <v>0</v>
      </c>
      <c r="CI31">
        <f>SUM(AW$13:AW31)*BP31/1000</f>
        <v>0</v>
      </c>
      <c r="CJ31">
        <f>SUM(AX$13:AX31)*BQ31/1000</f>
        <v>0</v>
      </c>
      <c r="CK31">
        <f>SUM(AY$13:AY31)*BR31/1000</f>
        <v>0</v>
      </c>
      <c r="CL31">
        <f>SUM(AZ$13:AZ31)*BS31/1000</f>
        <v>0</v>
      </c>
      <c r="CM31">
        <f t="shared" si="22"/>
        <v>0</v>
      </c>
      <c r="CO31">
        <f t="shared" si="17"/>
        <v>2036</v>
      </c>
      <c r="CP31" s="90">
        <f>IFERROR(VLOOKUP($CO31,'Table 3 TransCost D2 '!$B$10:$E$34,4,FALSE),0)</f>
        <v>67.37</v>
      </c>
      <c r="CQ31" s="194">
        <f t="shared" si="20"/>
        <v>0</v>
      </c>
    </row>
    <row r="32" spans="2:95">
      <c r="B32" s="15">
        <f t="shared" si="18"/>
        <v>2037</v>
      </c>
      <c r="C32" s="9">
        <f t="shared" si="4"/>
        <v>0</v>
      </c>
      <c r="D32" s="45"/>
      <c r="E32" s="9">
        <f t="shared" ca="1" si="19"/>
        <v>52.045405880227882</v>
      </c>
      <c r="F32" s="37"/>
      <c r="G32" s="14">
        <f t="shared" ca="1" si="21"/>
        <v>52.045405880227882</v>
      </c>
      <c r="H32" s="36"/>
      <c r="I32" s="194"/>
      <c r="J32" s="194"/>
      <c r="M32" s="117"/>
      <c r="O32">
        <f t="shared" si="5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I32">
        <f t="shared" si="6"/>
        <v>0</v>
      </c>
      <c r="AJ32">
        <f t="shared" si="7"/>
        <v>0</v>
      </c>
      <c r="AK32">
        <f t="shared" si="8"/>
        <v>0</v>
      </c>
      <c r="AL32">
        <f t="shared" si="9"/>
        <v>0</v>
      </c>
      <c r="AM32">
        <f t="shared" si="10"/>
        <v>0</v>
      </c>
      <c r="AN32">
        <f t="shared" si="11"/>
        <v>0</v>
      </c>
      <c r="AO32">
        <f t="shared" si="12"/>
        <v>0</v>
      </c>
      <c r="AP32">
        <f t="shared" si="13"/>
        <v>0</v>
      </c>
      <c r="AQ32">
        <f t="shared" si="14"/>
        <v>0</v>
      </c>
      <c r="AR32">
        <f t="shared" si="23"/>
        <v>0</v>
      </c>
      <c r="AS32">
        <f t="shared" si="23"/>
        <v>0</v>
      </c>
      <c r="AT32">
        <f t="shared" si="23"/>
        <v>0</v>
      </c>
      <c r="AU32">
        <f t="shared" si="23"/>
        <v>0</v>
      </c>
      <c r="AV32">
        <f t="shared" si="23"/>
        <v>0</v>
      </c>
      <c r="AW32">
        <f t="shared" si="23"/>
        <v>0</v>
      </c>
      <c r="AX32">
        <f t="shared" si="23"/>
        <v>0</v>
      </c>
      <c r="AY32">
        <f t="shared" si="23"/>
        <v>0</v>
      </c>
      <c r="AZ32">
        <f t="shared" si="23"/>
        <v>0</v>
      </c>
      <c r="BB32">
        <f>VLOOKUP($O32,'Table 3 EV2020 Wind_2020'!$B$10:$K$36,10,FALSE)</f>
        <v>155.61000000000001</v>
      </c>
      <c r="BC32">
        <f>VLOOKUP($O32,'Table 3 EV2020 Wind_2021'!$B$10:$K$36,10,FALSE)</f>
        <v>152.68</v>
      </c>
      <c r="BD32">
        <f>VLOOKUP($O32,'Table 3 DJ Wind 2030'!$B$10:$J$36,9,FALSE)</f>
        <v>173.14</v>
      </c>
      <c r="BE32">
        <f>VLOOKUP($O32,'Table 3 ID Wind 2033'!$B$10:$J$36,9,FALSE)</f>
        <v>167.81</v>
      </c>
      <c r="BF32">
        <f>VLOOKUP($O32,'Table 3 WW Wind 2035'!$B$10:$J$36,9,FALSE)</f>
        <v>163.24</v>
      </c>
      <c r="BG32">
        <f>VLOOKUP($O32,'Table 3 YK Wind 2035'!$B$10:$J$36,9,FALSE)</f>
        <v>163.24</v>
      </c>
      <c r="BH32">
        <f>VLOOKUP($O32,'Table 3 OR Wind 2035'!$B$10:$J$36,9,FALSE)</f>
        <v>161.74</v>
      </c>
      <c r="BI32">
        <f>VLOOKUP($O32,'Table 3 UT Wind 2036'!$B$10:$J$36,9,FALSE)</f>
        <v>157.69999999999999</v>
      </c>
      <c r="BJ32">
        <f>VLOOKUP($O32,'Table 3 YK Solar 2030'!$B$10:$J$36,9,FALSE)</f>
        <v>135.4</v>
      </c>
      <c r="BK32">
        <f>VLOOKUP($O32,'Table 3 YK Solar 2032'!$B$10:$J$36,9,FALSE)</f>
        <v>129.88999999999999</v>
      </c>
      <c r="BL32">
        <f>VLOOKUP($O32,'Table 3 YK Solar 2033'!$B$10:$J$36,9,FALSE)</f>
        <v>127.28</v>
      </c>
      <c r="BM32">
        <f>VLOOKUP($O32,'Table 3 UT Solar 2033 ST'!$B$10:$J$36,9,FALSE)</f>
        <v>128.24</v>
      </c>
      <c r="BN32">
        <f>VLOOKUP($O32,'Table 3 UT Solar 2035 ST'!$B$10:$J$36,9,FALSE)</f>
        <v>123.27</v>
      </c>
      <c r="BO32">
        <f>VLOOKUP($O32,'Table 3 UT Solar 2035 FT'!$B$10:$J$36,9,FALSE)</f>
        <v>119.82</v>
      </c>
      <c r="BP32">
        <f>VLOOKUP($O32,'Table 3 OR Solar 2030'!$B$10:$J$36,9,FALSE)</f>
        <v>138.97</v>
      </c>
      <c r="BQ32">
        <f>VLOOKUP($O32,'Table 3 OR Solar 2031'!$B$10:$J$36,9,FALSE)</f>
        <v>136.1</v>
      </c>
      <c r="BR32">
        <f>VLOOKUP($O32,'Table 3 OR Solar 2032'!$B$10:$J$36,9,FALSE)</f>
        <v>133.37</v>
      </c>
      <c r="BS32">
        <f>VLOOKUP($O32,'Table 3 OR Solar 2033'!$B$10:$J$36,9,FALSE)</f>
        <v>130.68</v>
      </c>
      <c r="BU32">
        <f>SUM(AI$13:AI32)*BB32/1000</f>
        <v>0</v>
      </c>
      <c r="BV32">
        <f>SUM(AJ$13:AJ32)*BC32/1000</f>
        <v>0</v>
      </c>
      <c r="BW32">
        <f>SUM(AK$13:AK32)*BD32/1000</f>
        <v>0</v>
      </c>
      <c r="BX32">
        <f>SUM(AL$13:AL32)*BE32/1000</f>
        <v>0</v>
      </c>
      <c r="BY32">
        <f>SUM(AM$13:AM32)*BF32/1000</f>
        <v>0</v>
      </c>
      <c r="BZ32">
        <f>SUM(AN$13:AN32)*BG32/1000</f>
        <v>0</v>
      </c>
      <c r="CA32">
        <f>SUM(AO$13:AO32)*BH32/1000</f>
        <v>0</v>
      </c>
      <c r="CB32">
        <f>SUM(AP$13:AP32)*BI32/1000</f>
        <v>0</v>
      </c>
      <c r="CC32">
        <f>SUM(AQ$13:AQ32)*BJ32/1000</f>
        <v>0</v>
      </c>
      <c r="CD32">
        <f>SUM(AR$13:AR32)*BK32/1000</f>
        <v>0</v>
      </c>
      <c r="CE32">
        <f>SUM(AS$13:AS32)*BL32/1000</f>
        <v>0</v>
      </c>
      <c r="CF32">
        <f>SUM(AT$13:AT32)*BM32/1000</f>
        <v>0</v>
      </c>
      <c r="CG32">
        <f>SUM(AU$13:AU32)*BN32/1000</f>
        <v>0</v>
      </c>
      <c r="CH32">
        <f>SUM(AV$13:AV32)*BO32/1000</f>
        <v>0</v>
      </c>
      <c r="CI32">
        <f>SUM(AW$13:AW32)*BP32/1000</f>
        <v>0</v>
      </c>
      <c r="CJ32">
        <f>SUM(AX$13:AX32)*BQ32/1000</f>
        <v>0</v>
      </c>
      <c r="CK32">
        <f>SUM(AY$13:AY32)*BR32/1000</f>
        <v>0</v>
      </c>
      <c r="CL32">
        <f>SUM(AZ$13:AZ32)*BS32/1000</f>
        <v>0</v>
      </c>
      <c r="CM32" s="188">
        <f t="shared" si="22"/>
        <v>0</v>
      </c>
      <c r="CO32">
        <f t="shared" si="17"/>
        <v>2037</v>
      </c>
      <c r="CP32" s="90">
        <f>IFERROR(VLOOKUP($CO32,'Table 3 TransCost D2 '!$B$10:$E$34,4,FALSE),0)</f>
        <v>68.73</v>
      </c>
      <c r="CQ32" s="194">
        <f t="shared" si="20"/>
        <v>0</v>
      </c>
    </row>
    <row r="33" spans="1:96">
      <c r="B33" s="15">
        <f t="shared" si="18"/>
        <v>2038</v>
      </c>
      <c r="C33" s="9">
        <f t="shared" si="4"/>
        <v>0</v>
      </c>
      <c r="D33" s="45"/>
      <c r="E33" s="9" t="e">
        <f t="shared" ref="E33" ca="1" si="24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25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26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I33">
        <f t="shared" si="6"/>
        <v>0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f t="shared" si="11"/>
        <v>0</v>
      </c>
      <c r="AO33">
        <f t="shared" si="12"/>
        <v>0</v>
      </c>
      <c r="AP33">
        <f t="shared" si="13"/>
        <v>0</v>
      </c>
      <c r="AQ33">
        <f t="shared" si="14"/>
        <v>0</v>
      </c>
      <c r="AR33">
        <f t="shared" si="23"/>
        <v>0</v>
      </c>
      <c r="AS33">
        <f t="shared" si="23"/>
        <v>0</v>
      </c>
      <c r="AT33">
        <f t="shared" si="23"/>
        <v>0</v>
      </c>
      <c r="AU33">
        <f t="shared" si="23"/>
        <v>0</v>
      </c>
      <c r="AV33">
        <f t="shared" si="23"/>
        <v>0</v>
      </c>
      <c r="AW33">
        <f t="shared" si="23"/>
        <v>0</v>
      </c>
      <c r="AX33">
        <f t="shared" si="23"/>
        <v>0</v>
      </c>
      <c r="AY33">
        <f t="shared" si="23"/>
        <v>0</v>
      </c>
      <c r="AZ33">
        <f t="shared" si="23"/>
        <v>0</v>
      </c>
      <c r="BB33">
        <f>VLOOKUP($O33,'Table 3 EV2020 Wind_2020'!$B$10:$K$36,10,FALSE)</f>
        <v>158.75</v>
      </c>
      <c r="BC33">
        <f>VLOOKUP($O33,'Table 3 EV2020 Wind_2021'!$B$10:$K$36,10,FALSE)</f>
        <v>155.76</v>
      </c>
      <c r="BD33">
        <f>VLOOKUP($O33,'Table 3 DJ Wind 2030'!$B$10:$J$36,9,FALSE)</f>
        <v>176.6</v>
      </c>
      <c r="BE33">
        <f>VLOOKUP($O33,'Table 3 ID Wind 2033'!$B$10:$J$36,9,FALSE)</f>
        <v>171.17</v>
      </c>
      <c r="BF33">
        <f>VLOOKUP($O33,'Table 3 WW Wind 2035'!$B$10:$J$36,9,FALSE)</f>
        <v>166.5</v>
      </c>
      <c r="BG33">
        <f>VLOOKUP($O33,'Table 3 YK Wind 2035'!$B$10:$J$36,9,FALSE)</f>
        <v>166.5</v>
      </c>
      <c r="BH33">
        <f>VLOOKUP($O33,'Table 3 OR Wind 2035'!$B$10:$J$36,9,FALSE)</f>
        <v>164.97</v>
      </c>
      <c r="BI33">
        <f>VLOOKUP($O33,'Table 3 UT Wind 2036'!$B$10:$J$36,9,FALSE)</f>
        <v>160.85</v>
      </c>
      <c r="BJ33">
        <f>VLOOKUP($O33,'Table 3 YK Solar 2030'!$B$10:$J$36,9,FALSE)</f>
        <v>138.1</v>
      </c>
      <c r="BK33">
        <f>VLOOKUP($O33,'Table 3 YK Solar 2032'!$B$10:$J$36,9,FALSE)</f>
        <v>132.47999999999999</v>
      </c>
      <c r="BL33">
        <f>VLOOKUP($O33,'Table 3 YK Solar 2033'!$B$10:$J$36,9,FALSE)</f>
        <v>129.82</v>
      </c>
      <c r="BM33">
        <f>VLOOKUP($O33,'Table 3 UT Solar 2033 ST'!$B$10:$J$36,9,FALSE)</f>
        <v>130.80000000000001</v>
      </c>
      <c r="BN33">
        <f>VLOOKUP($O33,'Table 3 UT Solar 2035 ST'!$B$10:$J$36,9,FALSE)</f>
        <v>125.73</v>
      </c>
      <c r="BO33">
        <f>VLOOKUP($O33,'Table 3 UT Solar 2035 FT'!$B$10:$J$36,9,FALSE)</f>
        <v>122.21</v>
      </c>
      <c r="BP33">
        <f>VLOOKUP($O33,'Table 3 OR Solar 2030'!$B$10:$J$36,9,FALSE)</f>
        <v>141.74</v>
      </c>
      <c r="BQ33">
        <f>VLOOKUP($O33,'Table 3 OR Solar 2031'!$B$10:$J$36,9,FALSE)</f>
        <v>138.82</v>
      </c>
      <c r="BR33">
        <f>VLOOKUP($O33,'Table 3 OR Solar 2032'!$B$10:$J$36,9,FALSE)</f>
        <v>136.03</v>
      </c>
      <c r="BS33">
        <f>VLOOKUP($O33,'Table 3 OR Solar 2033'!$B$10:$J$36,9,FALSE)</f>
        <v>133.29</v>
      </c>
      <c r="BU33">
        <f>SUM(AI$13:AI33)*BB33/1000</f>
        <v>0</v>
      </c>
      <c r="BV33">
        <f>SUM(AJ$13:AJ33)*BC33/1000</f>
        <v>0</v>
      </c>
      <c r="BW33">
        <f>SUM(AK$13:AK33)*BD33/1000</f>
        <v>0</v>
      </c>
      <c r="BX33">
        <f>SUM(AL$13:AL33)*BE33/1000</f>
        <v>0</v>
      </c>
      <c r="BY33">
        <f>SUM(AM$13:AM33)*BF33/1000</f>
        <v>0</v>
      </c>
      <c r="BZ33">
        <f>SUM(AN$13:AN33)*BG33/1000</f>
        <v>0</v>
      </c>
      <c r="CA33">
        <f>SUM(AO$13:AO33)*BH33/1000</f>
        <v>0</v>
      </c>
      <c r="CB33">
        <f>SUM(AP$13:AP33)*BI33/1000</f>
        <v>0</v>
      </c>
      <c r="CC33">
        <f>SUM(AQ$13:AQ33)*BJ33/1000</f>
        <v>0</v>
      </c>
      <c r="CD33">
        <f>SUM(AR$13:AR33)*BK33/1000</f>
        <v>0</v>
      </c>
      <c r="CE33">
        <f>SUM(AS$13:AS33)*BL33/1000</f>
        <v>0</v>
      </c>
      <c r="CF33">
        <f>SUM(AT$13:AT33)*BM33/1000</f>
        <v>0</v>
      </c>
      <c r="CG33">
        <f>SUM(AU$13:AU33)*BN33/1000</f>
        <v>0</v>
      </c>
      <c r="CH33">
        <f>SUM(AV$13:AV33)*BO33/1000</f>
        <v>0</v>
      </c>
      <c r="CI33">
        <f>SUM(AW$13:AW33)*BP33/1000</f>
        <v>0</v>
      </c>
      <c r="CJ33">
        <f>SUM(AX$13:AX33)*BQ33/1000</f>
        <v>0</v>
      </c>
      <c r="CK33">
        <f>SUM(AY$13:AY33)*BR33/1000</f>
        <v>0</v>
      </c>
      <c r="CL33">
        <f>SUM(AZ$13:AZ33)*BS33/1000</f>
        <v>0</v>
      </c>
      <c r="CM33" s="188">
        <f t="shared" ref="CM33" si="27">SUM(BU33:CL33)</f>
        <v>0</v>
      </c>
      <c r="CO33">
        <f t="shared" si="17"/>
        <v>2038</v>
      </c>
      <c r="CP33" s="90">
        <f>IFERROR(VLOOKUP($CO33,'Table 3 TransCost D2 '!$B$10:$E$34,4,FALSE),0)</f>
        <v>70.099999999999994</v>
      </c>
      <c r="CQ33" s="194">
        <f t="shared" si="20"/>
        <v>0</v>
      </c>
    </row>
    <row r="34" spans="1:96">
      <c r="B34" s="182"/>
      <c r="C34" s="9"/>
      <c r="D34" s="45"/>
      <c r="E34" s="9"/>
      <c r="F34" s="37"/>
      <c r="G34" s="9"/>
      <c r="H34" s="36"/>
      <c r="I34" s="49"/>
      <c r="M34" s="117"/>
      <c r="CM34" s="188"/>
      <c r="CQ34" s="90"/>
      <c r="CR34" s="194"/>
    </row>
    <row r="35" spans="1:96">
      <c r="B35" s="182"/>
      <c r="C35" s="9"/>
      <c r="D35" s="45"/>
      <c r="E35" s="9"/>
      <c r="F35" s="37"/>
      <c r="G35" s="9"/>
      <c r="H35" s="36"/>
      <c r="I35" s="49"/>
      <c r="M35" s="117"/>
    </row>
    <row r="36" spans="1:96" ht="12" customHeight="1">
      <c r="B36" s="182"/>
      <c r="C36" s="9"/>
      <c r="D36" s="45"/>
      <c r="E36" s="9"/>
      <c r="F36" s="37"/>
      <c r="G36" s="9"/>
      <c r="H36" s="36"/>
      <c r="I36" s="49"/>
      <c r="M36" s="117"/>
      <c r="V36" t="s">
        <v>152</v>
      </c>
      <c r="X36">
        <v>2030</v>
      </c>
      <c r="Y36">
        <v>2032</v>
      </c>
      <c r="Z36">
        <v>2033</v>
      </c>
      <c r="AA36">
        <v>2033</v>
      </c>
      <c r="AB36">
        <v>2035</v>
      </c>
      <c r="AC36">
        <v>2035</v>
      </c>
      <c r="AD36">
        <v>2030</v>
      </c>
      <c r="AE36">
        <v>2031</v>
      </c>
      <c r="AF36">
        <v>2032</v>
      </c>
      <c r="AG36">
        <v>2033</v>
      </c>
    </row>
    <row r="37" spans="1:96">
      <c r="A37" s="282" t="str">
        <f>'Table 5'!$A$9</f>
        <v>15 Year Starting 2018</v>
      </c>
      <c r="B37" s="282"/>
      <c r="D37" s="9"/>
      <c r="F37" s="37"/>
      <c r="H37" s="36"/>
      <c r="I37"/>
      <c r="V37" t="s">
        <v>164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</row>
    <row r="38" spans="1:96">
      <c r="A38" s="215"/>
      <c r="B38" s="55" t="str">
        <f>"15 year Levelized Prices (Nominal) @ "&amp;TEXT(I39,"0.00%")&amp;" Discount Rate (1) (3) "</f>
        <v xml:space="preserve">15 year Levelized Prices (Nominal) @ 6.91% Discount Rate (1) (3) </v>
      </c>
      <c r="E38" s="5"/>
      <c r="I38" s="49" t="s">
        <v>67</v>
      </c>
      <c r="P38" s="184"/>
      <c r="Q38" s="184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</row>
    <row r="39" spans="1:96">
      <c r="B39" s="47" t="s">
        <v>8</v>
      </c>
      <c r="C39" s="9">
        <f ca="1">'Table 5'!$D$9*(Study_CF*8.76)/'Table 5'!$F$9</f>
        <v>0</v>
      </c>
      <c r="D39" s="9"/>
      <c r="H39" s="36"/>
      <c r="I39" s="110">
        <v>6.9099999999999995E-2</v>
      </c>
    </row>
    <row r="40" spans="1:96">
      <c r="B40" s="48" t="s">
        <v>33</v>
      </c>
      <c r="E40" s="9">
        <f ca="1">'Table 5'!$C$9/'Table 5'!$F$9</f>
        <v>22.380187509760081</v>
      </c>
      <c r="G40" s="217">
        <f ca="1">'Table 5'!$G$9</f>
        <v>22.380187509760081</v>
      </c>
      <c r="H40" s="36"/>
    </row>
    <row r="41" spans="1:96" ht="21" customHeight="1">
      <c r="A41" s="283" t="str">
        <f>'Table 5'!A7</f>
        <v>15 Year Starting 2019</v>
      </c>
      <c r="B41" s="283"/>
      <c r="E41" s="9"/>
      <c r="G41" s="109"/>
      <c r="H41" s="36"/>
    </row>
    <row r="42" spans="1:96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7"/>
    </row>
    <row r="43" spans="1:96">
      <c r="B43" s="47" t="s">
        <v>8</v>
      </c>
      <c r="C43" s="9">
        <f ca="1">'Table 5'!$D$7*(Study_CF*8.76)/'Table 5'!$F$7</f>
        <v>0</v>
      </c>
      <c r="D43" s="9"/>
      <c r="H43" s="36"/>
      <c r="I43"/>
    </row>
    <row r="44" spans="1:96">
      <c r="B44" s="48" t="s">
        <v>33</v>
      </c>
      <c r="E44" s="9">
        <f ca="1">'Table 5'!$C$7/'Table 5'!$F$7</f>
        <v>23.822679102483331</v>
      </c>
      <c r="G44" s="217">
        <f ca="1">'Table 5'!$G$7</f>
        <v>23.822679102483331</v>
      </c>
      <c r="H44" s="36"/>
      <c r="I44"/>
      <c r="R44" s="194"/>
    </row>
    <row r="45" spans="1:96" hidden="1">
      <c r="B45" s="55"/>
      <c r="E45" s="5"/>
      <c r="H45" s="36"/>
    </row>
    <row r="46" spans="1:96" hidden="1">
      <c r="B46" s="47"/>
      <c r="C46" s="9"/>
      <c r="D46" s="9"/>
      <c r="H46" s="36"/>
    </row>
    <row r="47" spans="1:96" hidden="1">
      <c r="B47" s="48"/>
      <c r="E47" s="9"/>
      <c r="G47" s="109"/>
      <c r="H47" s="36"/>
    </row>
    <row r="48" spans="1:96" hidden="1">
      <c r="B48" s="47"/>
      <c r="C48" s="9"/>
      <c r="D48" s="9"/>
      <c r="H48" s="36"/>
    </row>
    <row r="49" spans="1:9" hidden="1">
      <c r="B49" s="55"/>
      <c r="E49" s="5"/>
      <c r="H49" s="36"/>
    </row>
    <row r="50" spans="1:9" hidden="1">
      <c r="B50" s="47"/>
      <c r="C50" s="9"/>
      <c r="D50" s="9"/>
      <c r="H50" s="36"/>
    </row>
    <row r="51" spans="1:9">
      <c r="A51" s="283" t="str">
        <f>'Table 5'!A10</f>
        <v>20 Year Starting 2019</v>
      </c>
      <c r="B51" s="283"/>
      <c r="E51" s="9"/>
      <c r="G51" s="109"/>
      <c r="H51" s="36"/>
    </row>
    <row r="52" spans="1:9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9">
      <c r="B53" s="47" t="s">
        <v>8</v>
      </c>
      <c r="C53" s="9">
        <f ca="1">'Table 5'!$D$10*(Study_CF*8.76)/'Table 5'!$F$10</f>
        <v>0</v>
      </c>
      <c r="D53" s="9"/>
      <c r="H53" s="36"/>
    </row>
    <row r="54" spans="1:9">
      <c r="B54" s="48" t="s">
        <v>33</v>
      </c>
      <c r="E54" s="9">
        <f ca="1">'Table 5'!$C$10/'Table 5'!$F$10</f>
        <v>27.274202088858942</v>
      </c>
      <c r="G54" s="217">
        <f ca="1">'Table 5'!$G$10</f>
        <v>27.274202088858942</v>
      </c>
      <c r="H54" s="36"/>
    </row>
    <row r="55" spans="1:9">
      <c r="B55" s="3" t="s">
        <v>16</v>
      </c>
      <c r="E55" s="38"/>
      <c r="G55" s="38"/>
      <c r="H55" s="36"/>
      <c r="I55" s="109"/>
    </row>
    <row r="56" spans="1:9">
      <c r="B56" s="50" t="str">
        <f>"(1)   "&amp;I38</f>
        <v>(1)   Discount Rate - 2017 IRP</v>
      </c>
      <c r="E56" s="36"/>
      <c r="F56" s="38"/>
      <c r="G56" s="36"/>
      <c r="H56" s="36"/>
      <c r="I56" s="109"/>
    </row>
    <row r="57" spans="1:9">
      <c r="B57" s="3" t="s">
        <v>22</v>
      </c>
      <c r="F57" s="38"/>
      <c r="H57" s="36"/>
      <c r="I57" s="109"/>
    </row>
    <row r="58" spans="1:9">
      <c r="G58" s="5"/>
    </row>
    <row r="59" spans="1:9">
      <c r="B59" s="3" t="str">
        <f>IF(Study_Cap_Adj&gt;0,"(4)  The capacity payment is derived from:","")</f>
        <v/>
      </c>
    </row>
    <row r="60" spans="1:9" hidden="1">
      <c r="B60" s="95" t="str">
        <f>IF(AND(Study_Cap_Adj&gt;0,_30_Geo_West&lt;&gt;0),"       2028 - "&amp;#REF!&amp;"   ("&amp;TEXT(_30_Geo_West," 0.0%")&amp;")","")</f>
        <v/>
      </c>
    </row>
    <row r="61" spans="1:9" ht="12.75" customHeight="1">
      <c r="B61" s="95"/>
    </row>
    <row r="62" spans="1:9" ht="12.75" customHeight="1">
      <c r="A62" s="3" t="b">
        <f>SUM(P13:AG33)&gt;0</f>
        <v>0</v>
      </c>
      <c r="B62" s="95"/>
    </row>
    <row r="63" spans="1:9">
      <c r="A63" s="3" t="b">
        <f>IF(SUM(P13:P33)&gt;0,1,IF(SUM(R13:R33)&gt;0,2,IF(SUM(S13:S33)&gt;0,3,IF(SUM(T13:T33)&gt;0,4,IF(SUM(U13:U33)&gt;0,5,IF(SUM(V13:V33)&gt;0,6,IF(SUM(W13:W33)&gt;0,7,IF(SUM(X13:X33)&gt;0,8,IF(SUM(AA13:AA33)&gt;0,9,IF(SUM(AG13:AG33)&gt;0,10))))))))))</f>
        <v>0</v>
      </c>
      <c r="B63" s="10"/>
      <c r="C63" s="7"/>
      <c r="D63" s="7"/>
      <c r="E63" s="7"/>
      <c r="G63" s="7"/>
    </row>
    <row r="64" spans="1:9">
      <c r="B64"/>
      <c r="I64" t="s">
        <v>60</v>
      </c>
    </row>
    <row r="65" spans="1:13" s="53" customFormat="1">
      <c r="A65" s="54"/>
      <c r="B65" s="10"/>
      <c r="C65" s="54"/>
      <c r="D65" s="54"/>
      <c r="E65" s="54"/>
      <c r="F65" s="54"/>
      <c r="G65" s="54"/>
      <c r="I65" t="str">
        <f ca="1">"       Avoided Costs calculated annually are  "&amp;TEXT(PMT(Discount_Rate,COUNT($G$13:$G$27),-NPV(Discount_Rate,$G$13:$G$27)),"$0.00")&amp;"/MWH"</f>
        <v xml:space="preserve">       Avoided Costs calculated annually are  $22.39/MWH</v>
      </c>
      <c r="J65"/>
      <c r="K65"/>
      <c r="L65"/>
      <c r="M65"/>
    </row>
    <row r="66" spans="1:13" s="53" customFormat="1">
      <c r="A66" s="54"/>
      <c r="B66" s="10"/>
      <c r="C66" s="54"/>
      <c r="D66" s="54"/>
      <c r="E66" s="54"/>
      <c r="F66" s="54"/>
      <c r="G66" s="54"/>
      <c r="I66" s="10" t="str">
        <f ca="1">"       Avoided Costs calculated monthly are  "&amp;TEXT($G$40,"$0.00")&amp;"/MWH"</f>
        <v xml:space="preserve">       Avoided Costs calculated monthly are  $22.38/MWH</v>
      </c>
      <c r="J66"/>
      <c r="K66"/>
    </row>
    <row r="67" spans="1:13">
      <c r="A67"/>
      <c r="B67" s="51"/>
      <c r="I67" s="53"/>
      <c r="L67" s="53"/>
      <c r="M67" s="53"/>
    </row>
    <row r="68" spans="1:13">
      <c r="A68"/>
      <c r="F68" s="7"/>
    </row>
    <row r="71" spans="1:13">
      <c r="A71"/>
      <c r="J71" s="53"/>
      <c r="K71" s="53"/>
    </row>
    <row r="72" spans="1:13">
      <c r="A72"/>
      <c r="J72" s="53"/>
      <c r="K72" s="53"/>
    </row>
  </sheetData>
  <mergeCells count="3">
    <mergeCell ref="A37:B37"/>
    <mergeCell ref="A41:B41"/>
    <mergeCell ref="A51:B51"/>
  </mergeCells>
  <phoneticPr fontId="8" type="noConversion"/>
  <printOptions horizontalCentered="1"/>
  <pageMargins left="0.25" right="0.25" top="0.75" bottom="0.75" header="0.3" footer="0.3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26.59</v>
      </c>
      <c r="F24" s="135">
        <f t="shared" si="1"/>
        <v>47.729415983471974</v>
      </c>
      <c r="G24" s="133">
        <f t="shared" si="8"/>
        <v>0</v>
      </c>
      <c r="H24" s="143">
        <f t="shared" si="8"/>
        <v>0</v>
      </c>
      <c r="I24" s="135">
        <f t="shared" si="2"/>
        <v>47.729415983471974</v>
      </c>
      <c r="J24" s="135">
        <f t="shared" si="3"/>
        <v>120.42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95.82</v>
      </c>
      <c r="E25" s="133">
        <f t="shared" si="7"/>
        <v>27.16</v>
      </c>
      <c r="F25" s="135">
        <f t="shared" si="1"/>
        <v>48.745877727042114</v>
      </c>
      <c r="G25" s="133">
        <f t="shared" si="8"/>
        <v>0</v>
      </c>
      <c r="H25" s="143">
        <f t="shared" si="8"/>
        <v>0</v>
      </c>
      <c r="I25" s="135">
        <f t="shared" si="2"/>
        <v>48.745877727042114</v>
      </c>
      <c r="J25" s="135">
        <f t="shared" si="3"/>
        <v>122.98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97.83</v>
      </c>
      <c r="E26" s="133">
        <f t="shared" si="7"/>
        <v>27.73</v>
      </c>
      <c r="F26" s="135">
        <f t="shared" si="1"/>
        <v>49.768518518518526</v>
      </c>
      <c r="G26" s="133">
        <f t="shared" si="8"/>
        <v>0</v>
      </c>
      <c r="H26" s="143">
        <f t="shared" si="8"/>
        <v>0</v>
      </c>
      <c r="I26" s="135">
        <f t="shared" si="2"/>
        <v>49.768518518518526</v>
      </c>
      <c r="J26" s="135">
        <f t="shared" si="3"/>
        <v>125.56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99.87</v>
      </c>
      <c r="E27" s="133">
        <f t="shared" si="7"/>
        <v>28.31</v>
      </c>
      <c r="F27" s="135">
        <f t="shared" si="1"/>
        <v>50.807014205986818</v>
      </c>
      <c r="G27" s="133">
        <f t="shared" si="8"/>
        <v>0</v>
      </c>
      <c r="H27" s="143">
        <f t="shared" si="8"/>
        <v>0</v>
      </c>
      <c r="I27" s="135">
        <f t="shared" si="2"/>
        <v>50.807014205986818</v>
      </c>
      <c r="J27" s="135">
        <f t="shared" si="3"/>
        <v>128.18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101.93</v>
      </c>
      <c r="E28" s="133">
        <f t="shared" si="7"/>
        <v>28.89</v>
      </c>
      <c r="F28" s="135">
        <f t="shared" si="1"/>
        <v>51.853437341451041</v>
      </c>
      <c r="G28" s="133">
        <f t="shared" si="8"/>
        <v>0</v>
      </c>
      <c r="H28" s="143">
        <f t="shared" si="8"/>
        <v>0</v>
      </c>
      <c r="I28" s="135">
        <f t="shared" si="2"/>
        <v>51.853437341451041</v>
      </c>
      <c r="J28" s="135">
        <f t="shared" si="3"/>
        <v>130.82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104.02</v>
      </c>
      <c r="E29" s="133">
        <f t="shared" si="11"/>
        <v>29.48</v>
      </c>
      <c r="F29" s="135">
        <f t="shared" si="1"/>
        <v>52.915715372907158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52.915715372907158</v>
      </c>
      <c r="J29" s="135">
        <f t="shared" si="3"/>
        <v>133.5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106.14</v>
      </c>
      <c r="E30" s="133">
        <f t="shared" si="11"/>
        <v>30.08</v>
      </c>
      <c r="F30" s="135">
        <f t="shared" si="1"/>
        <v>53.993848300355154</v>
      </c>
      <c r="G30" s="133">
        <f t="shared" si="12"/>
        <v>0</v>
      </c>
      <c r="H30" s="143">
        <f t="shared" si="12"/>
        <v>0</v>
      </c>
      <c r="I30" s="135">
        <f t="shared" si="2"/>
        <v>53.993848300355154</v>
      </c>
      <c r="J30" s="135">
        <f t="shared" si="3"/>
        <v>136.22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108.28</v>
      </c>
      <c r="E31" s="133">
        <f t="shared" si="11"/>
        <v>30.69</v>
      </c>
      <c r="F31" s="135">
        <f t="shared" si="1"/>
        <v>55.083872399797059</v>
      </c>
      <c r="G31" s="133">
        <f t="shared" si="12"/>
        <v>0</v>
      </c>
      <c r="H31" s="143">
        <f t="shared" si="12"/>
        <v>0</v>
      </c>
      <c r="I31" s="135">
        <f t="shared" si="2"/>
        <v>55.083872399797059</v>
      </c>
      <c r="J31" s="135">
        <f t="shared" si="3"/>
        <v>138.97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110.44</v>
      </c>
      <c r="E32" s="133">
        <f t="shared" si="11"/>
        <v>31.3</v>
      </c>
      <c r="F32" s="135">
        <f t="shared" si="1"/>
        <v>56.181823947234918</v>
      </c>
      <c r="G32" s="133">
        <f t="shared" si="12"/>
        <v>0</v>
      </c>
      <c r="H32" s="143">
        <f t="shared" si="12"/>
        <v>0</v>
      </c>
      <c r="I32" s="135">
        <f t="shared" si="2"/>
        <v>56.181823947234918</v>
      </c>
      <c r="J32" s="135">
        <f t="shared" si="3"/>
        <v>141.74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112.66</v>
      </c>
      <c r="E33" s="133">
        <f t="shared" si="11"/>
        <v>31.93</v>
      </c>
      <c r="F33" s="135">
        <f t="shared" si="1"/>
        <v>57.311485286656527</v>
      </c>
      <c r="G33" s="133">
        <f t="shared" si="12"/>
        <v>0</v>
      </c>
      <c r="H33" s="143">
        <f t="shared" si="12"/>
        <v>0</v>
      </c>
      <c r="I33" s="135">
        <f t="shared" si="2"/>
        <v>57.311485286656527</v>
      </c>
      <c r="J33" s="135">
        <f t="shared" si="3"/>
        <v>144.59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114.93</v>
      </c>
      <c r="E34" s="133">
        <f t="shared" si="11"/>
        <v>32.57</v>
      </c>
      <c r="F34" s="135">
        <f t="shared" si="1"/>
        <v>58.464928970065962</v>
      </c>
      <c r="G34" s="133">
        <f t="shared" si="12"/>
        <v>0</v>
      </c>
      <c r="H34" s="143">
        <f t="shared" si="12"/>
        <v>0</v>
      </c>
      <c r="I34" s="135">
        <f t="shared" si="2"/>
        <v>58.464928970065962</v>
      </c>
      <c r="J34" s="135">
        <f t="shared" si="3"/>
        <v>147.5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117.27</v>
      </c>
      <c r="E35" s="133">
        <f t="shared" si="11"/>
        <v>33.229999999999997</v>
      </c>
      <c r="F35" s="135">
        <f t="shared" si="1"/>
        <v>59.654046169457132</v>
      </c>
      <c r="G35" s="133">
        <f t="shared" si="12"/>
        <v>0</v>
      </c>
      <c r="H35" s="143">
        <f t="shared" si="12"/>
        <v>0</v>
      </c>
      <c r="I35" s="135">
        <f t="shared" si="2"/>
        <v>59.654046169457132</v>
      </c>
      <c r="J35" s="135">
        <f t="shared" si="3"/>
        <v>150.5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119.69</v>
      </c>
      <c r="E36" s="133">
        <f t="shared" si="11"/>
        <v>33.92</v>
      </c>
      <c r="F36" s="135">
        <f t="shared" si="1"/>
        <v>60.88676433282599</v>
      </c>
      <c r="G36" s="133">
        <f t="shared" si="12"/>
        <v>0</v>
      </c>
      <c r="H36" s="143">
        <f t="shared" si="12"/>
        <v>0</v>
      </c>
      <c r="I36" s="135">
        <f t="shared" si="2"/>
        <v>60.88676433282599</v>
      </c>
      <c r="J36" s="135">
        <f t="shared" si="3"/>
        <v>153.61000000000001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1215.4108609806308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topLeftCell="A6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27.16</v>
      </c>
      <c r="F25" s="135">
        <f t="shared" si="1"/>
        <v>47.743365970280941</v>
      </c>
      <c r="G25" s="133">
        <f t="shared" si="8"/>
        <v>0</v>
      </c>
      <c r="H25" s="143">
        <f t="shared" si="8"/>
        <v>0</v>
      </c>
      <c r="I25" s="135">
        <f t="shared" si="2"/>
        <v>47.743365970280941</v>
      </c>
      <c r="J25" s="135">
        <f t="shared" si="3"/>
        <v>120.45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95.24</v>
      </c>
      <c r="E26" s="133">
        <f t="shared" si="7"/>
        <v>27.73</v>
      </c>
      <c r="F26" s="135">
        <f t="shared" si="1"/>
        <v>48.741914003044144</v>
      </c>
      <c r="G26" s="133">
        <f t="shared" si="8"/>
        <v>0</v>
      </c>
      <c r="H26" s="143">
        <f t="shared" si="8"/>
        <v>0</v>
      </c>
      <c r="I26" s="135">
        <f t="shared" si="2"/>
        <v>48.741914003044144</v>
      </c>
      <c r="J26" s="135">
        <f t="shared" si="3"/>
        <v>122.97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97.22</v>
      </c>
      <c r="E27" s="133">
        <f t="shared" si="7"/>
        <v>28.31</v>
      </c>
      <c r="F27" s="135">
        <f t="shared" si="1"/>
        <v>49.75662734652461</v>
      </c>
      <c r="G27" s="133">
        <f t="shared" si="8"/>
        <v>0</v>
      </c>
      <c r="H27" s="143">
        <f t="shared" si="8"/>
        <v>0</v>
      </c>
      <c r="I27" s="135">
        <f t="shared" si="2"/>
        <v>49.75662734652461</v>
      </c>
      <c r="J27" s="135">
        <f t="shared" si="3"/>
        <v>125.53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99.23</v>
      </c>
      <c r="E28" s="133">
        <f t="shared" si="7"/>
        <v>28.89</v>
      </c>
      <c r="F28" s="135">
        <f t="shared" si="1"/>
        <v>50.783231861998992</v>
      </c>
      <c r="G28" s="133">
        <f t="shared" si="8"/>
        <v>0</v>
      </c>
      <c r="H28" s="143">
        <f t="shared" si="8"/>
        <v>0</v>
      </c>
      <c r="I28" s="135">
        <f t="shared" si="2"/>
        <v>50.783231861998992</v>
      </c>
      <c r="J28" s="135">
        <f t="shared" si="3"/>
        <v>128.12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101.27</v>
      </c>
      <c r="E29" s="133">
        <f t="shared" si="11"/>
        <v>29.48</v>
      </c>
      <c r="F29" s="135">
        <f t="shared" si="1"/>
        <v>51.825691273465253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51.825691273465253</v>
      </c>
      <c r="J29" s="135">
        <f t="shared" si="3"/>
        <v>130.75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103.33</v>
      </c>
      <c r="E30" s="133">
        <f t="shared" si="11"/>
        <v>30.08</v>
      </c>
      <c r="F30" s="135">
        <f t="shared" si="1"/>
        <v>52.880041856925423</v>
      </c>
      <c r="G30" s="133">
        <f t="shared" si="12"/>
        <v>0</v>
      </c>
      <c r="H30" s="143">
        <f t="shared" si="12"/>
        <v>0</v>
      </c>
      <c r="I30" s="135">
        <f t="shared" si="2"/>
        <v>52.880041856925423</v>
      </c>
      <c r="J30" s="135">
        <f t="shared" si="3"/>
        <v>133.41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105.41</v>
      </c>
      <c r="E31" s="133">
        <f t="shared" si="11"/>
        <v>30.69</v>
      </c>
      <c r="F31" s="135">
        <f t="shared" si="1"/>
        <v>53.946283612379503</v>
      </c>
      <c r="G31" s="133">
        <f t="shared" si="12"/>
        <v>0</v>
      </c>
      <c r="H31" s="143">
        <f t="shared" si="12"/>
        <v>0</v>
      </c>
      <c r="I31" s="135">
        <f t="shared" si="2"/>
        <v>53.946283612379503</v>
      </c>
      <c r="J31" s="135">
        <f t="shared" si="3"/>
        <v>136.1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107.52</v>
      </c>
      <c r="E32" s="133">
        <f t="shared" si="11"/>
        <v>31.3</v>
      </c>
      <c r="F32" s="135">
        <f t="shared" si="1"/>
        <v>55.024416539827499</v>
      </c>
      <c r="G32" s="133">
        <f t="shared" si="12"/>
        <v>0</v>
      </c>
      <c r="H32" s="143">
        <f t="shared" si="12"/>
        <v>0</v>
      </c>
      <c r="I32" s="135">
        <f t="shared" si="2"/>
        <v>55.024416539827499</v>
      </c>
      <c r="J32" s="135">
        <f t="shared" si="3"/>
        <v>138.82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109.68</v>
      </c>
      <c r="E33" s="133">
        <f t="shared" si="11"/>
        <v>31.93</v>
      </c>
      <c r="F33" s="135">
        <f t="shared" si="1"/>
        <v>56.130295535261297</v>
      </c>
      <c r="G33" s="133">
        <f t="shared" si="12"/>
        <v>0</v>
      </c>
      <c r="H33" s="143">
        <f t="shared" si="12"/>
        <v>0</v>
      </c>
      <c r="I33" s="135">
        <f t="shared" si="2"/>
        <v>56.130295535261297</v>
      </c>
      <c r="J33" s="135">
        <f t="shared" si="3"/>
        <v>141.61000000000001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111.89</v>
      </c>
      <c r="E34" s="133">
        <f t="shared" si="11"/>
        <v>32.57</v>
      </c>
      <c r="F34" s="135">
        <f t="shared" si="1"/>
        <v>57.259956874682914</v>
      </c>
      <c r="G34" s="133">
        <f t="shared" si="12"/>
        <v>0</v>
      </c>
      <c r="H34" s="143">
        <f t="shared" si="12"/>
        <v>0</v>
      </c>
      <c r="I34" s="135">
        <f t="shared" si="2"/>
        <v>57.259956874682914</v>
      </c>
      <c r="J34" s="135">
        <f t="shared" si="3"/>
        <v>144.46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114.17</v>
      </c>
      <c r="E35" s="133">
        <f t="shared" si="11"/>
        <v>33.229999999999997</v>
      </c>
      <c r="F35" s="135">
        <f t="shared" si="1"/>
        <v>58.425291730086258</v>
      </c>
      <c r="G35" s="133">
        <f t="shared" si="12"/>
        <v>0</v>
      </c>
      <c r="H35" s="143">
        <f t="shared" si="12"/>
        <v>0</v>
      </c>
      <c r="I35" s="135">
        <f t="shared" si="2"/>
        <v>58.425291730086258</v>
      </c>
      <c r="J35" s="135">
        <f t="shared" si="3"/>
        <v>147.4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116.52</v>
      </c>
      <c r="E36" s="133">
        <f t="shared" si="11"/>
        <v>33.92</v>
      </c>
      <c r="F36" s="135">
        <f t="shared" si="1"/>
        <v>59.630263825469306</v>
      </c>
      <c r="G36" s="133">
        <f t="shared" si="12"/>
        <v>0</v>
      </c>
      <c r="H36" s="143">
        <f t="shared" si="12"/>
        <v>0</v>
      </c>
      <c r="I36" s="135">
        <f t="shared" si="2"/>
        <v>59.630263825469306</v>
      </c>
      <c r="J36" s="135">
        <f t="shared" si="3"/>
        <v>150.44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143</v>
      </c>
      <c r="C55" s="186">
        <v>1208.4830190730411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27.16</v>
      </c>
      <c r="F25" s="135">
        <f t="shared" si="1"/>
        <v>10.765474378488078</v>
      </c>
      <c r="G25" s="133">
        <f t="shared" si="8"/>
        <v>0</v>
      </c>
      <c r="H25" s="143">
        <f t="shared" si="8"/>
        <v>0</v>
      </c>
      <c r="I25" s="135">
        <f t="shared" si="2"/>
        <v>10.765474378488078</v>
      </c>
      <c r="J25" s="135">
        <f t="shared" si="3"/>
        <v>27.16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27.73</v>
      </c>
      <c r="F26" s="135">
        <f t="shared" si="1"/>
        <v>47.758524256092045</v>
      </c>
      <c r="G26" s="133">
        <f t="shared" si="8"/>
        <v>0</v>
      </c>
      <c r="H26" s="143">
        <f t="shared" si="8"/>
        <v>0</v>
      </c>
      <c r="I26" s="135">
        <f t="shared" si="2"/>
        <v>47.758524256092045</v>
      </c>
      <c r="J26" s="135">
        <f t="shared" si="3"/>
        <v>120.49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94.69</v>
      </c>
      <c r="E27" s="133">
        <f t="shared" si="7"/>
        <v>28.31</v>
      </c>
      <c r="F27" s="135">
        <f t="shared" si="1"/>
        <v>48.753805175038053</v>
      </c>
      <c r="G27" s="133">
        <f t="shared" si="8"/>
        <v>0</v>
      </c>
      <c r="H27" s="143">
        <f t="shared" si="8"/>
        <v>0</v>
      </c>
      <c r="I27" s="135">
        <f t="shared" si="2"/>
        <v>48.753805175038053</v>
      </c>
      <c r="J27" s="135">
        <f t="shared" si="3"/>
        <v>123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96.65</v>
      </c>
      <c r="E28" s="133">
        <f t="shared" si="7"/>
        <v>28.89</v>
      </c>
      <c r="F28" s="135">
        <f t="shared" si="1"/>
        <v>49.760591070522587</v>
      </c>
      <c r="G28" s="133">
        <f t="shared" si="8"/>
        <v>0</v>
      </c>
      <c r="H28" s="143">
        <f t="shared" si="8"/>
        <v>0</v>
      </c>
      <c r="I28" s="135">
        <f t="shared" si="2"/>
        <v>49.760591070522587</v>
      </c>
      <c r="J28" s="135">
        <f t="shared" si="3"/>
        <v>125.54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98.64</v>
      </c>
      <c r="E29" s="133">
        <f t="shared" si="11"/>
        <v>29.48</v>
      </c>
      <c r="F29" s="135">
        <f t="shared" si="1"/>
        <v>50.783231861998992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50.783231861998992</v>
      </c>
      <c r="J29" s="135">
        <f t="shared" si="3"/>
        <v>128.12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100.65</v>
      </c>
      <c r="E30" s="133">
        <f t="shared" si="11"/>
        <v>30.08</v>
      </c>
      <c r="F30" s="135">
        <f t="shared" si="1"/>
        <v>51.817763825469314</v>
      </c>
      <c r="G30" s="133">
        <f t="shared" si="12"/>
        <v>0</v>
      </c>
      <c r="H30" s="143">
        <f t="shared" si="12"/>
        <v>0</v>
      </c>
      <c r="I30" s="135">
        <f t="shared" si="2"/>
        <v>51.817763825469314</v>
      </c>
      <c r="J30" s="135">
        <f t="shared" si="3"/>
        <v>130.72999999999999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102.68</v>
      </c>
      <c r="E31" s="133">
        <f t="shared" si="11"/>
        <v>30.69</v>
      </c>
      <c r="F31" s="135">
        <f t="shared" si="1"/>
        <v>52.864186960933544</v>
      </c>
      <c r="G31" s="133">
        <f t="shared" si="12"/>
        <v>0</v>
      </c>
      <c r="H31" s="143">
        <f t="shared" si="12"/>
        <v>0</v>
      </c>
      <c r="I31" s="135">
        <f t="shared" si="2"/>
        <v>52.864186960933544</v>
      </c>
      <c r="J31" s="135">
        <f t="shared" si="3"/>
        <v>133.37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104.73</v>
      </c>
      <c r="E32" s="133">
        <f t="shared" si="11"/>
        <v>31.3</v>
      </c>
      <c r="F32" s="135">
        <f t="shared" si="1"/>
        <v>53.918537544393715</v>
      </c>
      <c r="G32" s="133">
        <f t="shared" si="12"/>
        <v>0</v>
      </c>
      <c r="H32" s="143">
        <f t="shared" si="12"/>
        <v>0</v>
      </c>
      <c r="I32" s="135">
        <f t="shared" si="2"/>
        <v>53.918537544393715</v>
      </c>
      <c r="J32" s="135">
        <f t="shared" si="3"/>
        <v>136.03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106.83</v>
      </c>
      <c r="E33" s="133">
        <f t="shared" si="11"/>
        <v>31.93</v>
      </c>
      <c r="F33" s="135">
        <f t="shared" si="1"/>
        <v>55.000634195839673</v>
      </c>
      <c r="G33" s="133">
        <f t="shared" si="12"/>
        <v>0</v>
      </c>
      <c r="H33" s="143">
        <f t="shared" si="12"/>
        <v>0</v>
      </c>
      <c r="I33" s="135">
        <f t="shared" si="2"/>
        <v>55.000634195839673</v>
      </c>
      <c r="J33" s="135">
        <f t="shared" si="3"/>
        <v>138.76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108.98</v>
      </c>
      <c r="E34" s="133">
        <f t="shared" si="11"/>
        <v>32.57</v>
      </c>
      <c r="F34" s="135">
        <f t="shared" si="1"/>
        <v>56.106513191273471</v>
      </c>
      <c r="G34" s="133">
        <f t="shared" si="12"/>
        <v>0</v>
      </c>
      <c r="H34" s="143">
        <f t="shared" si="12"/>
        <v>0</v>
      </c>
      <c r="I34" s="135">
        <f t="shared" si="2"/>
        <v>56.106513191273471</v>
      </c>
      <c r="J34" s="135">
        <f t="shared" si="3"/>
        <v>141.55000000000001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111.2</v>
      </c>
      <c r="E35" s="133">
        <f t="shared" si="11"/>
        <v>33.229999999999997</v>
      </c>
      <c r="F35" s="135">
        <f t="shared" si="1"/>
        <v>57.248065702688997</v>
      </c>
      <c r="G35" s="133">
        <f t="shared" si="12"/>
        <v>0</v>
      </c>
      <c r="H35" s="143">
        <f t="shared" si="12"/>
        <v>0</v>
      </c>
      <c r="I35" s="135">
        <f t="shared" si="2"/>
        <v>57.248065702688997</v>
      </c>
      <c r="J35" s="135">
        <f t="shared" si="3"/>
        <v>144.43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113.49</v>
      </c>
      <c r="E36" s="133">
        <f t="shared" si="11"/>
        <v>33.92</v>
      </c>
      <c r="F36" s="135">
        <f t="shared" si="1"/>
        <v>58.429255454084227</v>
      </c>
      <c r="G36" s="133">
        <f t="shared" si="12"/>
        <v>0</v>
      </c>
      <c r="H36" s="143">
        <f t="shared" si="12"/>
        <v>0</v>
      </c>
      <c r="I36" s="135">
        <f t="shared" si="2"/>
        <v>58.429255454084227</v>
      </c>
      <c r="J36" s="135">
        <f t="shared" si="3"/>
        <v>147.41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135</v>
      </c>
      <c r="C55" s="186">
        <v>1201.5946658643247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27.16</v>
      </c>
      <c r="F25" s="135">
        <f t="shared" si="1"/>
        <v>10.765474378488078</v>
      </c>
      <c r="G25" s="133">
        <f t="shared" si="8"/>
        <v>0</v>
      </c>
      <c r="H25" s="143">
        <f t="shared" si="8"/>
        <v>0</v>
      </c>
      <c r="I25" s="135">
        <f t="shared" si="2"/>
        <v>10.765474378488078</v>
      </c>
      <c r="J25" s="135">
        <f t="shared" si="3"/>
        <v>27.16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27.73</v>
      </c>
      <c r="F26" s="135">
        <f t="shared" si="1"/>
        <v>10.991406646372401</v>
      </c>
      <c r="G26" s="133">
        <f t="shared" si="8"/>
        <v>0</v>
      </c>
      <c r="H26" s="143">
        <f t="shared" si="8"/>
        <v>0</v>
      </c>
      <c r="I26" s="135">
        <f t="shared" si="2"/>
        <v>10.991406646372401</v>
      </c>
      <c r="J26" s="135">
        <f t="shared" si="3"/>
        <v>27.73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28.31</v>
      </c>
      <c r="F27" s="135">
        <f t="shared" si="1"/>
        <v>47.778847677598932</v>
      </c>
      <c r="G27" s="133">
        <f t="shared" si="8"/>
        <v>0</v>
      </c>
      <c r="H27" s="143">
        <f t="shared" si="8"/>
        <v>0</v>
      </c>
      <c r="I27" s="135">
        <f t="shared" si="2"/>
        <v>47.778847677598932</v>
      </c>
      <c r="J27" s="135">
        <f t="shared" si="3"/>
        <v>120.54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94.14</v>
      </c>
      <c r="E28" s="133">
        <f t="shared" si="7"/>
        <v>28.89</v>
      </c>
      <c r="F28" s="135">
        <f t="shared" si="1"/>
        <v>48.76569634703197</v>
      </c>
      <c r="G28" s="133">
        <f t="shared" si="8"/>
        <v>0</v>
      </c>
      <c r="H28" s="143">
        <f t="shared" si="8"/>
        <v>0</v>
      </c>
      <c r="I28" s="135">
        <f t="shared" si="2"/>
        <v>48.76569634703197</v>
      </c>
      <c r="J28" s="135">
        <f t="shared" si="3"/>
        <v>123.03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96.07</v>
      </c>
      <c r="E29" s="133">
        <f t="shared" si="11"/>
        <v>29.48</v>
      </c>
      <c r="F29" s="135">
        <f t="shared" si="1"/>
        <v>49.764554794520549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49.764554794520549</v>
      </c>
      <c r="J29" s="135">
        <f t="shared" si="3"/>
        <v>125.55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98.02</v>
      </c>
      <c r="E30" s="133">
        <f t="shared" si="11"/>
        <v>30.08</v>
      </c>
      <c r="F30" s="135">
        <f t="shared" si="1"/>
        <v>50.775304414003045</v>
      </c>
      <c r="G30" s="133">
        <f t="shared" si="12"/>
        <v>0</v>
      </c>
      <c r="H30" s="143">
        <f t="shared" si="12"/>
        <v>0</v>
      </c>
      <c r="I30" s="135">
        <f t="shared" si="2"/>
        <v>50.775304414003045</v>
      </c>
      <c r="J30" s="135">
        <f t="shared" si="3"/>
        <v>128.1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99.99</v>
      </c>
      <c r="E31" s="133">
        <f t="shared" si="11"/>
        <v>30.69</v>
      </c>
      <c r="F31" s="135">
        <f t="shared" si="1"/>
        <v>51.797945205479458</v>
      </c>
      <c r="G31" s="133">
        <f t="shared" si="12"/>
        <v>0</v>
      </c>
      <c r="H31" s="143">
        <f t="shared" si="12"/>
        <v>0</v>
      </c>
      <c r="I31" s="135">
        <f t="shared" si="2"/>
        <v>51.797945205479458</v>
      </c>
      <c r="J31" s="135">
        <f t="shared" si="3"/>
        <v>130.68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101.99</v>
      </c>
      <c r="E32" s="133">
        <f t="shared" si="11"/>
        <v>31.3</v>
      </c>
      <c r="F32" s="135">
        <f t="shared" si="1"/>
        <v>52.832477168949772</v>
      </c>
      <c r="G32" s="133">
        <f t="shared" si="12"/>
        <v>0</v>
      </c>
      <c r="H32" s="143">
        <f t="shared" si="12"/>
        <v>0</v>
      </c>
      <c r="I32" s="135">
        <f t="shared" si="2"/>
        <v>52.832477168949772</v>
      </c>
      <c r="J32" s="135">
        <f t="shared" si="3"/>
        <v>133.29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104.04</v>
      </c>
      <c r="E33" s="133">
        <f t="shared" si="11"/>
        <v>31.93</v>
      </c>
      <c r="F33" s="135">
        <f t="shared" si="1"/>
        <v>53.894755200405889</v>
      </c>
      <c r="G33" s="133">
        <f t="shared" si="12"/>
        <v>0</v>
      </c>
      <c r="H33" s="143">
        <f t="shared" si="12"/>
        <v>0</v>
      </c>
      <c r="I33" s="135">
        <f t="shared" si="2"/>
        <v>53.894755200405889</v>
      </c>
      <c r="J33" s="135">
        <f t="shared" si="3"/>
        <v>135.97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106.14</v>
      </c>
      <c r="E34" s="133">
        <f t="shared" si="11"/>
        <v>32.57</v>
      </c>
      <c r="F34" s="135">
        <f t="shared" si="1"/>
        <v>54.980815575849832</v>
      </c>
      <c r="G34" s="133">
        <f t="shared" si="12"/>
        <v>0</v>
      </c>
      <c r="H34" s="143">
        <f t="shared" si="12"/>
        <v>0</v>
      </c>
      <c r="I34" s="135">
        <f t="shared" si="2"/>
        <v>54.980815575849832</v>
      </c>
      <c r="J34" s="135">
        <f t="shared" si="3"/>
        <v>138.71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108.3</v>
      </c>
      <c r="E35" s="133">
        <f t="shared" si="11"/>
        <v>33.229999999999997</v>
      </c>
      <c r="F35" s="135">
        <f t="shared" si="1"/>
        <v>56.098585743277532</v>
      </c>
      <c r="G35" s="133">
        <f t="shared" si="12"/>
        <v>0</v>
      </c>
      <c r="H35" s="143">
        <f t="shared" si="12"/>
        <v>0</v>
      </c>
      <c r="I35" s="135">
        <f t="shared" si="2"/>
        <v>56.098585743277532</v>
      </c>
      <c r="J35" s="135">
        <f t="shared" si="3"/>
        <v>141.53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110.53</v>
      </c>
      <c r="E36" s="133">
        <f t="shared" si="11"/>
        <v>33.92</v>
      </c>
      <c r="F36" s="135">
        <f t="shared" si="1"/>
        <v>57.25599315068493</v>
      </c>
      <c r="G36" s="133">
        <f t="shared" si="12"/>
        <v>0</v>
      </c>
      <c r="H36" s="143">
        <f t="shared" si="12"/>
        <v>0</v>
      </c>
      <c r="I36" s="135">
        <f t="shared" si="2"/>
        <v>57.25599315068493</v>
      </c>
      <c r="J36" s="135">
        <f t="shared" si="3"/>
        <v>144.44999999999999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1194.745576268898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P345"/>
  <sheetViews>
    <sheetView view="pageBreakPreview" topLeftCell="A2" zoomScale="60" zoomScaleNormal="80" workbookViewId="0">
      <selection activeCell="A26" sqref="A26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hidden="1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Utah 2018.Q1 - 100.0 MW and 85.0% CF</v>
      </c>
      <c r="C5" s="1"/>
      <c r="G5" s="97">
        <v>43189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2.76</v>
      </c>
      <c r="G15" s="30"/>
      <c r="H15" s="34" t="s">
        <v>68</v>
      </c>
      <c r="I15" s="3" t="s">
        <v>69</v>
      </c>
      <c r="J15" s="3" t="s">
        <v>70</v>
      </c>
      <c r="N15" s="3" t="s">
        <v>69</v>
      </c>
    </row>
    <row r="16" spans="2:15" ht="13.5" thickBot="1">
      <c r="B16" s="26">
        <f t="shared" si="0"/>
        <v>2018</v>
      </c>
      <c r="C16" s="27">
        <f t="shared" si="1"/>
        <v>2.21</v>
      </c>
      <c r="D16" s="27">
        <f t="shared" si="2"/>
        <v>2.09</v>
      </c>
      <c r="E16" s="27">
        <f t="shared" si="3"/>
        <v>2.21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118</v>
      </c>
      <c r="O16" s="104" t="s">
        <v>70</v>
      </c>
    </row>
    <row r="17" spans="2:15" ht="13.5" thickBot="1">
      <c r="B17" s="26">
        <f t="shared" si="0"/>
        <v>2019</v>
      </c>
      <c r="C17" s="27">
        <f t="shared" si="1"/>
        <v>2.06</v>
      </c>
      <c r="D17" s="27">
        <f t="shared" si="2"/>
        <v>1.95</v>
      </c>
      <c r="E17" s="27">
        <f t="shared" si="3"/>
        <v>2.0299999999999998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2.15</v>
      </c>
      <c r="D18" s="27">
        <f t="shared" si="2"/>
        <v>2.02</v>
      </c>
      <c r="E18" s="27">
        <f t="shared" si="3"/>
        <v>2.13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2.2400000000000002</v>
      </c>
      <c r="D19" s="27">
        <f t="shared" si="2"/>
        <v>2.15</v>
      </c>
      <c r="E19" s="27">
        <f t="shared" si="3"/>
        <v>2.23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2.33</v>
      </c>
      <c r="D20" s="27">
        <f t="shared" si="2"/>
        <v>2.23</v>
      </c>
      <c r="E20" s="27">
        <f t="shared" si="3"/>
        <v>2.34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2.42</v>
      </c>
      <c r="D21" s="27">
        <f t="shared" si="2"/>
        <v>2.38</v>
      </c>
      <c r="E21" s="27">
        <f t="shared" si="3"/>
        <v>2.42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2.88</v>
      </c>
      <c r="D22" s="27">
        <f t="shared" si="2"/>
        <v>2.86</v>
      </c>
      <c r="E22" s="27">
        <f t="shared" si="3"/>
        <v>2.91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3.56</v>
      </c>
      <c r="D23" s="27">
        <f t="shared" si="2"/>
        <v>3.54</v>
      </c>
      <c r="E23" s="27">
        <f t="shared" si="3"/>
        <v>3.59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3.82</v>
      </c>
      <c r="D24" s="27">
        <f t="shared" si="2"/>
        <v>3.8</v>
      </c>
      <c r="E24" s="27">
        <f t="shared" si="3"/>
        <v>3.85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3.94</v>
      </c>
      <c r="D25" s="27">
        <f t="shared" si="2"/>
        <v>3.93</v>
      </c>
      <c r="E25" s="27">
        <f t="shared" si="3"/>
        <v>3.97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4.1500000000000004</v>
      </c>
      <c r="D26" s="27">
        <f t="shared" si="2"/>
        <v>4.1900000000000004</v>
      </c>
      <c r="E26" s="27">
        <f t="shared" si="3"/>
        <v>4.18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4.53</v>
      </c>
      <c r="D27" s="27">
        <f t="shared" si="2"/>
        <v>4.6399999999999997</v>
      </c>
      <c r="E27" s="27">
        <f t="shared" si="3"/>
        <v>4.5599999999999996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4.9800000000000004</v>
      </c>
      <c r="D28" s="27">
        <f t="shared" si="2"/>
        <v>5.0999999999999996</v>
      </c>
      <c r="E28" s="27">
        <f t="shared" si="3"/>
        <v>5.0199999999999996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5.01</v>
      </c>
      <c r="D29" s="27">
        <f t="shared" si="2"/>
        <v>5.09</v>
      </c>
      <c r="E29" s="27">
        <f t="shared" si="3"/>
        <v>5.05</v>
      </c>
      <c r="G29" s="31">
        <v>42736</v>
      </c>
      <c r="H29" s="35">
        <v>3.2524393877551017</v>
      </c>
      <c r="I29" s="35">
        <v>3.5318468800105713</v>
      </c>
      <c r="J29" s="35">
        <v>3.2801653137385181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5.39</v>
      </c>
      <c r="D30" s="27">
        <f t="shared" si="2"/>
        <v>5.48</v>
      </c>
      <c r="E30" s="27">
        <f t="shared" si="3"/>
        <v>5.43</v>
      </c>
      <c r="G30" s="31">
        <v>42767</v>
      </c>
      <c r="H30" s="35">
        <v>2.6306099416909614</v>
      </c>
      <c r="I30" s="35">
        <v>2.6903633755419278</v>
      </c>
      <c r="J30" s="35">
        <v>2.6686241769502144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5.67</v>
      </c>
      <c r="D31" s="27">
        <f t="shared" si="2"/>
        <v>5.78</v>
      </c>
      <c r="E31" s="27">
        <f t="shared" si="3"/>
        <v>5.71</v>
      </c>
      <c r="G31" s="31">
        <v>42795</v>
      </c>
      <c r="H31" s="35">
        <v>2.5701319486504275</v>
      </c>
      <c r="I31" s="35">
        <v>2.5432095807524639</v>
      </c>
      <c r="J31" s="35">
        <v>2.6203938538123621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5.61</v>
      </c>
      <c r="D32" s="27">
        <f t="shared" si="2"/>
        <v>5.67</v>
      </c>
      <c r="E32" s="27">
        <f t="shared" si="3"/>
        <v>5.65</v>
      </c>
      <c r="G32" s="31">
        <v>42826</v>
      </c>
      <c r="H32" s="35">
        <v>2.7337319047619042</v>
      </c>
      <c r="I32" s="35">
        <v>2.7294485434555877</v>
      </c>
      <c r="J32" s="35">
        <v>2.8173391604331051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5.8</v>
      </c>
      <c r="D33" s="27">
        <f t="shared" si="2"/>
        <v>5.82</v>
      </c>
      <c r="E33" s="27">
        <f t="shared" si="3"/>
        <v>5.84</v>
      </c>
      <c r="G33" s="31">
        <v>42856</v>
      </c>
      <c r="H33" s="35">
        <v>2.793469670836076</v>
      </c>
      <c r="I33" s="35">
        <v>2.7211925722904748</v>
      </c>
      <c r="J33" s="35">
        <v>2.8496280759861037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5.75</v>
      </c>
      <c r="D34" s="27">
        <f t="shared" si="2"/>
        <v>5.77</v>
      </c>
      <c r="E34" s="27">
        <f t="shared" si="3"/>
        <v>5.79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6.09</v>
      </c>
      <c r="D35" s="27">
        <f t="shared" si="2"/>
        <v>6.15</v>
      </c>
      <c r="E35" s="27">
        <f t="shared" si="3"/>
        <v>6.13</v>
      </c>
      <c r="G35" s="31">
        <v>42917</v>
      </c>
      <c r="H35" s="35">
        <v>2.6189359863945567</v>
      </c>
      <c r="I35" s="35">
        <v>2.4945553517572598</v>
      </c>
      <c r="J35" s="35">
        <v>2.6888170462996945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6.5</v>
      </c>
      <c r="D36" s="27">
        <f t="shared" si="2"/>
        <v>6.59</v>
      </c>
      <c r="E36" s="27">
        <f t="shared" si="3"/>
        <v>6.54</v>
      </c>
      <c r="G36" s="31">
        <v>42948</v>
      </c>
      <c r="H36" s="35">
        <v>2.6204058600583098</v>
      </c>
      <c r="I36" s="35">
        <v>2.6662174520070065</v>
      </c>
      <c r="J36" s="35">
        <v>2.6400613898171748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6.74</v>
      </c>
      <c r="D37" s="27">
        <f t="shared" si="2"/>
        <v>6.86</v>
      </c>
      <c r="E37" s="27">
        <f t="shared" si="3"/>
        <v>6.78</v>
      </c>
      <c r="G37" s="31">
        <v>42979</v>
      </c>
      <c r="H37" s="35">
        <v>2.6225484658691061</v>
      </c>
      <c r="I37" s="35">
        <v>2.6887120624951599</v>
      </c>
      <c r="J37" s="35">
        <v>2.6856658332479428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7.13</v>
      </c>
      <c r="D38" s="27">
        <f t="shared" si="2"/>
        <v>7.27</v>
      </c>
      <c r="E38" s="27">
        <f t="shared" si="3"/>
        <v>7.17</v>
      </c>
      <c r="G38" s="31">
        <v>43009</v>
      </c>
      <c r="H38" s="35">
        <v>2.5740380272108854</v>
      </c>
      <c r="I38" s="35">
        <v>2.6534093301860455</v>
      </c>
      <c r="J38" s="35">
        <v>2.6111385427512732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7.28</v>
      </c>
      <c r="D39" s="27">
        <f t="shared" si="2"/>
        <v>7.42</v>
      </c>
      <c r="E39" s="27">
        <f t="shared" si="3"/>
        <v>7.32</v>
      </c>
      <c r="G39" s="31">
        <v>43040</v>
      </c>
      <c r="H39" s="35">
        <v>2.7398543537414972</v>
      </c>
      <c r="I39" s="35">
        <v>2.7910689165539582</v>
      </c>
      <c r="J39" s="35">
        <v>2.7824995252245799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4.8600000000000003</v>
      </c>
      <c r="D40" s="27">
        <f t="shared" si="2"/>
        <v>4.9400000000000004</v>
      </c>
      <c r="E40" s="27">
        <f t="shared" si="3"/>
        <v>4.9000000000000004</v>
      </c>
      <c r="G40" s="31">
        <v>43070</v>
      </c>
      <c r="H40" s="35">
        <v>2.5383676300197497</v>
      </c>
      <c r="I40" s="35">
        <v>2.822493172147158</v>
      </c>
      <c r="J40" s="35">
        <v>2.5594079648562609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3.1439800224110743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2.2929636145389605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2.2034090358279701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Mar 30, 2018</v>
      </c>
      <c r="G44" s="31">
        <v>43191</v>
      </c>
      <c r="H44" s="35">
        <v>1.9121332653061227</v>
      </c>
      <c r="I44" s="35">
        <v>1.8212140903125191</v>
      </c>
      <c r="J44" s="35">
        <v>1.8867451788093046</v>
      </c>
      <c r="K44" s="105">
        <f t="shared" si="4"/>
        <v>2018</v>
      </c>
    </row>
    <row r="45" spans="2:11">
      <c r="G45" s="31">
        <v>43221</v>
      </c>
      <c r="H45" s="35">
        <v>1.9662148979591838</v>
      </c>
      <c r="I45" s="35">
        <v>1.7263341852907605</v>
      </c>
      <c r="J45" s="35">
        <v>1.9564244492263554</v>
      </c>
      <c r="K45" s="105">
        <f t="shared" si="4"/>
        <v>2018</v>
      </c>
    </row>
    <row r="46" spans="2:11">
      <c r="G46" s="31">
        <v>43252</v>
      </c>
      <c r="H46" s="35">
        <v>2.0631536734693876</v>
      </c>
      <c r="I46" s="35">
        <v>1.7546950264657426</v>
      </c>
      <c r="J46" s="35">
        <v>2.053770488779588</v>
      </c>
      <c r="K46" s="105">
        <f t="shared" si="4"/>
        <v>2018</v>
      </c>
    </row>
    <row r="47" spans="2:11">
      <c r="G47" s="31">
        <v>43282</v>
      </c>
      <c r="H47" s="35">
        <v>2.1437659183673468</v>
      </c>
      <c r="I47" s="35">
        <v>1.8580831838399963</v>
      </c>
      <c r="J47" s="35">
        <v>2.1219127164668512</v>
      </c>
      <c r="K47" s="105">
        <f t="shared" si="4"/>
        <v>2018</v>
      </c>
    </row>
    <row r="48" spans="2:11">
      <c r="G48" s="31">
        <v>43313</v>
      </c>
      <c r="H48" s="35">
        <v>2.1973373469387756</v>
      </c>
      <c r="I48" s="35">
        <v>1.9560569988081169</v>
      </c>
      <c r="J48" s="35">
        <v>2.1731474741264472</v>
      </c>
      <c r="K48" s="105">
        <f t="shared" si="4"/>
        <v>2018</v>
      </c>
    </row>
    <row r="49" spans="7:13">
      <c r="G49" s="31">
        <v>43344</v>
      </c>
      <c r="H49" s="35">
        <v>2.152439387755102</v>
      </c>
      <c r="I49" s="35">
        <v>1.91325791121678</v>
      </c>
      <c r="J49" s="35">
        <v>2.1306226252689822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2.07897</v>
      </c>
      <c r="I50" s="35">
        <v>1.9434235331938066</v>
      </c>
      <c r="J50" s="35">
        <v>2.054282836356184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2.1356026530612242</v>
      </c>
      <c r="I51" s="35">
        <v>2.2056324011479607</v>
      </c>
      <c r="J51" s="35">
        <v>2.0855360385285375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2.5034597959183671</v>
      </c>
      <c r="I52" s="35">
        <v>2.6360468398526464</v>
      </c>
      <c r="J52" s="35">
        <v>2.4523769033712468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2.5907046938775511</v>
      </c>
      <c r="I53" s="35">
        <v>2.530235119687076</v>
      </c>
      <c r="J53" s="35">
        <v>2.5681674556819347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2.4825414285714285</v>
      </c>
      <c r="I54" s="35">
        <v>2.3635249387439528</v>
      </c>
      <c r="J54" s="35">
        <v>2.4313706527308128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2.1927455102040816</v>
      </c>
      <c r="I55" s="35">
        <v>2.0809993954753572</v>
      </c>
      <c r="J55" s="35">
        <v>2.1710980838200635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1.782031224489796</v>
      </c>
      <c r="I56" s="35">
        <v>1.5292005565417468</v>
      </c>
      <c r="J56" s="35">
        <v>1.7484113331283946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1.7657046938775509</v>
      </c>
      <c r="I57" s="35">
        <v>1.578445289854671</v>
      </c>
      <c r="J57" s="35">
        <v>1.7243309970283842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1.7871332653061225</v>
      </c>
      <c r="I58" s="35">
        <v>1.5814360694694871</v>
      </c>
      <c r="J58" s="35">
        <v>1.7484113331283946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1.9442761224489797</v>
      </c>
      <c r="I59" s="35">
        <v>1.749899466048882</v>
      </c>
      <c r="J59" s="35">
        <v>1.9087761246029307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1.9493781632653062</v>
      </c>
      <c r="I60" s="35">
        <v>1.7467024257709747</v>
      </c>
      <c r="J60" s="35">
        <v>1.9138996003688906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1.8340720408163267</v>
      </c>
      <c r="I61" s="35">
        <v>1.7403599103809331</v>
      </c>
      <c r="J61" s="35">
        <v>1.8057942617071425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1.8361128571428573</v>
      </c>
      <c r="I62" s="35">
        <v>1.7695457942082791</v>
      </c>
      <c r="J62" s="35">
        <v>1.8155288656624655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2.1794802040816328</v>
      </c>
      <c r="I63" s="35">
        <v>2.2319306356920356</v>
      </c>
      <c r="J63" s="35">
        <v>2.13984488164771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2.3922353061224491</v>
      </c>
      <c r="I64" s="35">
        <v>2.4914581150260098</v>
      </c>
      <c r="J64" s="35">
        <v>2.3586172968541859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2.4896842857142856</v>
      </c>
      <c r="I65" s="35">
        <v>2.4320034788900924</v>
      </c>
      <c r="J65" s="35">
        <v>2.4897782764627525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2.4519291836734691</v>
      </c>
      <c r="I66" s="35">
        <v>2.3848213522080766</v>
      </c>
      <c r="J66" s="35">
        <v>2.4800436725074291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2.3279495918367346</v>
      </c>
      <c r="I67" s="35">
        <v>2.3039671722764905</v>
      </c>
      <c r="J67" s="35">
        <v>2.286376288554155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1.9646842857142859</v>
      </c>
      <c r="I68" s="35">
        <v>1.6551742565244409</v>
      </c>
      <c r="J68" s="35">
        <v>1.8754735321241933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1.8820312244897961</v>
      </c>
      <c r="I69" s="35">
        <v>1.6392921854664508</v>
      </c>
      <c r="J69" s="35">
        <v>1.8616401475561024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1.9055006122448979</v>
      </c>
      <c r="I70" s="35">
        <v>1.6630121617218907</v>
      </c>
      <c r="J70" s="35">
        <v>1.890331611845476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1.9958067346938775</v>
      </c>
      <c r="I71" s="35">
        <v>1.8019802834793042</v>
      </c>
      <c r="J71" s="35">
        <v>1.975893657137002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1.9988679591836735</v>
      </c>
      <c r="I72" s="35">
        <v>1.8115198391472527</v>
      </c>
      <c r="J72" s="35">
        <v>1.9789677425965777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1.9810108163265308</v>
      </c>
      <c r="I73" s="35">
        <v>1.8160575737352498</v>
      </c>
      <c r="J73" s="35">
        <v>1.9661590531816786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2.0544802040816328</v>
      </c>
      <c r="I74" s="35">
        <v>1.8799983792933914</v>
      </c>
      <c r="J74" s="35">
        <v>2.0348136284455376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2.2611128571428574</v>
      </c>
      <c r="I75" s="35">
        <v>2.2854037125983204</v>
      </c>
      <c r="J75" s="35">
        <v>2.2320674454349834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2.4743781632653059</v>
      </c>
      <c r="I76" s="35">
        <v>2.5512221421565631</v>
      </c>
      <c r="J76" s="35">
        <v>2.4513522082180552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2.6090720408163262</v>
      </c>
      <c r="I77" s="35">
        <v>2.5745811622515942</v>
      </c>
      <c r="J77" s="35">
        <v>2.5994206578542882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2.6116230612244897</v>
      </c>
      <c r="I78" s="35">
        <v>2.5036790593141385</v>
      </c>
      <c r="J78" s="35">
        <v>2.6122293472691873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2.5146842857142859</v>
      </c>
      <c r="I79" s="35">
        <v>2.4102429789340154</v>
      </c>
      <c r="J79" s="35">
        <v>2.5174450455989348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2.027439387755102</v>
      </c>
      <c r="I80" s="35">
        <v>1.7707833581868233</v>
      </c>
      <c r="J80" s="35">
        <v>2.0204678963008504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1.9310108163265307</v>
      </c>
      <c r="I81" s="35">
        <v>1.7442272978138855</v>
      </c>
      <c r="J81" s="35">
        <v>1.9236342043242138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1.9692761224489796</v>
      </c>
      <c r="I82" s="35">
        <v>1.7758367444325476</v>
      </c>
      <c r="J82" s="35">
        <v>1.9620602725689109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2.0401944897959181</v>
      </c>
      <c r="I83" s="35">
        <v>1.8919614977526571</v>
      </c>
      <c r="J83" s="35">
        <v>2.0332765857157495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2.0503985714285715</v>
      </c>
      <c r="I84" s="35">
        <v>1.9093905237838278</v>
      </c>
      <c r="J84" s="35">
        <v>2.043523537247669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2.0600924489795918</v>
      </c>
      <c r="I85" s="35">
        <v>1.9314088495687687</v>
      </c>
      <c r="J85" s="35">
        <v>2.053258141202992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2.1003985714285713</v>
      </c>
      <c r="I86" s="35">
        <v>2.1307082152802352</v>
      </c>
      <c r="J86" s="35">
        <v>2.0937335997540729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2.3815210204081634</v>
      </c>
      <c r="I87" s="35">
        <v>2.4973365439240967</v>
      </c>
      <c r="J87" s="35">
        <v>2.3709136386924889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2.584582244897959</v>
      </c>
      <c r="I88" s="35">
        <v>2.6735862805351687</v>
      </c>
      <c r="J88" s="35">
        <v>2.5799514499436418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2.7009087755102037</v>
      </c>
      <c r="I89" s="35">
        <v>2.6351702320345112</v>
      </c>
      <c r="J89" s="35">
        <v>2.6942049595245416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2.6856026530612245</v>
      </c>
      <c r="I90" s="35">
        <v>2.5700434276635971</v>
      </c>
      <c r="J90" s="35">
        <v>2.6942049595245416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2.6320312244897957</v>
      </c>
      <c r="I91" s="35">
        <v>2.48630159844874</v>
      </c>
      <c r="J91" s="35">
        <v>2.6378467260989855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2.1243781632653058</v>
      </c>
      <c r="I92" s="35">
        <v>1.8681383911656719</v>
      </c>
      <c r="J92" s="35">
        <v>2.1280608873860025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2.033051632653061</v>
      </c>
      <c r="I93" s="35">
        <v>1.8499358876479104</v>
      </c>
      <c r="J93" s="35">
        <v>2.044035884824265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2.0611128571428572</v>
      </c>
      <c r="I94" s="35">
        <v>1.8718510831013058</v>
      </c>
      <c r="J94" s="35">
        <v>2.0645297878881035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2.1269291836734689</v>
      </c>
      <c r="I95" s="35">
        <v>1.9950918292980468</v>
      </c>
      <c r="J95" s="35">
        <v>2.138307838917922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2.1452965306122449</v>
      </c>
      <c r="I96" s="35">
        <v>2.0188118055534869</v>
      </c>
      <c r="J96" s="35">
        <v>2.1567523516753764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2.148867959183673</v>
      </c>
      <c r="I97" s="35">
        <v>2.0359830057557939</v>
      </c>
      <c r="J97" s="35">
        <v>2.1526535710626087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2.199378163265306</v>
      </c>
      <c r="I98" s="35">
        <v>2.2327041131786256</v>
      </c>
      <c r="J98" s="35">
        <v>2.2110611947945484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2.4799904081632649</v>
      </c>
      <c r="I99" s="35">
        <v>2.4924378531756908</v>
      </c>
      <c r="J99" s="35">
        <v>2.4595497694435906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2.6636638775510204</v>
      </c>
      <c r="I100" s="35">
        <v>2.7219028408641837</v>
      </c>
      <c r="J100" s="35">
        <v>2.649118372784097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2.7697863265306122</v>
      </c>
      <c r="I101" s="35">
        <v>2.7492323787237125</v>
      </c>
      <c r="J101" s="35">
        <v>2.7531249308330774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2.7662148979591832</v>
      </c>
      <c r="I102" s="35">
        <v>2.6721424558935332</v>
      </c>
      <c r="J102" s="35">
        <v>2.7623471872118048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2.6871332653061226</v>
      </c>
      <c r="I103" s="35">
        <v>2.6057780875440741</v>
      </c>
      <c r="J103" s="35">
        <v>2.6829333128394302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2.2177455102040815</v>
      </c>
      <c r="I104" s="35">
        <v>2.0514525554876024</v>
      </c>
      <c r="J104" s="35">
        <v>2.2269439696690236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2.1340720408163265</v>
      </c>
      <c r="I105" s="35">
        <v>2.0358283102584762</v>
      </c>
      <c r="J105" s="35">
        <v>2.1454807049902653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2.1646842857142858</v>
      </c>
      <c r="I106" s="35">
        <v>2.0512978599902842</v>
      </c>
      <c r="J106" s="35">
        <v>2.1736598217030436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2.204990408163265</v>
      </c>
      <c r="I107" s="35">
        <v>2.1848516393415647</v>
      </c>
      <c r="J107" s="35">
        <v>2.2166970181371042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2.2284597959183672</v>
      </c>
      <c r="I108" s="35">
        <v>2.2124390030299566</v>
      </c>
      <c r="J108" s="35">
        <v>2.2402650066605188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2.2356026530612243</v>
      </c>
      <c r="I109" s="35">
        <v>2.2280632482590832</v>
      </c>
      <c r="J109" s="35">
        <v>2.2448761348498825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2.2947863265306121</v>
      </c>
      <c r="I110" s="35">
        <v>2.4064787218326082</v>
      </c>
      <c r="J110" s="35">
        <v>2.3068701916179934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2.5524393877551019</v>
      </c>
      <c r="I111" s="35">
        <v>2.5508611859961547</v>
      </c>
      <c r="J111" s="35">
        <v>2.5553587662670356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2.7259087755102041</v>
      </c>
      <c r="I112" s="35">
        <v>2.8073978857153126</v>
      </c>
      <c r="J112" s="35">
        <v>2.7218717286607235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2.7348883673469384</v>
      </c>
      <c r="I113" s="35">
        <v>2.8224549141209399</v>
      </c>
      <c r="J113" s="35">
        <v>2.8156313351777849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2.8464189795918369</v>
      </c>
      <c r="I114" s="35">
        <v>2.7433539498256243</v>
      </c>
      <c r="J114" s="35">
        <v>2.8228042012501282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2.6623373469387754</v>
      </c>
      <c r="I115" s="35">
        <v>2.6769380163103942</v>
      </c>
      <c r="J115" s="35">
        <v>2.743390326877754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2.1916230612244894</v>
      </c>
      <c r="I116" s="35">
        <v>2.1122994510993829</v>
      </c>
      <c r="J116" s="35">
        <v>2.277154032175428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2.809990408163265</v>
      </c>
      <c r="I117" s="35">
        <v>2.7078255506082378</v>
      </c>
      <c r="J117" s="35">
        <v>2.8242387744645971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2.8385618367346934</v>
      </c>
      <c r="I118" s="35">
        <v>2.7389193455691734</v>
      </c>
      <c r="J118" s="35">
        <v>2.8503685008709914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2.9246842857142856</v>
      </c>
      <c r="I119" s="35">
        <v>2.8890771082992606</v>
      </c>
      <c r="J119" s="35">
        <v>2.9394145096833695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2.9562148979591836</v>
      </c>
      <c r="I120" s="35">
        <v>2.9128486497204742</v>
      </c>
      <c r="J120" s="35">
        <v>2.9710775899169999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2.9597863265306121</v>
      </c>
      <c r="I121" s="35">
        <v>2.9272868961368284</v>
      </c>
      <c r="J121" s="35">
        <v>2.9721022850701919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2.9695822448979587</v>
      </c>
      <c r="I122" s="35">
        <v>3.0198463686988157</v>
      </c>
      <c r="J122" s="35">
        <v>2.9845010964238141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3.2633577551020405</v>
      </c>
      <c r="I123" s="35">
        <v>3.2687514238836153</v>
      </c>
      <c r="J123" s="35">
        <v>3.26926387949585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3.4226434693877548</v>
      </c>
      <c r="I124" s="35">
        <v>3.5403967171741724</v>
      </c>
      <c r="J124" s="35">
        <v>3.4215335792601702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3.4679495918367342</v>
      </c>
      <c r="I125" s="35">
        <v>3.5626213036222047</v>
      </c>
      <c r="J125" s="35">
        <v>3.5517723332308639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3.5034597959183671</v>
      </c>
      <c r="I126" s="35">
        <v>3.4616567090392674</v>
      </c>
      <c r="J126" s="35">
        <v>3.4826054103904092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3.2088679591836735</v>
      </c>
      <c r="I127" s="35">
        <v>3.1999119275770673</v>
      </c>
      <c r="J127" s="35">
        <v>3.2922170509273494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2.8317251020408163</v>
      </c>
      <c r="I128" s="35">
        <v>2.7197371039017306</v>
      </c>
      <c r="J128" s="35">
        <v>2.9199453017727226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3.4859087755102043</v>
      </c>
      <c r="I129" s="35">
        <v>3.3797712257922274</v>
      </c>
      <c r="J129" s="35">
        <v>3.5029968439389285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3.5123373469387755</v>
      </c>
      <c r="I130" s="35">
        <v>3.4264892659822892</v>
      </c>
      <c r="J130" s="35">
        <v>3.5269747105236195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3.6442761224489795</v>
      </c>
      <c r="I131" s="35">
        <v>3.593199446925412</v>
      </c>
      <c r="J131" s="35">
        <v>3.6620295317143152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3.6838679591836736</v>
      </c>
      <c r="I132" s="35">
        <v>3.6132067312452185</v>
      </c>
      <c r="J132" s="35">
        <v>3.7017877036581619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3.6838679591836736</v>
      </c>
      <c r="I133" s="35">
        <v>3.6265621091803464</v>
      </c>
      <c r="J133" s="35">
        <v>3.6992259657751823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3.6442761224489795</v>
      </c>
      <c r="I134" s="35">
        <v>3.6332140155650237</v>
      </c>
      <c r="J134" s="35">
        <v>3.6620295317143152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3.9742761224489791</v>
      </c>
      <c r="I135" s="35">
        <v>3.9866932269368487</v>
      </c>
      <c r="J135" s="35">
        <v>3.9831689927246643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4.1193781632653064</v>
      </c>
      <c r="I136" s="35">
        <v>4.2734471137988059</v>
      </c>
      <c r="J136" s="35">
        <v>4.1211954298596174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4.2009087755102046</v>
      </c>
      <c r="I137" s="35">
        <v>4.3027876931234692</v>
      </c>
      <c r="J137" s="35">
        <v>4.2878108617686239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4.1603985714285709</v>
      </c>
      <c r="I138" s="35">
        <v>4.1799594682529104</v>
      </c>
      <c r="J138" s="35">
        <v>4.142304150015371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3.7553985714285716</v>
      </c>
      <c r="I139" s="35">
        <v>3.7228858388437405</v>
      </c>
      <c r="J139" s="35">
        <v>3.8410437749769444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3.4719291836734691</v>
      </c>
      <c r="I140" s="35">
        <v>3.3271747567040784</v>
      </c>
      <c r="J140" s="35">
        <v>3.5627365713700176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3.5123373469387755</v>
      </c>
      <c r="I141" s="35">
        <v>3.374924100209594</v>
      </c>
      <c r="J141" s="35">
        <v>3.5295364484065992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3.5393781632653063</v>
      </c>
      <c r="I142" s="35">
        <v>3.4431448145268697</v>
      </c>
      <c r="J142" s="35">
        <v>3.5541291320832054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3.7148883673469384</v>
      </c>
      <c r="I143" s="35">
        <v>3.6750849301724529</v>
      </c>
      <c r="J143" s="35">
        <v>3.7329384363151967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3.7283577551020408</v>
      </c>
      <c r="I144" s="35">
        <v>3.668278328290457</v>
      </c>
      <c r="J144" s="35">
        <v>3.7464644123373296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3.7283577551020408</v>
      </c>
      <c r="I145" s="35">
        <v>3.6546651245264647</v>
      </c>
      <c r="J145" s="35">
        <v>3.74390267445435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3.6878475510204081</v>
      </c>
      <c r="I146" s="35">
        <v>3.6819430972202207</v>
      </c>
      <c r="J146" s="35">
        <v>3.7057840147556105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4.0524393877551015</v>
      </c>
      <c r="I147" s="35">
        <v>4.0844607812418792</v>
      </c>
      <c r="J147" s="35">
        <v>4.0616606414591656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4.2414189795918373</v>
      </c>
      <c r="I148" s="35">
        <v>4.4528938906877862</v>
      </c>
      <c r="J148" s="35">
        <v>4.2437489701813709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4.2935618367346944</v>
      </c>
      <c r="I149" s="35">
        <v>4.4455200719822887</v>
      </c>
      <c r="J149" s="35">
        <v>4.3808531816784502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4.2384597959183674</v>
      </c>
      <c r="I150" s="35">
        <v>4.2991781315193798</v>
      </c>
      <c r="J150" s="35">
        <v>4.2206933292345523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3.8520312244897958</v>
      </c>
      <c r="I151" s="35">
        <v>3.8598429191360188</v>
      </c>
      <c r="J151" s="35">
        <v>3.9381848754995392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3.6036638775510199</v>
      </c>
      <c r="I152" s="35">
        <v>3.5112108333468273</v>
      </c>
      <c r="J152" s="35">
        <v>3.6951271851624146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3.6450924489795917</v>
      </c>
      <c r="I153" s="35">
        <v>3.5321462906505414</v>
      </c>
      <c r="J153" s="35">
        <v>3.662849287836869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3.6727455102040816</v>
      </c>
      <c r="I154" s="35">
        <v>3.5042495359675137</v>
      </c>
      <c r="J154" s="35">
        <v>3.6880567886053903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3.8659087755102037</v>
      </c>
      <c r="I155" s="35">
        <v>3.7831655176320216</v>
      </c>
      <c r="J155" s="35">
        <v>3.8845933189876014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3.8796842857142857</v>
      </c>
      <c r="I156" s="35">
        <v>3.7970881123906488</v>
      </c>
      <c r="J156" s="35">
        <v>3.8984267035556921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3.8520312244897958</v>
      </c>
      <c r="I157" s="35">
        <v>3.7692429228733935</v>
      </c>
      <c r="J157" s="35">
        <v>3.8680957270212115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3.8244802040816324</v>
      </c>
      <c r="I158" s="35">
        <v>3.7970881123906488</v>
      </c>
      <c r="J158" s="35">
        <v>3.8429906957680089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4.1556026530612247</v>
      </c>
      <c r="I159" s="35">
        <v>4.250294354366865</v>
      </c>
      <c r="J159" s="35">
        <v>4.1652573214468696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4.3901944897959178</v>
      </c>
      <c r="I160" s="35">
        <v>4.6407973547634853</v>
      </c>
      <c r="J160" s="35">
        <v>4.3931495235167537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4.4446842857142856</v>
      </c>
      <c r="I161" s="35">
        <v>4.6495118677790712</v>
      </c>
      <c r="J161" s="35">
        <v>4.5326105338661753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4.360092448979592</v>
      </c>
      <c r="I162" s="35">
        <v>4.4500062414045143</v>
      </c>
      <c r="J162" s="35">
        <v>4.3428369914950302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4.0780516326530609</v>
      </c>
      <c r="I163" s="35">
        <v>4.1364384683407556</v>
      </c>
      <c r="J163" s="35">
        <v>4.1651548519315504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3.8101944897959186</v>
      </c>
      <c r="I164" s="35">
        <v>3.7089116789193399</v>
      </c>
      <c r="J164" s="35">
        <v>3.9024230146531411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3.8101944897959186</v>
      </c>
      <c r="I165" s="35">
        <v>3.7160276717959722</v>
      </c>
      <c r="J165" s="35">
        <v>3.8286449636233222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3.8383577551020407</v>
      </c>
      <c r="I166" s="35">
        <v>3.7445432084682726</v>
      </c>
      <c r="J166" s="35">
        <v>3.8543648119684399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4.0075414285714288</v>
      </c>
      <c r="I167" s="35">
        <v>4.0580594163662589</v>
      </c>
      <c r="J167" s="35">
        <v>4.0268210062506409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4.0780516326530609</v>
      </c>
      <c r="I168" s="35">
        <v>4.0936909459151911</v>
      </c>
      <c r="J168" s="35">
        <v>4.0976274413362024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4.0639700000000003</v>
      </c>
      <c r="I169" s="35">
        <v>4.0295954448597318</v>
      </c>
      <c r="J169" s="35">
        <v>4.0809249103391743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4.1485618367346939</v>
      </c>
      <c r="I170" s="35">
        <v>4.1364900335065276</v>
      </c>
      <c r="J170" s="35">
        <v>4.1684338764217648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4.3883577551020414</v>
      </c>
      <c r="I171" s="35">
        <v>4.5070373147491143</v>
      </c>
      <c r="J171" s="35">
        <v>4.3989902858899477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4.7972353061224489</v>
      </c>
      <c r="I172" s="35">
        <v>5.0201107141874308</v>
      </c>
      <c r="J172" s="35">
        <v>4.8019004201250137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4.6724393877551016</v>
      </c>
      <c r="I173" s="35">
        <v>4.9842213588096351</v>
      </c>
      <c r="J173" s="35">
        <v>4.7613224920586132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4.658051632653061</v>
      </c>
      <c r="I174" s="35">
        <v>4.8166861352141481</v>
      </c>
      <c r="J174" s="35">
        <v>4.6420479762270723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4.4130516326530609</v>
      </c>
      <c r="I175" s="35">
        <v>4.5399358905120941</v>
      </c>
      <c r="J175" s="35">
        <v>4.5014598012091405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4.1247863265306126</v>
      </c>
      <c r="I176" s="35">
        <v>4.1029726757542759</v>
      </c>
      <c r="J176" s="35">
        <v>4.2184389998975309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4.1247863265306126</v>
      </c>
      <c r="I177" s="35">
        <v>4.1175656176679487</v>
      </c>
      <c r="J177" s="35">
        <v>4.1445584793523924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4.2400924489795919</v>
      </c>
      <c r="I178" s="35">
        <v>4.2049685736526676</v>
      </c>
      <c r="J178" s="35">
        <v>4.2577872937801002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4.5139700000000005</v>
      </c>
      <c r="I179" s="35">
        <v>4.5982045278352386</v>
      </c>
      <c r="J179" s="35">
        <v>4.5353772107797932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4.6003985714285713</v>
      </c>
      <c r="I180" s="35">
        <v>4.6418802232447121</v>
      </c>
      <c r="J180" s="35">
        <v>4.622168890255149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4.4563169387755099</v>
      </c>
      <c r="I181" s="35">
        <v>4.4889379415628987</v>
      </c>
      <c r="J181" s="35">
        <v>4.4749201967414693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4.5283577551020411</v>
      </c>
      <c r="I182" s="35">
        <v>4.5909338394612895</v>
      </c>
      <c r="J182" s="35">
        <v>4.549825412439799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4.8165210204081639</v>
      </c>
      <c r="I183" s="35">
        <v>5.0206263658451578</v>
      </c>
      <c r="J183" s="35">
        <v>4.8289523721692795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5.2057046938775509</v>
      </c>
      <c r="I184" s="35">
        <v>5.5158066527603484</v>
      </c>
      <c r="J184" s="35">
        <v>5.2120858899477405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5.1289699999999998</v>
      </c>
      <c r="I185" s="35">
        <v>5.4950258909539524</v>
      </c>
      <c r="J185" s="35">
        <v>5.2197711035966803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5.055296530612245</v>
      </c>
      <c r="I186" s="35">
        <v>5.2792256721952242</v>
      </c>
      <c r="J186" s="35">
        <v>5.0410642688800085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4.8049904081632651</v>
      </c>
      <c r="I187" s="35">
        <v>4.9294075875932597</v>
      </c>
      <c r="J187" s="35">
        <v>4.8950452095501591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4.5250924489795912</v>
      </c>
      <c r="I188" s="35">
        <v>4.5348825042663705</v>
      </c>
      <c r="J188" s="35">
        <v>4.6204269084947232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4.5397863265306126</v>
      </c>
      <c r="I189" s="35">
        <v>4.5572102210459473</v>
      </c>
      <c r="J189" s="35">
        <v>4.5613019981555496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4.6134597959183665</v>
      </c>
      <c r="I190" s="35">
        <v>4.61676798751341</v>
      </c>
      <c r="J190" s="35">
        <v>4.6327232503330258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4.9964189795918363</v>
      </c>
      <c r="I191" s="35">
        <v>5.1005523727928352</v>
      </c>
      <c r="J191" s="35">
        <v>5.0198530792089358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5.0406026530612245</v>
      </c>
      <c r="I192" s="35">
        <v>5.1452593715177617</v>
      </c>
      <c r="J192" s="35">
        <v>5.0642223793421453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4.9817251020408158</v>
      </c>
      <c r="I193" s="35">
        <v>5.0261438385828363</v>
      </c>
      <c r="J193" s="35">
        <v>5.0025357311199921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5.0111128571428569</v>
      </c>
      <c r="I194" s="35">
        <v>5.0633738882707213</v>
      </c>
      <c r="J194" s="35">
        <v>5.0346086894148998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5.4088679591836737</v>
      </c>
      <c r="I195" s="35">
        <v>5.5248305567705698</v>
      </c>
      <c r="J195" s="35">
        <v>5.4237879085971921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5.6739700000000006</v>
      </c>
      <c r="I196" s="35">
        <v>5.9193040749316861</v>
      </c>
      <c r="J196" s="35">
        <v>5.6823184957475155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5.6880516326530612</v>
      </c>
      <c r="I197" s="35">
        <v>5.9289467609311819</v>
      </c>
      <c r="J197" s="35">
        <v>5.7812015780305357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5.5226434693877549</v>
      </c>
      <c r="I198" s="35">
        <v>5.7085572424186832</v>
      </c>
      <c r="J198" s="35">
        <v>5.5102721795265914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4.8309087755102045</v>
      </c>
      <c r="I199" s="35">
        <v>4.9410613150578895</v>
      </c>
      <c r="J199" s="35">
        <v>4.9210724664412338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4.545194489795918</v>
      </c>
      <c r="I200" s="35">
        <v>4.4850705541299458</v>
      </c>
      <c r="J200" s="35">
        <v>4.6406134030126047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4.545194489795918</v>
      </c>
      <c r="I201" s="35">
        <v>4.492702198664305</v>
      </c>
      <c r="J201" s="35">
        <v>4.5667328824674653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4.6052965306122449</v>
      </c>
      <c r="I202" s="35">
        <v>4.5154940019358358</v>
      </c>
      <c r="J202" s="35">
        <v>4.6245256891074904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4.800806734693877</v>
      </c>
      <c r="I203" s="35">
        <v>4.8574741813403506</v>
      </c>
      <c r="J203" s="35">
        <v>4.8234190183420438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4.9211128571428571</v>
      </c>
      <c r="I204" s="35">
        <v>4.9334296705235303</v>
      </c>
      <c r="J204" s="35">
        <v>4.9442305769033714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4.9061128571428574</v>
      </c>
      <c r="I205" s="35">
        <v>4.9106378672519995</v>
      </c>
      <c r="J205" s="35">
        <v>4.9266058202684704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4.9662148979591842</v>
      </c>
      <c r="I206" s="35">
        <v>4.9790132770665929</v>
      </c>
      <c r="J206" s="35">
        <v>4.9895221026744547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5.2068271428571427</v>
      </c>
      <c r="I207" s="35">
        <v>5.3665770630141694</v>
      </c>
      <c r="J207" s="35">
        <v>5.2208982682651914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5.5978475510204087</v>
      </c>
      <c r="I208" s="35">
        <v>5.9061549576596502</v>
      </c>
      <c r="J208" s="35">
        <v>5.6058762373193973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5.5621332653061222</v>
      </c>
      <c r="I209" s="35">
        <v>5.8278274708509263</v>
      </c>
      <c r="J209" s="35">
        <v>5.6547541961266532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5.3932557142857149</v>
      </c>
      <c r="I210" s="35">
        <v>5.5872759725213044</v>
      </c>
      <c r="J210" s="35">
        <v>5.3803408341018555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5.2242761224489795</v>
      </c>
      <c r="I211" s="35">
        <v>5.3312033592940997</v>
      </c>
      <c r="J211" s="35">
        <v>5.3161949175120409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4.9479495918367347</v>
      </c>
      <c r="I212" s="35">
        <v>4.9122363873909531</v>
      </c>
      <c r="J212" s="35">
        <v>5.0450605799774566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4.9479495918367347</v>
      </c>
      <c r="I213" s="35">
        <v>4.92002272742263</v>
      </c>
      <c r="J213" s="35">
        <v>4.971180059432319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5.0246842857142857</v>
      </c>
      <c r="I214" s="35">
        <v>4.9897903967130857</v>
      </c>
      <c r="J214" s="35">
        <v>5.0456753970693722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5.3164189795918366</v>
      </c>
      <c r="I215" s="35">
        <v>5.3932878188844251</v>
      </c>
      <c r="J215" s="35">
        <v>5.3411974792499235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5.4545822448979591</v>
      </c>
      <c r="I216" s="35">
        <v>5.4864145082699123</v>
      </c>
      <c r="J216" s="35">
        <v>5.4799412029921104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5.4392761224489794</v>
      </c>
      <c r="I217" s="35">
        <v>5.4475859384430727</v>
      </c>
      <c r="J217" s="35">
        <v>5.4620090378112511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5.4852965306122448</v>
      </c>
      <c r="I218" s="35">
        <v>5.5407126278285608</v>
      </c>
      <c r="J218" s="35">
        <v>5.510784527103187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5.7310108163265303</v>
      </c>
      <c r="I219" s="35">
        <v>5.8976467053071557</v>
      </c>
      <c r="J219" s="35">
        <v>5.7472841684598839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6.1762148979591833</v>
      </c>
      <c r="I220" s="35">
        <v>6.4329446911935033</v>
      </c>
      <c r="J220" s="35">
        <v>6.1866734501485814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6.1493781632653057</v>
      </c>
      <c r="I221" s="35">
        <v>6.4089153239434262</v>
      </c>
      <c r="J221" s="35">
        <v>6.2445687263039247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6.0553985714285714</v>
      </c>
      <c r="I222" s="35">
        <v>6.2267355932684954</v>
      </c>
      <c r="J222" s="35">
        <v>6.0452655190080957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5.5067251020408161</v>
      </c>
      <c r="I223" s="35">
        <v>5.6484838242934936</v>
      </c>
      <c r="J223" s="35">
        <v>5.5997280664002469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5.1775414285714287</v>
      </c>
      <c r="I224" s="35">
        <v>5.1810455965640125</v>
      </c>
      <c r="J224" s="35">
        <v>5.2755145199303213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5.1461128571428567</v>
      </c>
      <c r="I225" s="35">
        <v>5.1493845847795772</v>
      </c>
      <c r="J225" s="35">
        <v>5.1701758581821915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5.2244802040816332</v>
      </c>
      <c r="I226" s="35">
        <v>5.212758173514219</v>
      </c>
      <c r="J226" s="35">
        <v>5.2463107080643514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5.5537659183673469</v>
      </c>
      <c r="I227" s="35">
        <v>5.66431433018571</v>
      </c>
      <c r="J227" s="35">
        <v>5.5795415718823653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5.6791740816326532</v>
      </c>
      <c r="I228" s="35">
        <v>5.7514078951757925</v>
      </c>
      <c r="J228" s="35">
        <v>5.7054766062096531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5.6008067346938768</v>
      </c>
      <c r="I229" s="35">
        <v>5.6326017532355035</v>
      </c>
      <c r="J229" s="35">
        <v>5.6242182805615331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5.6321332653061225</v>
      </c>
      <c r="I230" s="35">
        <v>5.6801448360779272</v>
      </c>
      <c r="J230" s="35">
        <v>5.6582381596475058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5.9770312244897958</v>
      </c>
      <c r="I231" s="35">
        <v>6.1237599572204227</v>
      </c>
      <c r="J231" s="35">
        <v>5.9943381698944567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6.353255714285714</v>
      </c>
      <c r="I232" s="35">
        <v>6.6386897026265563</v>
      </c>
      <c r="J232" s="35">
        <v>6.3644580592273803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6.3108067346938777</v>
      </c>
      <c r="I233" s="35">
        <v>6.5995001766393075</v>
      </c>
      <c r="J233" s="35">
        <v>6.4065730300235684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6.2468271428571436</v>
      </c>
      <c r="I234" s="35">
        <v>6.4215487895577379</v>
      </c>
      <c r="J234" s="35">
        <v>6.2374983297469004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5.4144802040816327</v>
      </c>
      <c r="I235" s="35">
        <v>5.5156519572630298</v>
      </c>
      <c r="J235" s="35">
        <v>5.5071980940670153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5.0783577551020409</v>
      </c>
      <c r="I236" s="35">
        <v>5.0061365542630307</v>
      </c>
      <c r="J236" s="35">
        <v>5.1760166205553855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5.0624393877551022</v>
      </c>
      <c r="I237" s="35">
        <v>5.0141807201235711</v>
      </c>
      <c r="J237" s="35">
        <v>5.0861508556204535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5.1264189795918362</v>
      </c>
      <c r="I238" s="35">
        <v>5.0627551062814495</v>
      </c>
      <c r="J238" s="35">
        <v>5.1478375038426076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5.4465210204081638</v>
      </c>
      <c r="I239" s="35">
        <v>5.4833205983235507</v>
      </c>
      <c r="J239" s="35">
        <v>5.4718461112818941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5.5745822448979592</v>
      </c>
      <c r="I240" s="35">
        <v>5.5722705092814486</v>
      </c>
      <c r="J240" s="35">
        <v>5.6004453530074807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5.4945822448979591</v>
      </c>
      <c r="I241" s="35">
        <v>5.4509892393840707</v>
      </c>
      <c r="J241" s="35">
        <v>5.5175475151142539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5.526521020408163</v>
      </c>
      <c r="I242" s="35">
        <v>5.4833205983235498</v>
      </c>
      <c r="J242" s="35">
        <v>5.5521822112921413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5.8626434693877556</v>
      </c>
      <c r="I243" s="35">
        <v>5.9605046423840706</v>
      </c>
      <c r="J243" s="35">
        <v>5.8794698432216421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6.2147863265306116</v>
      </c>
      <c r="I244" s="35">
        <v>6.4862630726024708</v>
      </c>
      <c r="J244" s="35">
        <v>6.225406926939236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6.1984597959183674</v>
      </c>
      <c r="I245" s="35">
        <v>6.4318618227122766</v>
      </c>
      <c r="J245" s="35">
        <v>6.293754093657137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6.1821332653061223</v>
      </c>
      <c r="I246" s="35">
        <v>6.3162527210498949</v>
      </c>
      <c r="J246" s="35">
        <v>6.1725326570345329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5.7082557142857144</v>
      </c>
      <c r="I247" s="35">
        <v>5.7712604839982795</v>
      </c>
      <c r="J247" s="35">
        <v>5.802105359155652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5.4140720408163263</v>
      </c>
      <c r="I248" s="35">
        <v>5.3666286281799414</v>
      </c>
      <c r="J248" s="35">
        <v>5.5131413259555284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5.4303985714285714</v>
      </c>
      <c r="I249" s="35">
        <v>5.32527336523024</v>
      </c>
      <c r="J249" s="35">
        <v>5.4556559278614616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5.4303985714285714</v>
      </c>
      <c r="I250" s="35">
        <v>5.32527336523024</v>
      </c>
      <c r="J250" s="35">
        <v>5.4530941899784819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5.6428475510204077</v>
      </c>
      <c r="I251" s="35">
        <v>5.6803510967410178</v>
      </c>
      <c r="J251" s="35">
        <v>5.6689974587560199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5.8062148979591841</v>
      </c>
      <c r="I252" s="35">
        <v>5.7629584923088757</v>
      </c>
      <c r="J252" s="35">
        <v>5.8330511527820477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5.7082557142857144</v>
      </c>
      <c r="I253" s="35">
        <v>5.6225981110756003</v>
      </c>
      <c r="J253" s="35">
        <v>5.7321186801926434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5.7572353061224488</v>
      </c>
      <c r="I254" s="35">
        <v>5.6308485375992312</v>
      </c>
      <c r="J254" s="35">
        <v>5.7838657854288353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6.0186638775510204</v>
      </c>
      <c r="I255" s="35">
        <v>6.0602316729884631</v>
      </c>
      <c r="J255" s="35">
        <v>6.0361457321446874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6.3291740816326527</v>
      </c>
      <c r="I256" s="35">
        <v>6.5392204978510273</v>
      </c>
      <c r="J256" s="35">
        <v>6.3402752536120506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6.2453985714285718</v>
      </c>
      <c r="I257" s="35">
        <v>6.4397512930754992</v>
      </c>
      <c r="J257" s="35">
        <v>6.3408900707039662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6.2453985714285718</v>
      </c>
      <c r="I258" s="35">
        <v>6.3638989342238643</v>
      </c>
      <c r="J258" s="35">
        <v>6.2361662260477519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5.5279495918367347</v>
      </c>
      <c r="I259" s="35">
        <v>5.5291620306954776</v>
      </c>
      <c r="J259" s="35">
        <v>5.6211441951019578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5.2610108163265306</v>
      </c>
      <c r="I260" s="35">
        <v>5.1835207245211006</v>
      </c>
      <c r="J260" s="35">
        <v>5.3594370529767392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5.2443781632653064</v>
      </c>
      <c r="I261" s="35">
        <v>5.1329352968980881</v>
      </c>
      <c r="J261" s="35">
        <v>5.2688540014345735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5.2610108163265306</v>
      </c>
      <c r="I262" s="35">
        <v>5.1666589153134304</v>
      </c>
      <c r="J262" s="35">
        <v>5.282994794548622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5.6615210204081636</v>
      </c>
      <c r="I263" s="35">
        <v>5.6472462603149491</v>
      </c>
      <c r="J263" s="35">
        <v>5.687749380059433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5.7616230612244896</v>
      </c>
      <c r="I264" s="35">
        <v>5.7400119935400262</v>
      </c>
      <c r="J264" s="35">
        <v>5.7882719745875608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5.6447863265306122</v>
      </c>
      <c r="I265" s="35">
        <v>5.6219277639205547</v>
      </c>
      <c r="J265" s="35">
        <v>5.6683826416641061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5.7115210204081635</v>
      </c>
      <c r="I266" s="35">
        <v>5.6809698787302896</v>
      </c>
      <c r="J266" s="35">
        <v>5.7379594425658373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6.0619291836734694</v>
      </c>
      <c r="I267" s="35">
        <v>6.1278336053164661</v>
      </c>
      <c r="J267" s="35">
        <v>6.0795928066400258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6.395602653061224</v>
      </c>
      <c r="I268" s="35">
        <v>6.6253343246914289</v>
      </c>
      <c r="J268" s="35">
        <v>6.4069829080848448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6.4216230612244898</v>
      </c>
      <c r="I269" s="35">
        <v>6.628170408808927</v>
      </c>
      <c r="J269" s="35">
        <v>6.5178549236602112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6.4045822448979592</v>
      </c>
      <c r="I270" s="35">
        <v>6.5335483296160302</v>
      </c>
      <c r="J270" s="35">
        <v>6.3959162004303725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5.8599904081632657</v>
      </c>
      <c r="I271" s="35">
        <v>5.8885712361311615</v>
      </c>
      <c r="J271" s="35">
        <v>5.95457999795061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5.6558067346938774</v>
      </c>
      <c r="I272" s="35">
        <v>5.5961451810342071</v>
      </c>
      <c r="J272" s="35">
        <v>5.7558916077466957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5.6387659183673469</v>
      </c>
      <c r="I273" s="35">
        <v>5.5875337983501669</v>
      </c>
      <c r="J273" s="35">
        <v>5.6648986781432527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5.6898883673469385</v>
      </c>
      <c r="I274" s="35">
        <v>5.630539146604594</v>
      </c>
      <c r="J274" s="35">
        <v>5.7136741674351885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5.9962148979591836</v>
      </c>
      <c r="I275" s="35">
        <v>6.0605926291488723</v>
      </c>
      <c r="J275" s="35">
        <v>6.0238493903063848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6.1323373469387752</v>
      </c>
      <c r="I276" s="35">
        <v>6.180945726062343</v>
      </c>
      <c r="J276" s="35">
        <v>6.1605437237421876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5.9962148979591836</v>
      </c>
      <c r="I277" s="35">
        <v>6.0433182986150191</v>
      </c>
      <c r="J277" s="35">
        <v>6.0212876524234042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6.0642761224489794</v>
      </c>
      <c r="I278" s="35">
        <v>6.0605410639830994</v>
      </c>
      <c r="J278" s="35">
        <v>6.0921965570242858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6.4045822448979592</v>
      </c>
      <c r="I279" s="35">
        <v>6.4991543640456442</v>
      </c>
      <c r="J279" s="35">
        <v>6.4236854390818738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6.7960108163265307</v>
      </c>
      <c r="I280" s="35">
        <v>7.1097374919601268</v>
      </c>
      <c r="J280" s="35">
        <v>6.8090732861973571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6.7585618367346942</v>
      </c>
      <c r="I281" s="35">
        <v>7.031977221974901</v>
      </c>
      <c r="J281" s="35">
        <v>6.8562092632441853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6.7585618367346942</v>
      </c>
      <c r="I282" s="35">
        <v>6.9004344840887573</v>
      </c>
      <c r="J282" s="35">
        <v>6.7513829490726511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6.2378475510204083</v>
      </c>
      <c r="I283" s="35">
        <v>6.2863964900675038</v>
      </c>
      <c r="J283" s="35">
        <v>6.333922143662261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6.0642761224489794</v>
      </c>
      <c r="I284" s="35">
        <v>6.0319739621450266</v>
      </c>
      <c r="J284" s="35">
        <v>6.1660770775694234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6.0294802040816329</v>
      </c>
      <c r="I285" s="35">
        <v>6.005675727600952</v>
      </c>
      <c r="J285" s="35">
        <v>6.057254452300441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6.0816230612244899</v>
      </c>
      <c r="I286" s="35">
        <v>6.0758559182175897</v>
      </c>
      <c r="J286" s="35">
        <v>6.1070546367455689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6.4808067346938776</v>
      </c>
      <c r="I287" s="35">
        <v>6.5583511743526977</v>
      </c>
      <c r="J287" s="35">
        <v>6.5104771185572297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6.5329495918367346</v>
      </c>
      <c r="I288" s="35">
        <v>6.6284797998035625</v>
      </c>
      <c r="J288" s="35">
        <v>6.5628390408853372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6.4114189795918364</v>
      </c>
      <c r="I289" s="35">
        <v>6.4881709837360599</v>
      </c>
      <c r="J289" s="35">
        <v>6.4382361102571988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6.4982557142857145</v>
      </c>
      <c r="I290" s="35">
        <v>6.5144692182801336</v>
      </c>
      <c r="J290" s="35">
        <v>6.5279994056768116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6.8627455102040811</v>
      </c>
      <c r="I291" s="35">
        <v>6.9881468310681107</v>
      </c>
      <c r="J291" s="35">
        <v>6.8837735628650485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7.262031224489796</v>
      </c>
      <c r="I292" s="35">
        <v>7.5758865905452897</v>
      </c>
      <c r="J292" s="35">
        <v>7.2770515626601089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7.2127455102040816</v>
      </c>
      <c r="I293" s="35">
        <v>7.529890462676045</v>
      </c>
      <c r="J293" s="35">
        <v>7.312301075929911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7.2303985714285712</v>
      </c>
      <c r="I294" s="35">
        <v>7.3599316762892428</v>
      </c>
      <c r="J294" s="35">
        <v>7.2252019879085978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6.380500612244898</v>
      </c>
      <c r="I295" s="35">
        <v>6.4472798072783117</v>
      </c>
      <c r="J295" s="35">
        <v>6.4772769955938116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6.1502965306122448</v>
      </c>
      <c r="I296" s="35">
        <v>6.1699107805869859</v>
      </c>
      <c r="J296" s="35">
        <v>6.2524588789835027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6.1680516326530608</v>
      </c>
      <c r="I297" s="35">
        <v>6.2325108918350391</v>
      </c>
      <c r="J297" s="35">
        <v>6.1964080541039044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6.2388679591836729</v>
      </c>
      <c r="I298" s="35">
        <v>6.2682971168812891</v>
      </c>
      <c r="J298" s="35">
        <v>6.2649601598524445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6.6992761224489792</v>
      </c>
      <c r="I299" s="35">
        <v>6.7425419464927643</v>
      </c>
      <c r="J299" s="35">
        <v>6.7298643508556211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6.8231536734693883</v>
      </c>
      <c r="I300" s="35">
        <v>6.9304454105684652</v>
      </c>
      <c r="J300" s="35">
        <v>6.8542623424531204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6.6107046938775502</v>
      </c>
      <c r="I301" s="35">
        <v>6.7604350590158893</v>
      </c>
      <c r="J301" s="35">
        <v>6.6383590736755815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6.6815210204081632</v>
      </c>
      <c r="I302" s="35">
        <v>6.7962212840621392</v>
      </c>
      <c r="J302" s="35">
        <v>6.7120346551900809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7.1241740816326535</v>
      </c>
      <c r="I303" s="35">
        <v>7.2525730011504912</v>
      </c>
      <c r="J303" s="35">
        <v>7.1463004611128191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7.5136638775510205</v>
      </c>
      <c r="I304" s="35">
        <v>7.834124940734946</v>
      </c>
      <c r="J304" s="35">
        <v>7.5297413874372383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7.4474393877551019</v>
      </c>
      <c r="I305" s="35">
        <v>7.7802393425024805</v>
      </c>
      <c r="J305" s="35">
        <v>7.5480834306793732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7.4835618367346939</v>
      </c>
      <c r="I306" s="35">
        <v>7.6342067930342079</v>
      </c>
      <c r="J306" s="35">
        <v>7.4795313249308331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6.8695822448979591</v>
      </c>
      <c r="I307" s="35">
        <v>6.9954175194420607</v>
      </c>
      <c r="J307" s="35">
        <v>6.968310913003382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6.5625414285714276</v>
      </c>
      <c r="I308" s="35">
        <v>6.6120820770878463</v>
      </c>
      <c r="J308" s="35">
        <v>6.6664357208730403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6.5625414285714276</v>
      </c>
      <c r="I309" s="35">
        <v>6.6120820770878455</v>
      </c>
      <c r="J309" s="35">
        <v>6.5925552003279027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6.6347863265306115</v>
      </c>
      <c r="I310" s="35">
        <v>6.6029550427460784</v>
      </c>
      <c r="J310" s="35">
        <v>6.6625418792909112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7.1585618367346937</v>
      </c>
      <c r="I311" s="35">
        <v>7.2601015153533046</v>
      </c>
      <c r="J311" s="35">
        <v>7.1910796393073069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7.2127455102040816</v>
      </c>
      <c r="I312" s="35">
        <v>7.3513718587709764</v>
      </c>
      <c r="J312" s="35">
        <v>7.2454909519417976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7.0682557142857139</v>
      </c>
      <c r="I313" s="35">
        <v>7.2235933779862371</v>
      </c>
      <c r="J313" s="35">
        <v>7.0978323803668415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7.0501944897959188</v>
      </c>
      <c r="I314" s="35">
        <v>7.1779582062774008</v>
      </c>
      <c r="J314" s="35">
        <v>7.0822570140383236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7.5919291836734697</v>
      </c>
      <c r="I315" s="35">
        <v>7.734604170793645</v>
      </c>
      <c r="J315" s="35">
        <v>7.6160207193359977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7.8628475510204083</v>
      </c>
      <c r="I316" s="35">
        <v>8.2639721626161347</v>
      </c>
      <c r="J316" s="35">
        <v>7.880392068859515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7.6040720408163267</v>
      </c>
      <c r="I317" s="35">
        <v>7.9430305708468776</v>
      </c>
      <c r="J317" s="35">
        <v>7.705374136694334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7.6410108163265305</v>
      </c>
      <c r="I318" s="35">
        <v>7.7939041114322443</v>
      </c>
      <c r="J318" s="35">
        <v>7.6375393175530286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7.0140720408163268</v>
      </c>
      <c r="I319" s="35">
        <v>7.1416047644076519</v>
      </c>
      <c r="J319" s="35">
        <v>7.1134077466953585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6.7006026530612246</v>
      </c>
      <c r="I320" s="35">
        <v>6.7502251561928963</v>
      </c>
      <c r="J320" s="35">
        <v>6.8050769750999081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6.7006026530612246</v>
      </c>
      <c r="I321" s="35">
        <v>6.7502767213586692</v>
      </c>
      <c r="J321" s="35">
        <v>6.7311964545547704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6.7743781632653057</v>
      </c>
      <c r="I322" s="35">
        <v>6.7409949915195835</v>
      </c>
      <c r="J322" s="35">
        <v>6.8027201762475666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7.3090720408163259</v>
      </c>
      <c r="I323" s="35">
        <v>7.4118577982223472</v>
      </c>
      <c r="J323" s="35">
        <v>7.3422221744031155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7.3643781632653056</v>
      </c>
      <c r="I324" s="35">
        <v>7.5050360527736064</v>
      </c>
      <c r="J324" s="35">
        <v>7.3977606517061183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7.2169291836734688</v>
      </c>
      <c r="I325" s="35">
        <v>7.3745761833686885</v>
      </c>
      <c r="J325" s="35">
        <v>7.2471304641869043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7.1984597959183674</v>
      </c>
      <c r="I326" s="35">
        <v>7.3279612735101711</v>
      </c>
      <c r="J326" s="35">
        <v>7.2311452197971109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7.7516230612244899</v>
      </c>
      <c r="I327" s="35">
        <v>7.8963640958225891</v>
      </c>
      <c r="J327" s="35">
        <v>7.7763855108105346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8.0282557142857147</v>
      </c>
      <c r="I328" s="35">
        <v>8.436870163451978</v>
      </c>
      <c r="J328" s="35">
        <v>8.0464951531919269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7.764072040816326</v>
      </c>
      <c r="I329" s="35">
        <v>8.1091219698007286</v>
      </c>
      <c r="J329" s="35">
        <v>7.8659438671995083</v>
      </c>
      <c r="K329" s="105">
        <f t="shared" ref="K329:K340" si="12">YEAR(G329)</f>
        <v>2042</v>
      </c>
    </row>
    <row r="330" spans="7:13">
      <c r="G330" s="31">
        <v>51898</v>
      </c>
      <c r="H330" s="35">
        <v>7.801725102040816</v>
      </c>
      <c r="I330" s="35">
        <v>7.9569016004397337</v>
      </c>
      <c r="J330" s="35">
        <v>7.7989288041807567</v>
      </c>
      <c r="K330" s="105">
        <f t="shared" si="12"/>
        <v>2042</v>
      </c>
    </row>
    <row r="331" spans="7:13">
      <c r="G331" s="31">
        <v>51926</v>
      </c>
      <c r="H331" s="35">
        <v>7.16162306122449</v>
      </c>
      <c r="I331" s="35">
        <v>7.2909374844853767</v>
      </c>
      <c r="J331" s="35">
        <v>7.261578665846911</v>
      </c>
      <c r="K331" s="105">
        <f t="shared" si="12"/>
        <v>2042</v>
      </c>
    </row>
    <row r="332" spans="7:13">
      <c r="G332" s="31">
        <v>51957</v>
      </c>
      <c r="H332" s="35">
        <v>6.8415210204081633</v>
      </c>
      <c r="I332" s="35">
        <v>6.8913590149127621</v>
      </c>
      <c r="J332" s="35">
        <v>6.9465873757557137</v>
      </c>
      <c r="K332" s="105">
        <f t="shared" si="12"/>
        <v>2042</v>
      </c>
    </row>
    <row r="333" spans="7:13">
      <c r="G333" s="31">
        <v>51987</v>
      </c>
      <c r="H333" s="35">
        <v>6.8415210204081633</v>
      </c>
      <c r="I333" s="35">
        <v>6.8913590149127621</v>
      </c>
      <c r="J333" s="35">
        <v>6.8727068552105761</v>
      </c>
      <c r="K333" s="105">
        <f t="shared" si="12"/>
        <v>2042</v>
      </c>
    </row>
    <row r="334" spans="7:13">
      <c r="G334" s="31">
        <v>52018</v>
      </c>
      <c r="H334" s="35">
        <v>6.9168271428571435</v>
      </c>
      <c r="I334" s="35">
        <v>6.8818710244105867</v>
      </c>
      <c r="J334" s="35">
        <v>6.9457676196331599</v>
      </c>
      <c r="K334" s="105">
        <f t="shared" si="12"/>
        <v>2042</v>
      </c>
    </row>
    <row r="335" spans="7:13">
      <c r="G335" s="31">
        <v>52048</v>
      </c>
      <c r="H335" s="35">
        <v>7.4628475510204089</v>
      </c>
      <c r="I335" s="35">
        <v>7.5668626865350683</v>
      </c>
      <c r="J335" s="35">
        <v>7.4966437339891385</v>
      </c>
      <c r="K335" s="105">
        <f t="shared" si="12"/>
        <v>2042</v>
      </c>
    </row>
    <row r="336" spans="7:13">
      <c r="G336" s="31">
        <v>52079</v>
      </c>
      <c r="H336" s="35">
        <v>7.5192761224489795</v>
      </c>
      <c r="I336" s="35">
        <v>7.6619488522199175</v>
      </c>
      <c r="J336" s="35">
        <v>7.5533093759606516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view="pageBreakPreview" topLeftCell="A2" zoomScale="60" zoomScaleNormal="70" workbookViewId="0">
      <selection activeCell="B48" sqref="B48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Utah 2018.Q1 - 100.0 MW and 85.0% CF</v>
      </c>
      <c r="C4" s="84"/>
      <c r="D4" s="84"/>
      <c r="E4" s="84"/>
      <c r="F4" s="84"/>
      <c r="G4" s="84"/>
      <c r="M4" s="57" t="s">
        <v>181</v>
      </c>
      <c r="P4" s="108" t="s">
        <v>107</v>
      </c>
      <c r="Q4" s="108" t="s">
        <v>108</v>
      </c>
      <c r="R4" s="108" t="s">
        <v>109</v>
      </c>
    </row>
    <row r="5" spans="1:18">
      <c r="B5" s="84" t="str">
        <f>TEXT($K$5,"MMMM YYYY")&amp;"  through  "&amp;TEXT($K$6,"MMMM YYYY")</f>
        <v>January 2018  through  December 2037</v>
      </c>
      <c r="C5" s="84"/>
      <c r="D5" s="84"/>
      <c r="E5" s="84"/>
      <c r="F5" s="84"/>
      <c r="G5" s="84"/>
      <c r="J5" s="56" t="s">
        <v>40</v>
      </c>
      <c r="K5" s="211">
        <f>MIN(K13:K24)</f>
        <v>43101</v>
      </c>
      <c r="M5" s="56" t="s">
        <v>41</v>
      </c>
      <c r="O5" s="3" t="s">
        <v>101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EDATE(K5,239)</f>
        <v>50375</v>
      </c>
      <c r="M6" s="57">
        <v>100</v>
      </c>
      <c r="N6" s="56" t="s">
        <v>34</v>
      </c>
      <c r="O6" s="5" t="s">
        <v>102</v>
      </c>
      <c r="P6">
        <f>P5+179</f>
        <v>192</v>
      </c>
      <c r="Q6" s="56">
        <f>P6+12</f>
        <v>204</v>
      </c>
      <c r="R6" s="56">
        <f>Q6+5*12</f>
        <v>264</v>
      </c>
    </row>
    <row r="7" spans="1:18">
      <c r="A7" s="108" t="str">
        <f>"15 Year Starting "&amp;YEAR($K$5)+1</f>
        <v>15 Year Starting 2019</v>
      </c>
      <c r="B7" s="191"/>
      <c r="C7" s="58">
        <f ca="1">NPV($K$9,INDIRECT("C"&amp;$Q$5&amp;":C"&amp;$Q$6))</f>
        <v>167667310.35333696</v>
      </c>
      <c r="D7" s="58">
        <f ca="1">NPV($K$9,INDIRECT("d"&amp;$Q$5&amp;":d"&amp;$Q$6))</f>
        <v>0</v>
      </c>
      <c r="E7" s="58">
        <f ca="1">NPV($K$9,INDIRECT("e"&amp;$Q$5&amp;":e"&amp;$Q$6))</f>
        <v>167667310.35333696</v>
      </c>
      <c r="F7" s="58">
        <f ca="1">NPV($K$9,INDIRECT("f"&amp;$Q$5&amp;":f"&amp;$Q$6))</f>
        <v>7038138.3064450938</v>
      </c>
      <c r="G7" s="92">
        <f ca="1">($C7+D7)/$F7</f>
        <v>23.822679102483331</v>
      </c>
      <c r="M7" s="112">
        <f ca="1">SUM(OFFSET(F12,MATCH(K5,B13:B24,0),0,12))/(EDATE(K5,12)-K5)/24/Study_MW</f>
        <v>0.85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</v>
      </c>
    </row>
    <row r="9" spans="1:18">
      <c r="A9" s="108" t="str">
        <f>"15 Year Starting "&amp;YEAR($K$5)</f>
        <v>15 Year Starting 2018</v>
      </c>
      <c r="C9" s="58">
        <f ca="1">NPV($K$9,INDIRECT("C"&amp;$P$5&amp;":C"&amp;$P$6))</f>
        <v>157507212.34243798</v>
      </c>
      <c r="D9" s="58">
        <f ca="1">NPV($K$9,INDIRECT("d"&amp;$P$5&amp;":d"&amp;$P$6))</f>
        <v>0</v>
      </c>
      <c r="E9" s="58">
        <f ca="1">NPV($K$9,INDIRECT("e"&amp;$P$5&amp;":e"&amp;$P$6))</f>
        <v>157507212.34243798</v>
      </c>
      <c r="F9" s="58">
        <f ca="1">NPV($K$9,INDIRECT("f"&amp;$P$5&amp;":f"&amp;$P$6))</f>
        <v>7037796.813531992</v>
      </c>
      <c r="G9" s="92">
        <f ca="1">($C9+D9)/$F9</f>
        <v>22.380187509760081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 t="str">
        <f>"20 Year Starting "&amp;YEAR($K$5)+1</f>
        <v>20 Year Starting 2019</v>
      </c>
      <c r="C10" s="58">
        <f ca="1">NPV($K$9,INDIRECT("C"&amp;$R$5&amp;":C"&amp;$R$6))</f>
        <v>223568712.7456179</v>
      </c>
      <c r="D10" s="58">
        <f ca="1">NPV($K$9,INDIRECT("d"&amp;$R$5&amp;":d"&amp;$R$6))</f>
        <v>0</v>
      </c>
      <c r="E10" s="58">
        <f ca="1">NPV($K$9,INDIRECT("e"&amp;$R$5&amp;":e"&amp;$R$6))</f>
        <v>223568712.7456179</v>
      </c>
      <c r="F10" s="58">
        <f ca="1">NPV($K$9,INDIRECT("f"&amp;$R$5&amp;":f"&amp;$R$6))</f>
        <v>8197076.1973983468</v>
      </c>
      <c r="G10" s="92">
        <f ca="1">($C10+D10)/$F10</f>
        <v>27.274202088858942</v>
      </c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85.0% CF</v>
      </c>
      <c r="E12" s="66" t="s">
        <v>52</v>
      </c>
      <c r="F12" s="67" t="s">
        <v>48</v>
      </c>
      <c r="G12" s="65" t="str">
        <f>D12</f>
        <v>85.0%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86</v>
      </c>
      <c r="R12" s="56" t="s">
        <v>87</v>
      </c>
    </row>
    <row r="13" spans="1:18">
      <c r="B13" s="74">
        <v>43101</v>
      </c>
      <c r="C13" s="69">
        <v>1138309.0364633799</v>
      </c>
      <c r="D13" s="70">
        <f>IF(ISNUMBER($F13),VLOOKUP($J13,'Table 1'!$B$13:$C$33,2,FALSE)/12*1000*Study_MW,"")</f>
        <v>0</v>
      </c>
      <c r="E13" s="71">
        <f>IF(ISNUMBER(C13+D13),C13+D13,"")</f>
        <v>1138309.0364633799</v>
      </c>
      <c r="F13" s="69">
        <v>63240</v>
      </c>
      <c r="G13" s="72">
        <f>IF(ISNUMBER($F13),E13/$F13,"")</f>
        <v>17.999826636043323</v>
      </c>
      <c r="I13" s="60">
        <v>1</v>
      </c>
      <c r="J13" s="73">
        <f>YEAR(B13)</f>
        <v>2018</v>
      </c>
      <c r="K13" s="74">
        <f t="shared" ref="K13:K24" si="0">IF(ISNUMBER(F13),B13,"")</f>
        <v>43101</v>
      </c>
      <c r="L13" s="56">
        <v>276</v>
      </c>
      <c r="M13" s="56" t="s">
        <v>51</v>
      </c>
    </row>
    <row r="14" spans="1:18">
      <c r="B14" s="78">
        <f t="shared" ref="B14:B77" si="1">EDATE(B13,1)</f>
        <v>43132</v>
      </c>
      <c r="C14" s="75">
        <v>829516.13951440156</v>
      </c>
      <c r="D14" s="71">
        <f>IF(ISNUMBER($F14),VLOOKUP($J14,'Table 1'!$B$13:$C$33,2,FALSE)/12*1000*Study_MW,"")</f>
        <v>0</v>
      </c>
      <c r="E14" s="71">
        <f t="shared" ref="E14:E23" si="2">IF(ISNUMBER(C14+D14),C14+D14,"")</f>
        <v>829516.13951440156</v>
      </c>
      <c r="F14" s="75">
        <v>57120</v>
      </c>
      <c r="G14" s="76">
        <f t="shared" ref="G14:G77" si="3">IF(ISNUMBER($F14),E14/$F14,"")</f>
        <v>14.522341378053248</v>
      </c>
      <c r="I14" s="77">
        <f>I13+1</f>
        <v>2</v>
      </c>
      <c r="J14" s="73">
        <f t="shared" ref="J14:J77" si="4">YEAR(B14)</f>
        <v>2018</v>
      </c>
      <c r="K14" s="78">
        <f t="shared" si="0"/>
        <v>43132</v>
      </c>
      <c r="L14" s="56">
        <v>364</v>
      </c>
      <c r="M14" s="91" t="s">
        <v>182</v>
      </c>
    </row>
    <row r="15" spans="1:18">
      <c r="B15" s="78">
        <f t="shared" si="1"/>
        <v>43160</v>
      </c>
      <c r="C15" s="75">
        <v>903330.00941172242</v>
      </c>
      <c r="D15" s="71">
        <f>IF(ISNUMBER($F15),VLOOKUP($J15,'Table 1'!$B$13:$C$33,2,FALSE)/12*1000*Study_MW,"")</f>
        <v>0</v>
      </c>
      <c r="E15" s="71">
        <f t="shared" si="2"/>
        <v>903330.00941172242</v>
      </c>
      <c r="F15" s="75">
        <v>63240</v>
      </c>
      <c r="G15" s="76">
        <f t="shared" si="3"/>
        <v>14.284155746548425</v>
      </c>
      <c r="I15" s="77">
        <f t="shared" ref="I15:I24" si="5">I14+1</f>
        <v>3</v>
      </c>
      <c r="J15" s="73">
        <f t="shared" si="4"/>
        <v>2018</v>
      </c>
      <c r="K15" s="78">
        <f t="shared" si="0"/>
        <v>43160</v>
      </c>
    </row>
    <row r="16" spans="1:18">
      <c r="B16" s="78">
        <f t="shared" si="1"/>
        <v>43191</v>
      </c>
      <c r="C16" s="75">
        <v>792406.55419240892</v>
      </c>
      <c r="D16" s="71">
        <f>IF(ISNUMBER($F16),VLOOKUP($J16,'Table 1'!$B$13:$C$33,2,FALSE)/12*1000*Study_MW,"")</f>
        <v>0</v>
      </c>
      <c r="E16" s="71">
        <f t="shared" si="2"/>
        <v>792406.55419240892</v>
      </c>
      <c r="F16" s="75">
        <v>61200</v>
      </c>
      <c r="G16" s="76">
        <f t="shared" si="3"/>
        <v>12.947819512947857</v>
      </c>
      <c r="I16" s="77">
        <f t="shared" si="5"/>
        <v>4</v>
      </c>
      <c r="J16" s="73">
        <f t="shared" si="4"/>
        <v>2018</v>
      </c>
      <c r="K16" s="78">
        <f t="shared" si="0"/>
        <v>43191</v>
      </c>
      <c r="L16" s="73">
        <f>YEAR(B13)</f>
        <v>2018</v>
      </c>
      <c r="M16" s="56">
        <f>SUMIF($J$13:$J$264,L16,$C$13:$C$264)</f>
        <v>11981736.734589279</v>
      </c>
      <c r="N16" s="56">
        <f>SUMIF($J$13:$J$264,L16,$D$13:$D$264)</f>
        <v>0</v>
      </c>
      <c r="O16" s="56">
        <f t="shared" ref="O16:O25" si="6">SUMIF($J$13:$J$264,L16,$F$13:$F$264)</f>
        <v>744600</v>
      </c>
      <c r="P16" s="118">
        <f t="shared" ref="P16:P25" si="7">(M16+N16)/O16</f>
        <v>16.09150783587064</v>
      </c>
      <c r="Q16" s="181">
        <f>M16/O16</f>
        <v>16.09150783587064</v>
      </c>
      <c r="R16" s="181">
        <f>IFERROR(N16/O16,0)</f>
        <v>0</v>
      </c>
    </row>
    <row r="17" spans="2:18">
      <c r="B17" s="78">
        <f t="shared" si="1"/>
        <v>43221</v>
      </c>
      <c r="C17" s="75">
        <v>813490.71070230007</v>
      </c>
      <c r="D17" s="71">
        <f>IF(ISNUMBER($F17),VLOOKUP($J17,'Table 1'!$B$13:$C$33,2,FALSE)/12*1000*Study_MW,"")</f>
        <v>0</v>
      </c>
      <c r="E17" s="71">
        <f t="shared" si="2"/>
        <v>813490.71070230007</v>
      </c>
      <c r="F17" s="75">
        <v>63240</v>
      </c>
      <c r="G17" s="76">
        <f t="shared" si="3"/>
        <v>12.863546975052182</v>
      </c>
      <c r="I17" s="77">
        <f t="shared" si="5"/>
        <v>5</v>
      </c>
      <c r="J17" s="73">
        <f t="shared" si="4"/>
        <v>2018</v>
      </c>
      <c r="K17" s="78">
        <f t="shared" si="0"/>
        <v>43221</v>
      </c>
      <c r="L17" s="73">
        <f>L16+1</f>
        <v>2019</v>
      </c>
      <c r="M17" s="56">
        <f>SUMIF($J$13:$J$264,L17,$C$13:$C$264)</f>
        <v>12487681.755285606</v>
      </c>
      <c r="N17" s="56">
        <f t="shared" ref="N17:N36" si="8">SUMIF($J$13:$J$264,L17,$D$13:$D$264)</f>
        <v>0</v>
      </c>
      <c r="O17" s="56">
        <f t="shared" si="6"/>
        <v>744600</v>
      </c>
      <c r="P17" s="118">
        <f t="shared" si="7"/>
        <v>16.770993493534256</v>
      </c>
      <c r="Q17" s="181">
        <f t="shared" ref="Q17:Q33" si="9">M17/O17</f>
        <v>16.770993493534256</v>
      </c>
      <c r="R17" s="181">
        <f t="shared" ref="R17:R33" si="10">IFERROR(N17/O17,0)</f>
        <v>0</v>
      </c>
    </row>
    <row r="18" spans="2:18">
      <c r="B18" s="78">
        <f t="shared" si="1"/>
        <v>43252</v>
      </c>
      <c r="C18" s="75">
        <v>769266.74745026231</v>
      </c>
      <c r="D18" s="71">
        <f>IF(ISNUMBER($F18),VLOOKUP($J18,'Table 1'!$B$13:$C$33,2,FALSE)/12*1000*Study_MW,"")</f>
        <v>0</v>
      </c>
      <c r="E18" s="71">
        <f t="shared" si="2"/>
        <v>769266.74745026231</v>
      </c>
      <c r="F18" s="75">
        <v>61200</v>
      </c>
      <c r="G18" s="76">
        <f t="shared" si="3"/>
        <v>12.569718095592521</v>
      </c>
      <c r="I18" s="77">
        <f t="shared" si="5"/>
        <v>6</v>
      </c>
      <c r="J18" s="73">
        <f t="shared" si="4"/>
        <v>2018</v>
      </c>
      <c r="K18" s="78">
        <f t="shared" si="0"/>
        <v>43252</v>
      </c>
      <c r="L18" s="73">
        <f t="shared" ref="L18:L36" si="11">L17+1</f>
        <v>2020</v>
      </c>
      <c r="M18" s="56">
        <f t="shared" ref="M18:M36" si="12">SUMIF($J$13:$J$264,L18,$C$13:$C$264)</f>
        <v>12286712.987727731</v>
      </c>
      <c r="N18" s="56">
        <f t="shared" si="8"/>
        <v>0</v>
      </c>
      <c r="O18" s="56">
        <f t="shared" si="6"/>
        <v>746640</v>
      </c>
      <c r="P18" s="118">
        <f t="shared" si="7"/>
        <v>16.456006894524446</v>
      </c>
      <c r="Q18" s="181">
        <f t="shared" si="9"/>
        <v>16.456006894524446</v>
      </c>
      <c r="R18" s="181">
        <f t="shared" si="10"/>
        <v>0</v>
      </c>
    </row>
    <row r="19" spans="2:18">
      <c r="B19" s="78">
        <f t="shared" si="1"/>
        <v>43282</v>
      </c>
      <c r="C19" s="75">
        <v>1296411.9803061485</v>
      </c>
      <c r="D19" s="71">
        <f>IF(ISNUMBER($F19),VLOOKUP($J19,'Table 1'!$B$13:$C$33,2,FALSE)/12*1000*Study_MW,"")</f>
        <v>0</v>
      </c>
      <c r="E19" s="71">
        <f t="shared" si="2"/>
        <v>1296411.9803061485</v>
      </c>
      <c r="F19" s="75">
        <v>63240</v>
      </c>
      <c r="G19" s="76">
        <f t="shared" si="3"/>
        <v>20.499873186371737</v>
      </c>
      <c r="I19" s="77">
        <f t="shared" si="5"/>
        <v>7</v>
      </c>
      <c r="J19" s="73">
        <f t="shared" si="4"/>
        <v>2018</v>
      </c>
      <c r="K19" s="78">
        <f t="shared" si="0"/>
        <v>43282</v>
      </c>
      <c r="L19" s="73">
        <f t="shared" si="11"/>
        <v>2021</v>
      </c>
      <c r="M19" s="56">
        <f t="shared" si="12"/>
        <v>12472729.861426711</v>
      </c>
      <c r="N19" s="56">
        <f t="shared" si="8"/>
        <v>0</v>
      </c>
      <c r="O19" s="56">
        <f t="shared" si="6"/>
        <v>744600</v>
      </c>
      <c r="P19" s="118">
        <f t="shared" si="7"/>
        <v>16.750913055904796</v>
      </c>
      <c r="Q19" s="181">
        <f t="shared" si="9"/>
        <v>16.750913055904796</v>
      </c>
      <c r="R19" s="181">
        <f t="shared" si="10"/>
        <v>0</v>
      </c>
    </row>
    <row r="20" spans="2:18">
      <c r="B20" s="78">
        <f t="shared" si="1"/>
        <v>43313</v>
      </c>
      <c r="C20" s="75">
        <v>1461747.0715189576</v>
      </c>
      <c r="D20" s="71">
        <f>IF(ISNUMBER($F20),VLOOKUP($J20,'Table 1'!$B$13:$C$33,2,FALSE)/12*1000*Study_MW,"")</f>
        <v>0</v>
      </c>
      <c r="E20" s="71">
        <f t="shared" si="2"/>
        <v>1461747.0715189576</v>
      </c>
      <c r="F20" s="75">
        <v>63240</v>
      </c>
      <c r="G20" s="76">
        <f t="shared" si="3"/>
        <v>23.114280068294711</v>
      </c>
      <c r="I20" s="77">
        <f t="shared" si="5"/>
        <v>8</v>
      </c>
      <c r="J20" s="73">
        <f t="shared" si="4"/>
        <v>2018</v>
      </c>
      <c r="K20" s="78">
        <f t="shared" si="0"/>
        <v>43313</v>
      </c>
      <c r="L20" s="73">
        <f t="shared" si="11"/>
        <v>2022</v>
      </c>
      <c r="M20" s="56">
        <f t="shared" si="12"/>
        <v>12560799.050282121</v>
      </c>
      <c r="N20" s="56">
        <f t="shared" si="8"/>
        <v>0</v>
      </c>
      <c r="O20" s="56">
        <f t="shared" si="6"/>
        <v>744600</v>
      </c>
      <c r="P20" s="118">
        <f t="shared" si="7"/>
        <v>16.869190236747411</v>
      </c>
      <c r="Q20" s="181">
        <f t="shared" si="9"/>
        <v>16.869190236747411</v>
      </c>
      <c r="R20" s="181">
        <f t="shared" si="10"/>
        <v>0</v>
      </c>
    </row>
    <row r="21" spans="2:18">
      <c r="B21" s="78">
        <f t="shared" si="1"/>
        <v>43344</v>
      </c>
      <c r="C21" s="75">
        <v>1032157.0458311886</v>
      </c>
      <c r="D21" s="71">
        <f>IF(ISNUMBER($F21),VLOOKUP($J21,'Table 1'!$B$13:$C$33,2,FALSE)/12*1000*Study_MW,"")</f>
        <v>0</v>
      </c>
      <c r="E21" s="71">
        <f t="shared" si="2"/>
        <v>1032157.0458311886</v>
      </c>
      <c r="F21" s="75">
        <v>61200</v>
      </c>
      <c r="G21" s="76">
        <f t="shared" si="3"/>
        <v>16.865311206391969</v>
      </c>
      <c r="I21" s="77">
        <f t="shared" si="5"/>
        <v>9</v>
      </c>
      <c r="J21" s="73">
        <f t="shared" si="4"/>
        <v>2018</v>
      </c>
      <c r="K21" s="78">
        <f t="shared" si="0"/>
        <v>43344</v>
      </c>
      <c r="L21" s="73">
        <f t="shared" si="11"/>
        <v>2023</v>
      </c>
      <c r="M21" s="56">
        <f t="shared" si="12"/>
        <v>13118986.04759568</v>
      </c>
      <c r="N21" s="56">
        <f t="shared" si="8"/>
        <v>0</v>
      </c>
      <c r="O21" s="56">
        <f t="shared" si="6"/>
        <v>744600</v>
      </c>
      <c r="P21" s="118">
        <f t="shared" si="7"/>
        <v>17.618837023362449</v>
      </c>
      <c r="Q21" s="181">
        <f t="shared" si="9"/>
        <v>17.618837023362449</v>
      </c>
      <c r="R21" s="181">
        <f t="shared" si="10"/>
        <v>0</v>
      </c>
    </row>
    <row r="22" spans="2:18">
      <c r="B22" s="78">
        <f t="shared" si="1"/>
        <v>43374</v>
      </c>
      <c r="C22" s="75">
        <v>980050.20751751959</v>
      </c>
      <c r="D22" s="71">
        <f>IF(ISNUMBER($F22),VLOOKUP($J22,'Table 1'!$B$13:$C$33,2,FALSE)/12*1000*Study_MW,"")</f>
        <v>0</v>
      </c>
      <c r="E22" s="71">
        <f t="shared" si="2"/>
        <v>980050.20751751959</v>
      </c>
      <c r="F22" s="75">
        <v>63240</v>
      </c>
      <c r="G22" s="76">
        <f t="shared" si="3"/>
        <v>15.497315109385193</v>
      </c>
      <c r="I22" s="77">
        <f t="shared" si="5"/>
        <v>10</v>
      </c>
      <c r="J22" s="73">
        <f t="shared" si="4"/>
        <v>2018</v>
      </c>
      <c r="K22" s="78">
        <f t="shared" si="0"/>
        <v>43374</v>
      </c>
      <c r="L22" s="73">
        <f t="shared" si="11"/>
        <v>2024</v>
      </c>
      <c r="M22" s="56">
        <f t="shared" si="12"/>
        <v>14708131.055620164</v>
      </c>
      <c r="N22" s="56">
        <f t="shared" si="8"/>
        <v>0</v>
      </c>
      <c r="O22" s="56">
        <f t="shared" si="6"/>
        <v>746640</v>
      </c>
      <c r="P22" s="118">
        <f t="shared" si="7"/>
        <v>19.699093345682208</v>
      </c>
      <c r="Q22" s="181">
        <f t="shared" si="9"/>
        <v>19.699093345682208</v>
      </c>
      <c r="R22" s="181">
        <f t="shared" si="10"/>
        <v>0</v>
      </c>
    </row>
    <row r="23" spans="2:18">
      <c r="B23" s="78">
        <f t="shared" si="1"/>
        <v>43405</v>
      </c>
      <c r="C23" s="75">
        <v>842928.87067615986</v>
      </c>
      <c r="D23" s="71">
        <f>IF(F23&lt;&gt;0,VLOOKUP($J23,'Table 1'!$B$13:$C$33,2,FALSE)/12*1000*Study_MW,0)</f>
        <v>0</v>
      </c>
      <c r="E23" s="71">
        <f t="shared" si="2"/>
        <v>842928.87067615986</v>
      </c>
      <c r="F23" s="75">
        <v>61200</v>
      </c>
      <c r="G23" s="76">
        <f t="shared" si="3"/>
        <v>13.773347560067972</v>
      </c>
      <c r="I23" s="77">
        <f t="shared" si="5"/>
        <v>11</v>
      </c>
      <c r="J23" s="73">
        <f t="shared" si="4"/>
        <v>2018</v>
      </c>
      <c r="K23" s="78">
        <f t="shared" si="0"/>
        <v>43405</v>
      </c>
      <c r="L23" s="73">
        <f t="shared" si="11"/>
        <v>2025</v>
      </c>
      <c r="M23" s="56">
        <f t="shared" si="12"/>
        <v>17714619.630032584</v>
      </c>
      <c r="N23" s="56">
        <f t="shared" si="8"/>
        <v>0</v>
      </c>
      <c r="O23" s="56">
        <f t="shared" si="6"/>
        <v>744600</v>
      </c>
      <c r="P23" s="118">
        <f t="shared" si="7"/>
        <v>23.790786502864066</v>
      </c>
      <c r="Q23" s="181">
        <f t="shared" si="9"/>
        <v>23.790786502864066</v>
      </c>
      <c r="R23" s="181">
        <f t="shared" si="10"/>
        <v>0</v>
      </c>
    </row>
    <row r="24" spans="2:18">
      <c r="B24" s="82">
        <f t="shared" si="1"/>
        <v>43435</v>
      </c>
      <c r="C24" s="79">
        <v>1122122.3610048294</v>
      </c>
      <c r="D24" s="80">
        <f>IF(F24&lt;&gt;0,VLOOKUP($J24,'Table 1'!$B$13:$C$33,2,FALSE)/12*1000*Study_MW,0)</f>
        <v>0</v>
      </c>
      <c r="E24" s="80">
        <f t="shared" ref="E24" si="13">IF(ISNUMBER(C24+D24),C24+D24,"")</f>
        <v>1122122.3610048294</v>
      </c>
      <c r="F24" s="79">
        <v>63240</v>
      </c>
      <c r="G24" s="81">
        <f t="shared" ref="G24" si="14">IF(ISNUMBER($F24),E24/$F24,"")</f>
        <v>17.743870351120009</v>
      </c>
      <c r="I24" s="64">
        <f t="shared" si="5"/>
        <v>12</v>
      </c>
      <c r="J24" s="73">
        <f t="shared" si="4"/>
        <v>2018</v>
      </c>
      <c r="K24" s="82">
        <f t="shared" si="0"/>
        <v>43435</v>
      </c>
      <c r="L24" s="73">
        <f t="shared" si="11"/>
        <v>2026</v>
      </c>
      <c r="M24" s="56">
        <f t="shared" si="12"/>
        <v>18339915.928631708</v>
      </c>
      <c r="N24" s="56">
        <f t="shared" si="8"/>
        <v>0</v>
      </c>
      <c r="O24" s="56">
        <f t="shared" si="6"/>
        <v>744600</v>
      </c>
      <c r="P24" s="118">
        <f t="shared" si="7"/>
        <v>24.630561279387198</v>
      </c>
      <c r="Q24" s="181">
        <f t="shared" si="9"/>
        <v>24.630561279387198</v>
      </c>
      <c r="R24" s="181">
        <f t="shared" si="10"/>
        <v>0</v>
      </c>
    </row>
    <row r="25" spans="2:18">
      <c r="B25" s="74">
        <f t="shared" si="1"/>
        <v>43466</v>
      </c>
      <c r="C25" s="69">
        <v>1136715.1646639705</v>
      </c>
      <c r="D25" s="70">
        <f>IF(F25&lt;&gt;0,VLOOKUP($J25,'Table 1'!$B$13:$C$33,2,FALSE)/12*1000*Study_MW,0)</f>
        <v>0</v>
      </c>
      <c r="E25" s="70">
        <f t="shared" ref="E25:E77" si="15">C25+D25</f>
        <v>1136715.1646639705</v>
      </c>
      <c r="F25" s="69">
        <v>63240</v>
      </c>
      <c r="G25" s="72">
        <f t="shared" si="3"/>
        <v>17.974623097153234</v>
      </c>
      <c r="I25" s="60">
        <f>I13+13</f>
        <v>14</v>
      </c>
      <c r="J25" s="73">
        <f t="shared" si="4"/>
        <v>2019</v>
      </c>
      <c r="K25" s="74">
        <f>IF(ISNUMBER(F25),IF(F25&lt;&gt;0,B25,""),"")</f>
        <v>43466</v>
      </c>
      <c r="L25" s="73">
        <f t="shared" si="11"/>
        <v>2027</v>
      </c>
      <c r="M25" s="56">
        <f t="shared" si="12"/>
        <v>18829432.67134355</v>
      </c>
      <c r="N25" s="56">
        <f t="shared" si="8"/>
        <v>0</v>
      </c>
      <c r="O25" s="56">
        <f t="shared" si="6"/>
        <v>744600</v>
      </c>
      <c r="P25" s="118">
        <f t="shared" si="7"/>
        <v>25.287983711178551</v>
      </c>
      <c r="Q25" s="181">
        <f t="shared" si="9"/>
        <v>25.287983711178551</v>
      </c>
      <c r="R25" s="181">
        <f t="shared" si="10"/>
        <v>0</v>
      </c>
    </row>
    <row r="26" spans="2:18">
      <c r="B26" s="78">
        <f t="shared" si="1"/>
        <v>43497</v>
      </c>
      <c r="C26" s="75">
        <v>1050990.5685358793</v>
      </c>
      <c r="D26" s="71">
        <f>IF(F26&lt;&gt;0,VLOOKUP($J26,'Table 1'!$B$13:$C$33,2,FALSE)/12*1000*Study_MW,0)</f>
        <v>0</v>
      </c>
      <c r="E26" s="71">
        <f t="shared" si="15"/>
        <v>1050990.5685358793</v>
      </c>
      <c r="F26" s="75">
        <v>57120</v>
      </c>
      <c r="G26" s="76">
        <f t="shared" si="3"/>
        <v>18.39969482730881</v>
      </c>
      <c r="I26" s="77">
        <f t="shared" ref="I26:I89" si="16">I14+13</f>
        <v>15</v>
      </c>
      <c r="J26" s="73">
        <f t="shared" si="4"/>
        <v>2019</v>
      </c>
      <c r="K26" s="78">
        <f t="shared" ref="K26:K89" si="17">IF(ISNUMBER(F26),IF(F26&lt;&gt;0,B26,""),"")</f>
        <v>43497</v>
      </c>
      <c r="L26" s="73">
        <f t="shared" si="11"/>
        <v>2028</v>
      </c>
      <c r="M26" s="56">
        <f t="shared" si="12"/>
        <v>21498689.117995873</v>
      </c>
      <c r="N26" s="56">
        <f t="shared" si="8"/>
        <v>0</v>
      </c>
      <c r="O26" s="56">
        <f>SUMIF($J$13:$J$264,L26,$F$13:$F$264)</f>
        <v>746640</v>
      </c>
      <c r="P26" s="118">
        <f>(M26+N26)/O26</f>
        <v>28.793915565728962</v>
      </c>
      <c r="Q26" s="181">
        <f t="shared" si="9"/>
        <v>28.793915565728962</v>
      </c>
      <c r="R26" s="181">
        <f t="shared" si="10"/>
        <v>0</v>
      </c>
    </row>
    <row r="27" spans="2:18">
      <c r="B27" s="78">
        <f t="shared" si="1"/>
        <v>43525</v>
      </c>
      <c r="C27" s="75">
        <v>1011637.3276803643</v>
      </c>
      <c r="D27" s="71">
        <f>IF(F27&lt;&gt;0,VLOOKUP($J27,'Table 1'!$B$13:$C$33,2,FALSE)/12*1000*Study_MW,0)</f>
        <v>0</v>
      </c>
      <c r="E27" s="71">
        <f t="shared" si="15"/>
        <v>1011637.3276803643</v>
      </c>
      <c r="F27" s="75">
        <v>63240</v>
      </c>
      <c r="G27" s="76">
        <f t="shared" si="3"/>
        <v>15.996795187861547</v>
      </c>
      <c r="I27" s="77">
        <f t="shared" si="16"/>
        <v>16</v>
      </c>
      <c r="J27" s="73">
        <f t="shared" si="4"/>
        <v>2019</v>
      </c>
      <c r="K27" s="78">
        <f t="shared" si="17"/>
        <v>43525</v>
      </c>
      <c r="L27" s="73">
        <f t="shared" si="11"/>
        <v>2029</v>
      </c>
      <c r="M27" s="56">
        <f t="shared" si="12"/>
        <v>23919393.71629028</v>
      </c>
      <c r="N27" s="56">
        <f t="shared" si="8"/>
        <v>0</v>
      </c>
      <c r="O27" s="56">
        <f t="shared" ref="O27:O31" si="18">SUMIF($J$13:$J$264,L27,$F$13:$F$264)</f>
        <v>744600</v>
      </c>
      <c r="P27" s="118">
        <f t="shared" ref="P27:P31" si="19">(M27+N27)/O27</f>
        <v>32.123816433374003</v>
      </c>
      <c r="Q27" s="181">
        <f t="shared" si="9"/>
        <v>32.123816433374003</v>
      </c>
      <c r="R27" s="181">
        <f t="shared" si="10"/>
        <v>0</v>
      </c>
    </row>
    <row r="28" spans="2:18">
      <c r="B28" s="78">
        <f t="shared" si="1"/>
        <v>43556</v>
      </c>
      <c r="C28" s="75">
        <v>753451.17672248185</v>
      </c>
      <c r="D28" s="71">
        <f>IF(F28&lt;&gt;0,VLOOKUP($J28,'Table 1'!$B$13:$C$33,2,FALSE)/12*1000*Study_MW,0)</f>
        <v>0</v>
      </c>
      <c r="E28" s="71">
        <f t="shared" si="15"/>
        <v>753451.17672248185</v>
      </c>
      <c r="F28" s="75">
        <v>61200</v>
      </c>
      <c r="G28" s="76">
        <f t="shared" si="3"/>
        <v>12.311293737295456</v>
      </c>
      <c r="I28" s="77">
        <f t="shared" si="16"/>
        <v>17</v>
      </c>
      <c r="J28" s="73">
        <f t="shared" si="4"/>
        <v>2019</v>
      </c>
      <c r="K28" s="78">
        <f t="shared" si="17"/>
        <v>43556</v>
      </c>
      <c r="L28" s="73">
        <f t="shared" si="11"/>
        <v>2030</v>
      </c>
      <c r="M28" s="56">
        <f t="shared" si="12"/>
        <v>26562393.045853332</v>
      </c>
      <c r="N28" s="56">
        <f t="shared" si="8"/>
        <v>0</v>
      </c>
      <c r="O28" s="56">
        <f t="shared" si="18"/>
        <v>744600</v>
      </c>
      <c r="P28" s="118">
        <f t="shared" si="19"/>
        <v>35.673372342000178</v>
      </c>
      <c r="Q28" s="181">
        <f t="shared" si="9"/>
        <v>35.673372342000178</v>
      </c>
      <c r="R28" s="181">
        <f t="shared" si="10"/>
        <v>0</v>
      </c>
    </row>
    <row r="29" spans="2:18">
      <c r="B29" s="78">
        <f t="shared" si="1"/>
        <v>43586</v>
      </c>
      <c r="C29" s="75">
        <v>904476.91309131682</v>
      </c>
      <c r="D29" s="71">
        <f>IF(F29&lt;&gt;0,VLOOKUP($J29,'Table 1'!$B$13:$C$33,2,FALSE)/12*1000*Study_MW,0)</f>
        <v>0</v>
      </c>
      <c r="E29" s="71">
        <f t="shared" si="15"/>
        <v>904476.91309131682</v>
      </c>
      <c r="F29" s="75">
        <v>63240</v>
      </c>
      <c r="G29" s="76">
        <f t="shared" si="3"/>
        <v>14.302291478357319</v>
      </c>
      <c r="I29" s="77">
        <f t="shared" si="16"/>
        <v>18</v>
      </c>
      <c r="J29" s="73">
        <f t="shared" si="4"/>
        <v>2019</v>
      </c>
      <c r="K29" s="78">
        <f t="shared" si="17"/>
        <v>43586</v>
      </c>
      <c r="L29" s="73">
        <f t="shared" si="11"/>
        <v>2031</v>
      </c>
      <c r="M29" s="56">
        <f t="shared" si="12"/>
        <v>27750631.808159515</v>
      </c>
      <c r="N29" s="56">
        <f t="shared" si="8"/>
        <v>0</v>
      </c>
      <c r="O29" s="56">
        <f t="shared" si="18"/>
        <v>744600</v>
      </c>
      <c r="P29" s="118">
        <f t="shared" si="19"/>
        <v>37.269180510555351</v>
      </c>
      <c r="Q29" s="181">
        <f t="shared" si="9"/>
        <v>37.269180510555351</v>
      </c>
      <c r="R29" s="181">
        <f t="shared" si="10"/>
        <v>0</v>
      </c>
    </row>
    <row r="30" spans="2:18">
      <c r="B30" s="78">
        <f t="shared" si="1"/>
        <v>43617</v>
      </c>
      <c r="C30" s="75">
        <v>917442.85403311253</v>
      </c>
      <c r="D30" s="71">
        <f>IF(F30&lt;&gt;0,VLOOKUP($J30,'Table 1'!$B$13:$C$33,2,FALSE)/12*1000*Study_MW,0)</f>
        <v>0</v>
      </c>
      <c r="E30" s="71">
        <f t="shared" si="15"/>
        <v>917442.85403311253</v>
      </c>
      <c r="F30" s="75">
        <v>61200</v>
      </c>
      <c r="G30" s="76">
        <f t="shared" si="3"/>
        <v>14.990896307730598</v>
      </c>
      <c r="I30" s="77">
        <f t="shared" si="16"/>
        <v>19</v>
      </c>
      <c r="J30" s="73">
        <f t="shared" si="4"/>
        <v>2019</v>
      </c>
      <c r="K30" s="78">
        <f t="shared" si="17"/>
        <v>43617</v>
      </c>
      <c r="L30" s="73">
        <f t="shared" si="11"/>
        <v>2032</v>
      </c>
      <c r="M30" s="56">
        <f t="shared" si="12"/>
        <v>29840679.705604598</v>
      </c>
      <c r="N30" s="56">
        <f t="shared" si="8"/>
        <v>0</v>
      </c>
      <c r="O30" s="56">
        <f t="shared" si="18"/>
        <v>746640</v>
      </c>
      <c r="P30" s="118">
        <f t="shared" si="19"/>
        <v>39.966623413699502</v>
      </c>
      <c r="Q30" s="181">
        <f t="shared" si="9"/>
        <v>39.966623413699502</v>
      </c>
      <c r="R30" s="181">
        <f t="shared" si="10"/>
        <v>0</v>
      </c>
    </row>
    <row r="31" spans="2:18">
      <c r="B31" s="78">
        <f t="shared" si="1"/>
        <v>43647</v>
      </c>
      <c r="C31" s="75">
        <v>1261447.516341269</v>
      </c>
      <c r="D31" s="71">
        <f>IF(F31&lt;&gt;0,VLOOKUP($J31,'Table 1'!$B$13:$C$33,2,FALSE)/12*1000*Study_MW,0)</f>
        <v>0</v>
      </c>
      <c r="E31" s="71">
        <f t="shared" si="15"/>
        <v>1261447.516341269</v>
      </c>
      <c r="F31" s="75">
        <v>63240</v>
      </c>
      <c r="G31" s="76">
        <f t="shared" si="3"/>
        <v>19.946987924434993</v>
      </c>
      <c r="I31" s="77">
        <f t="shared" si="16"/>
        <v>20</v>
      </c>
      <c r="J31" s="73">
        <f t="shared" si="4"/>
        <v>2019</v>
      </c>
      <c r="K31" s="78">
        <f t="shared" si="17"/>
        <v>43647</v>
      </c>
      <c r="L31" s="73">
        <f t="shared" si="11"/>
        <v>2033</v>
      </c>
      <c r="M31" s="56">
        <f t="shared" si="12"/>
        <v>30732350.823065192</v>
      </c>
      <c r="N31" s="56">
        <f t="shared" si="8"/>
        <v>0</v>
      </c>
      <c r="O31" s="56">
        <f t="shared" si="18"/>
        <v>744600</v>
      </c>
      <c r="P31" s="118">
        <f t="shared" si="19"/>
        <v>41.27363795738006</v>
      </c>
      <c r="Q31" s="181">
        <f t="shared" si="9"/>
        <v>41.27363795738006</v>
      </c>
      <c r="R31" s="181">
        <f t="shared" si="10"/>
        <v>0</v>
      </c>
    </row>
    <row r="32" spans="2:18">
      <c r="B32" s="78">
        <f t="shared" si="1"/>
        <v>43678</v>
      </c>
      <c r="C32" s="75">
        <v>1377658.6154441535</v>
      </c>
      <c r="D32" s="71">
        <f>IF(F32&lt;&gt;0,VLOOKUP($J32,'Table 1'!$B$13:$C$33,2,FALSE)/12*1000*Study_MW,0)</f>
        <v>0</v>
      </c>
      <c r="E32" s="71">
        <f t="shared" si="15"/>
        <v>1377658.6154441535</v>
      </c>
      <c r="F32" s="75">
        <v>63240</v>
      </c>
      <c r="G32" s="76">
        <f t="shared" si="3"/>
        <v>21.784608087352208</v>
      </c>
      <c r="I32" s="77">
        <f t="shared" si="16"/>
        <v>21</v>
      </c>
      <c r="J32" s="73">
        <f t="shared" si="4"/>
        <v>2019</v>
      </c>
      <c r="K32" s="78">
        <f t="shared" si="17"/>
        <v>43678</v>
      </c>
      <c r="L32" s="73">
        <f t="shared" si="11"/>
        <v>2034</v>
      </c>
      <c r="M32" s="56">
        <f t="shared" si="12"/>
        <v>31449794.613540903</v>
      </c>
      <c r="N32" s="56">
        <f t="shared" si="8"/>
        <v>0</v>
      </c>
      <c r="O32" s="56">
        <f t="shared" ref="O32:O35" si="20">SUMIF($J$13:$J$264,L32,$F$13:$F$264)</f>
        <v>744600</v>
      </c>
      <c r="P32" s="118">
        <f t="shared" ref="P32:P34" si="21">(M32+N32)/O32</f>
        <v>42.237167087753022</v>
      </c>
      <c r="Q32" s="181">
        <f t="shared" si="9"/>
        <v>42.237167087753022</v>
      </c>
      <c r="R32" s="181">
        <f t="shared" si="10"/>
        <v>0</v>
      </c>
    </row>
    <row r="33" spans="2:20">
      <c r="B33" s="78">
        <f t="shared" si="1"/>
        <v>43709</v>
      </c>
      <c r="C33" s="75">
        <v>1042827.8236907721</v>
      </c>
      <c r="D33" s="71">
        <f>IF(F33&lt;&gt;0,VLOOKUP($J33,'Table 1'!$B$13:$C$33,2,FALSE)/12*1000*Study_MW,0)</f>
        <v>0</v>
      </c>
      <c r="E33" s="71">
        <f t="shared" si="15"/>
        <v>1042827.8236907721</v>
      </c>
      <c r="F33" s="75">
        <v>61200</v>
      </c>
      <c r="G33" s="76">
        <f t="shared" si="3"/>
        <v>17.039670321744641</v>
      </c>
      <c r="I33" s="77">
        <f t="shared" si="16"/>
        <v>22</v>
      </c>
      <c r="J33" s="73">
        <f t="shared" si="4"/>
        <v>2019</v>
      </c>
      <c r="K33" s="78">
        <f t="shared" si="17"/>
        <v>43709</v>
      </c>
      <c r="L33" s="73">
        <f t="shared" si="11"/>
        <v>2035</v>
      </c>
      <c r="M33" s="56">
        <f t="shared" si="12"/>
        <v>33525229.615605846</v>
      </c>
      <c r="N33" s="56">
        <f t="shared" si="8"/>
        <v>0</v>
      </c>
      <c r="O33" s="56">
        <f t="shared" si="20"/>
        <v>744600</v>
      </c>
      <c r="P33" s="118">
        <f t="shared" si="21"/>
        <v>45.024482427619994</v>
      </c>
      <c r="Q33" s="181">
        <f t="shared" si="9"/>
        <v>45.024482427619994</v>
      </c>
      <c r="R33" s="181">
        <f t="shared" si="10"/>
        <v>0</v>
      </c>
    </row>
    <row r="34" spans="2:20">
      <c r="B34" s="78">
        <f t="shared" si="1"/>
        <v>43739</v>
      </c>
      <c r="C34" s="75">
        <v>950622.4491494</v>
      </c>
      <c r="D34" s="71">
        <f>IF(F34&lt;&gt;0,VLOOKUP($J34,'Table 1'!$B$13:$C$33,2,FALSE)/12*1000*Study_MW,0)</f>
        <v>0</v>
      </c>
      <c r="E34" s="71">
        <f t="shared" si="15"/>
        <v>950622.4491494</v>
      </c>
      <c r="F34" s="75">
        <v>63240</v>
      </c>
      <c r="G34" s="76">
        <f t="shared" si="3"/>
        <v>15.031980536834283</v>
      </c>
      <c r="I34" s="77">
        <f t="shared" si="16"/>
        <v>23</v>
      </c>
      <c r="J34" s="73">
        <f t="shared" si="4"/>
        <v>2019</v>
      </c>
      <c r="K34" s="78">
        <f t="shared" si="17"/>
        <v>43739</v>
      </c>
      <c r="L34" s="73">
        <f t="shared" si="11"/>
        <v>2036</v>
      </c>
      <c r="M34" s="56">
        <f t="shared" si="12"/>
        <v>38082819.132319644</v>
      </c>
      <c r="N34" s="56">
        <f t="shared" si="8"/>
        <v>0</v>
      </c>
      <c r="O34" s="56">
        <f t="shared" si="20"/>
        <v>746640</v>
      </c>
      <c r="P34" s="118">
        <f t="shared" si="21"/>
        <v>51.00559725211567</v>
      </c>
      <c r="Q34" s="181">
        <f t="shared" ref="Q34" si="22">M34/O34</f>
        <v>51.00559725211567</v>
      </c>
      <c r="R34" s="181">
        <f t="shared" ref="R34" si="23">IFERROR(N34/O34,0)</f>
        <v>0</v>
      </c>
    </row>
    <row r="35" spans="2:20">
      <c r="B35" s="78">
        <f t="shared" si="1"/>
        <v>43770</v>
      </c>
      <c r="C35" s="75">
        <v>1012279.8702819049</v>
      </c>
      <c r="D35" s="71">
        <f>IF(F35&lt;&gt;0,VLOOKUP($J35,'Table 1'!$B$13:$C$33,2,FALSE)/12*1000*Study_MW,0)</f>
        <v>0</v>
      </c>
      <c r="E35" s="71">
        <f t="shared" si="15"/>
        <v>1012279.8702819049</v>
      </c>
      <c r="F35" s="75">
        <v>61200</v>
      </c>
      <c r="G35" s="76">
        <f t="shared" si="3"/>
        <v>16.540520756240277</v>
      </c>
      <c r="I35" s="77">
        <f t="shared" si="16"/>
        <v>24</v>
      </c>
      <c r="J35" s="73">
        <f t="shared" si="4"/>
        <v>2019</v>
      </c>
      <c r="K35" s="78">
        <f t="shared" si="17"/>
        <v>43770</v>
      </c>
      <c r="L35" s="73">
        <f t="shared" si="11"/>
        <v>2037</v>
      </c>
      <c r="M35" s="56">
        <f t="shared" si="12"/>
        <v>38753009.218417682</v>
      </c>
      <c r="N35" s="56">
        <f t="shared" si="8"/>
        <v>0</v>
      </c>
      <c r="O35" s="56">
        <f t="shared" si="20"/>
        <v>744600</v>
      </c>
      <c r="P35" s="118">
        <f t="shared" ref="P35" si="24">(M35+N35)/O35</f>
        <v>52.045405880227882</v>
      </c>
      <c r="Q35" s="181">
        <f t="shared" ref="Q35" si="25">M35/O35</f>
        <v>52.045405880227882</v>
      </c>
      <c r="R35" s="181">
        <f t="shared" ref="R35" si="26">IFERROR(N35/O35,0)</f>
        <v>0</v>
      </c>
    </row>
    <row r="36" spans="2:20">
      <c r="B36" s="82">
        <f t="shared" si="1"/>
        <v>43800</v>
      </c>
      <c r="C36" s="79">
        <v>1068131.4756509811</v>
      </c>
      <c r="D36" s="80">
        <f>IF(F36&lt;&gt;0,VLOOKUP($J36,'Table 1'!$B$13:$C$33,2,FALSE)/12*1000*Study_MW,0)</f>
        <v>0</v>
      </c>
      <c r="E36" s="80">
        <f t="shared" si="15"/>
        <v>1068131.4756509811</v>
      </c>
      <c r="F36" s="79">
        <v>63240</v>
      </c>
      <c r="G36" s="81">
        <f t="shared" si="3"/>
        <v>16.890124535910516</v>
      </c>
      <c r="I36" s="64">
        <f t="shared" si="16"/>
        <v>25</v>
      </c>
      <c r="J36" s="73">
        <f t="shared" si="4"/>
        <v>2019</v>
      </c>
      <c r="K36" s="82">
        <f t="shared" si="17"/>
        <v>43800</v>
      </c>
      <c r="L36" s="73">
        <f t="shared" si="11"/>
        <v>2038</v>
      </c>
      <c r="M36" s="56">
        <f t="shared" si="12"/>
        <v>39527371.448162913</v>
      </c>
      <c r="N36" s="56">
        <f t="shared" si="8"/>
        <v>0</v>
      </c>
      <c r="O36" s="56">
        <f t="shared" ref="O36" si="27">SUMIF($J$13:$J$264,L36,$F$13:$F$264)</f>
        <v>744600</v>
      </c>
      <c r="P36" s="118">
        <f t="shared" ref="P36" si="28">(M36+N36)/O36</f>
        <v>53.08537664271141</v>
      </c>
      <c r="Q36" s="181">
        <f t="shared" ref="Q36" si="29">M36/O36</f>
        <v>53.08537664271141</v>
      </c>
      <c r="R36" s="181">
        <f t="shared" ref="R36" si="30">IFERROR(N36/O36,0)</f>
        <v>0</v>
      </c>
    </row>
    <row r="37" spans="2:20" outlineLevel="1">
      <c r="B37" s="74">
        <f t="shared" si="1"/>
        <v>43831</v>
      </c>
      <c r="C37" s="69">
        <v>1092278.3874862045</v>
      </c>
      <c r="D37" s="70">
        <f>IF(F37&lt;&gt;0,VLOOKUP($J37,'Table 1'!$B$13:$C$33,2,FALSE)/12*1000*Study_MW,0)</f>
        <v>0</v>
      </c>
      <c r="E37" s="70">
        <f t="shared" si="15"/>
        <v>1092278.3874862045</v>
      </c>
      <c r="F37" s="69">
        <v>63240</v>
      </c>
      <c r="G37" s="72">
        <f t="shared" si="3"/>
        <v>17.271954261325181</v>
      </c>
      <c r="I37" s="60">
        <f>I25+13</f>
        <v>27</v>
      </c>
      <c r="J37" s="73">
        <f t="shared" si="4"/>
        <v>2020</v>
      </c>
      <c r="K37" s="74">
        <f t="shared" si="17"/>
        <v>43831</v>
      </c>
      <c r="M37" s="192"/>
    </row>
    <row r="38" spans="2:20" outlineLevel="1">
      <c r="B38" s="78">
        <f t="shared" si="1"/>
        <v>43862</v>
      </c>
      <c r="C38" s="75">
        <v>1030744.3575146496</v>
      </c>
      <c r="D38" s="71">
        <f>IF(F38&lt;&gt;0,VLOOKUP($J38,'Table 1'!$B$13:$C$33,2,FALSE)/12*1000*Study_MW,0)</f>
        <v>0</v>
      </c>
      <c r="E38" s="71">
        <f t="shared" si="15"/>
        <v>1030744.3575146496</v>
      </c>
      <c r="F38" s="75">
        <v>59160</v>
      </c>
      <c r="G38" s="76">
        <f t="shared" si="3"/>
        <v>17.422994548929168</v>
      </c>
      <c r="I38" s="77">
        <f t="shared" si="16"/>
        <v>28</v>
      </c>
      <c r="J38" s="73">
        <f t="shared" si="4"/>
        <v>2020</v>
      </c>
      <c r="K38" s="78">
        <f t="shared" si="17"/>
        <v>43862</v>
      </c>
      <c r="M38" s="192"/>
    </row>
    <row r="39" spans="2:20" outlineLevel="1">
      <c r="B39" s="78">
        <f t="shared" si="1"/>
        <v>43891</v>
      </c>
      <c r="C39" s="75">
        <v>1018062.0845805705</v>
      </c>
      <c r="D39" s="71">
        <f>IF(F39&lt;&gt;0,VLOOKUP($J39,'Table 1'!$B$13:$C$33,2,FALSE)/12*1000*Study_MW,0)</f>
        <v>0</v>
      </c>
      <c r="E39" s="71">
        <f t="shared" si="15"/>
        <v>1018062.0845805705</v>
      </c>
      <c r="F39" s="75">
        <v>63240</v>
      </c>
      <c r="G39" s="76">
        <f t="shared" si="3"/>
        <v>16.098388434227868</v>
      </c>
      <c r="I39" s="77">
        <f t="shared" si="16"/>
        <v>29</v>
      </c>
      <c r="J39" s="73">
        <f t="shared" si="4"/>
        <v>2020</v>
      </c>
      <c r="K39" s="78">
        <f t="shared" si="17"/>
        <v>43891</v>
      </c>
    </row>
    <row r="40" spans="2:20" outlineLevel="1">
      <c r="B40" s="78">
        <f t="shared" si="1"/>
        <v>43922</v>
      </c>
      <c r="C40" s="75">
        <v>859484.7913479954</v>
      </c>
      <c r="D40" s="71">
        <f>IF(F40&lt;&gt;0,VLOOKUP($J40,'Table 1'!$B$13:$C$33,2,FALSE)/12*1000*Study_MW,0)</f>
        <v>0</v>
      </c>
      <c r="E40" s="71">
        <f t="shared" si="15"/>
        <v>859484.7913479954</v>
      </c>
      <c r="F40" s="75">
        <v>61200</v>
      </c>
      <c r="G40" s="76">
        <f t="shared" si="3"/>
        <v>14.043869139673127</v>
      </c>
      <c r="I40" s="77">
        <f t="shared" si="16"/>
        <v>30</v>
      </c>
      <c r="J40" s="73">
        <f t="shared" si="4"/>
        <v>2020</v>
      </c>
      <c r="K40" s="78">
        <f t="shared" si="17"/>
        <v>43922</v>
      </c>
      <c r="O40" s="219" t="str">
        <f>"15 Year Starting "&amp;YEAR($K$5)+2</f>
        <v>15 Year Starting 2020</v>
      </c>
      <c r="P40" s="58">
        <f ca="1">NPV($K$9,INDIRECT("C"&amp;$P$5+24&amp;":C"&amp;$P$6+24))</f>
        <v>178275181.74156925</v>
      </c>
      <c r="Q40" s="58">
        <f ca="1">NPV($K$9,INDIRECT("D"&amp;$P$5+24&amp;":D"&amp;$P$6+24))</f>
        <v>0</v>
      </c>
      <c r="R40" s="58">
        <f ca="1">NPV($K$9,INDIRECT("E"&amp;$P$5+24&amp;":E"&amp;$P$6+24))</f>
        <v>178275181.74156925</v>
      </c>
      <c r="S40" s="58">
        <f ca="1">NPV($K$9,INDIRECT("F"&amp;$P$5+24&amp;":F"&amp;$P$6+24))</f>
        <v>7038503.3965184949</v>
      </c>
      <c r="T40" s="92">
        <f ca="1">R40/S40</f>
        <v>25.328563715654493</v>
      </c>
    </row>
    <row r="41" spans="2:20" outlineLevel="1">
      <c r="B41" s="78">
        <f t="shared" si="1"/>
        <v>43952</v>
      </c>
      <c r="C41" s="75">
        <v>945768.17849679291</v>
      </c>
      <c r="D41" s="71">
        <f>IF(F41&lt;&gt;0,VLOOKUP($J41,'Table 1'!$B$13:$C$33,2,FALSE)/12*1000*Study_MW,0)</f>
        <v>0</v>
      </c>
      <c r="E41" s="71">
        <f t="shared" si="15"/>
        <v>945768.17849679291</v>
      </c>
      <c r="F41" s="75">
        <v>63240</v>
      </c>
      <c r="G41" s="76">
        <f t="shared" si="3"/>
        <v>14.955221038848718</v>
      </c>
      <c r="I41" s="77">
        <f t="shared" si="16"/>
        <v>31</v>
      </c>
      <c r="J41" s="73">
        <f t="shared" si="4"/>
        <v>2020</v>
      </c>
      <c r="K41" s="78">
        <f t="shared" si="17"/>
        <v>43952</v>
      </c>
      <c r="O41" s="219" t="str">
        <f>"15 Year Starting "&amp;YEAR($K$5)+3</f>
        <v>15 Year Starting 2021</v>
      </c>
      <c r="P41" s="58">
        <f ca="1">NPV($K$9,INDIRECT("C"&amp;$P$5+36&amp;":C"&amp;$P$6+36))</f>
        <v>190601726.40003601</v>
      </c>
      <c r="Q41" s="58">
        <f ca="1">NPV($K$9,INDIRECT("D"&amp;$P$5+36&amp;":D"&amp;$P$6+36))</f>
        <v>0</v>
      </c>
      <c r="R41" s="58">
        <f ca="1">NPV($K$9,INDIRECT("E"&amp;$P$5+36&amp;":E"&amp;$P$6+36))</f>
        <v>190601726.40003601</v>
      </c>
      <c r="S41" s="58">
        <f ca="1">NPV($K$9,INDIRECT("F"&amp;$P$5+36&amp;":F"&amp;$P$6+36))</f>
        <v>7036736.9032221111</v>
      </c>
      <c r="T41" s="92">
        <f ca="1">R41/S41</f>
        <v>27.086663750745004</v>
      </c>
    </row>
    <row r="42" spans="2:20" outlineLevel="1">
      <c r="B42" s="78">
        <f t="shared" si="1"/>
        <v>43983</v>
      </c>
      <c r="C42" s="75">
        <v>904882.053062886</v>
      </c>
      <c r="D42" s="71">
        <f>IF(F42&lt;&gt;0,VLOOKUP($J42,'Table 1'!$B$13:$C$33,2,FALSE)/12*1000*Study_MW,0)</f>
        <v>0</v>
      </c>
      <c r="E42" s="71">
        <f t="shared" si="15"/>
        <v>904882.053062886</v>
      </c>
      <c r="F42" s="75">
        <v>61200</v>
      </c>
      <c r="G42" s="76">
        <f t="shared" si="3"/>
        <v>14.785654461811863</v>
      </c>
      <c r="I42" s="77">
        <f t="shared" si="16"/>
        <v>32</v>
      </c>
      <c r="J42" s="73">
        <f t="shared" si="4"/>
        <v>2020</v>
      </c>
      <c r="K42" s="78">
        <f t="shared" si="17"/>
        <v>43983</v>
      </c>
    </row>
    <row r="43" spans="2:20" outlineLevel="1">
      <c r="B43" s="78">
        <f t="shared" si="1"/>
        <v>44013</v>
      </c>
      <c r="C43" s="75">
        <v>1193738.8167112768</v>
      </c>
      <c r="D43" s="71">
        <f>IF(F43&lt;&gt;0,VLOOKUP($J43,'Table 1'!$B$13:$C$33,2,FALSE)/12*1000*Study_MW,0)</f>
        <v>0</v>
      </c>
      <c r="E43" s="71">
        <f t="shared" si="15"/>
        <v>1193738.8167112768</v>
      </c>
      <c r="F43" s="75">
        <v>63240</v>
      </c>
      <c r="G43" s="76">
        <f t="shared" si="3"/>
        <v>18.876325374941125</v>
      </c>
      <c r="I43" s="77">
        <f t="shared" si="16"/>
        <v>33</v>
      </c>
      <c r="J43" s="73">
        <f t="shared" si="4"/>
        <v>2020</v>
      </c>
      <c r="K43" s="78">
        <f t="shared" si="17"/>
        <v>44013</v>
      </c>
    </row>
    <row r="44" spans="2:20" outlineLevel="1">
      <c r="B44" s="78">
        <f t="shared" si="1"/>
        <v>44044</v>
      </c>
      <c r="C44" s="75">
        <v>1289092.1856882274</v>
      </c>
      <c r="D44" s="71">
        <f>IF(F44&lt;&gt;0,VLOOKUP($J44,'Table 1'!$B$13:$C$33,2,FALSE)/12*1000*Study_MW,0)</f>
        <v>0</v>
      </c>
      <c r="E44" s="71">
        <f t="shared" si="15"/>
        <v>1289092.1856882274</v>
      </c>
      <c r="F44" s="75">
        <v>63240</v>
      </c>
      <c r="G44" s="76">
        <f t="shared" si="3"/>
        <v>20.384126908415993</v>
      </c>
      <c r="I44" s="77">
        <f t="shared" si="16"/>
        <v>34</v>
      </c>
      <c r="J44" s="73">
        <f t="shared" si="4"/>
        <v>2020</v>
      </c>
      <c r="K44" s="78">
        <f t="shared" si="17"/>
        <v>44044</v>
      </c>
    </row>
    <row r="45" spans="2:20" outlineLevel="1">
      <c r="B45" s="78">
        <f t="shared" si="1"/>
        <v>44075</v>
      </c>
      <c r="C45" s="75">
        <v>979641.05772727728</v>
      </c>
      <c r="D45" s="71">
        <f>IF(F45&lt;&gt;0,VLOOKUP($J45,'Table 1'!$B$13:$C$33,2,FALSE)/12*1000*Study_MW,0)</f>
        <v>0</v>
      </c>
      <c r="E45" s="71">
        <f t="shared" si="15"/>
        <v>979641.05772727728</v>
      </c>
      <c r="F45" s="75">
        <v>61200</v>
      </c>
      <c r="G45" s="76">
        <f t="shared" si="3"/>
        <v>16.007206825609106</v>
      </c>
      <c r="I45" s="77">
        <f t="shared" si="16"/>
        <v>35</v>
      </c>
      <c r="J45" s="73">
        <f t="shared" si="4"/>
        <v>2020</v>
      </c>
      <c r="K45" s="78">
        <f t="shared" si="17"/>
        <v>44075</v>
      </c>
    </row>
    <row r="46" spans="2:20" outlineLevel="1">
      <c r="B46" s="78">
        <f t="shared" si="1"/>
        <v>44105</v>
      </c>
      <c r="C46" s="75">
        <v>1083772.3571251631</v>
      </c>
      <c r="D46" s="71">
        <f>IF(F46&lt;&gt;0,VLOOKUP($J46,'Table 1'!$B$13:$C$33,2,FALSE)/12*1000*Study_MW,0)</f>
        <v>0</v>
      </c>
      <c r="E46" s="71">
        <f t="shared" si="15"/>
        <v>1083772.3571251631</v>
      </c>
      <c r="F46" s="75">
        <v>63240</v>
      </c>
      <c r="G46" s="76">
        <f t="shared" si="3"/>
        <v>17.137450302421932</v>
      </c>
      <c r="I46" s="77">
        <f t="shared" si="16"/>
        <v>36</v>
      </c>
      <c r="J46" s="73">
        <f t="shared" si="4"/>
        <v>2020</v>
      </c>
      <c r="K46" s="78">
        <f t="shared" si="17"/>
        <v>44105</v>
      </c>
    </row>
    <row r="47" spans="2:20" outlineLevel="1">
      <c r="B47" s="78">
        <f t="shared" si="1"/>
        <v>44136</v>
      </c>
      <c r="C47" s="75">
        <v>841923.00509320199</v>
      </c>
      <c r="D47" s="71">
        <f>IF(F47&lt;&gt;0,VLOOKUP($J47,'Table 1'!$B$13:$C$33,2,FALSE)/12*1000*Study_MW,0)</f>
        <v>0</v>
      </c>
      <c r="E47" s="71">
        <f t="shared" si="15"/>
        <v>841923.00509320199</v>
      </c>
      <c r="F47" s="75">
        <v>61200</v>
      </c>
      <c r="G47" s="76">
        <f t="shared" si="3"/>
        <v>13.756911847928137</v>
      </c>
      <c r="I47" s="77">
        <f t="shared" si="16"/>
        <v>37</v>
      </c>
      <c r="J47" s="73">
        <f t="shared" si="4"/>
        <v>2020</v>
      </c>
      <c r="K47" s="78">
        <f t="shared" si="17"/>
        <v>44136</v>
      </c>
    </row>
    <row r="48" spans="2:20" outlineLevel="1">
      <c r="B48" s="82">
        <f t="shared" si="1"/>
        <v>44166</v>
      </c>
      <c r="C48" s="79">
        <v>1047325.712893486</v>
      </c>
      <c r="D48" s="80">
        <f>IF(F48&lt;&gt;0,VLOOKUP($J48,'Table 1'!$B$13:$C$33,2,FALSE)/12*1000*Study_MW,0)</f>
        <v>0</v>
      </c>
      <c r="E48" s="80">
        <f t="shared" si="15"/>
        <v>1047325.712893486</v>
      </c>
      <c r="F48" s="79">
        <v>63240</v>
      </c>
      <c r="G48" s="81">
        <f t="shared" si="3"/>
        <v>16.561127654862208</v>
      </c>
      <c r="I48" s="64">
        <f t="shared" si="16"/>
        <v>38</v>
      </c>
      <c r="J48" s="73">
        <f t="shared" si="4"/>
        <v>2020</v>
      </c>
      <c r="K48" s="82">
        <f t="shared" si="17"/>
        <v>44166</v>
      </c>
    </row>
    <row r="49" spans="2:11" outlineLevel="1">
      <c r="B49" s="74">
        <f t="shared" si="1"/>
        <v>44197</v>
      </c>
      <c r="C49" s="69">
        <v>1085920.8835394531</v>
      </c>
      <c r="D49" s="70">
        <f>IF(F49&lt;&gt;0,VLOOKUP($J49,'Table 1'!$B$13:$C$33,2,FALSE)/12*1000*Study_MW,0)</f>
        <v>0</v>
      </c>
      <c r="E49" s="70">
        <f t="shared" si="15"/>
        <v>1085920.8835394531</v>
      </c>
      <c r="F49" s="69">
        <v>63240</v>
      </c>
      <c r="G49" s="72">
        <f t="shared" si="3"/>
        <v>17.171424470895843</v>
      </c>
      <c r="I49" s="60">
        <f>I37+13</f>
        <v>40</v>
      </c>
      <c r="J49" s="73">
        <f t="shared" si="4"/>
        <v>2021</v>
      </c>
      <c r="K49" s="74">
        <f t="shared" si="17"/>
        <v>44197</v>
      </c>
    </row>
    <row r="50" spans="2:11" outlineLevel="1">
      <c r="B50" s="78">
        <f t="shared" si="1"/>
        <v>44228</v>
      </c>
      <c r="C50" s="75">
        <v>1000118.0515571088</v>
      </c>
      <c r="D50" s="71">
        <f>IF(F50&lt;&gt;0,VLOOKUP($J50,'Table 1'!$B$13:$C$33,2,FALSE)/12*1000*Study_MW,0)</f>
        <v>0</v>
      </c>
      <c r="E50" s="71">
        <f t="shared" si="15"/>
        <v>1000118.0515571088</v>
      </c>
      <c r="F50" s="75">
        <v>57120</v>
      </c>
      <c r="G50" s="76">
        <f t="shared" si="3"/>
        <v>17.509069530061428</v>
      </c>
      <c r="I50" s="77">
        <f t="shared" si="16"/>
        <v>41</v>
      </c>
      <c r="J50" s="73">
        <f t="shared" si="4"/>
        <v>2021</v>
      </c>
      <c r="K50" s="78">
        <f t="shared" si="17"/>
        <v>44228</v>
      </c>
    </row>
    <row r="51" spans="2:11" outlineLevel="1">
      <c r="B51" s="78">
        <f t="shared" si="1"/>
        <v>44256</v>
      </c>
      <c r="C51" s="75">
        <v>1219767.1286513954</v>
      </c>
      <c r="D51" s="71">
        <f>IF(F51&lt;&gt;0,VLOOKUP($J51,'Table 1'!$B$13:$C$33,2,FALSE)/12*1000*Study_MW,0)</f>
        <v>0</v>
      </c>
      <c r="E51" s="71">
        <f t="shared" si="15"/>
        <v>1219767.1286513954</v>
      </c>
      <c r="F51" s="75">
        <v>63240</v>
      </c>
      <c r="G51" s="76">
        <f t="shared" si="3"/>
        <v>19.287905260142242</v>
      </c>
      <c r="I51" s="77">
        <f t="shared" si="16"/>
        <v>42</v>
      </c>
      <c r="J51" s="73">
        <f t="shared" si="4"/>
        <v>2021</v>
      </c>
      <c r="K51" s="78">
        <f t="shared" si="17"/>
        <v>44256</v>
      </c>
    </row>
    <row r="52" spans="2:11" outlineLevel="1">
      <c r="B52" s="78">
        <f t="shared" si="1"/>
        <v>44287</v>
      </c>
      <c r="C52" s="75">
        <v>881327.75061054528</v>
      </c>
      <c r="D52" s="71">
        <f>IF(F52&lt;&gt;0,VLOOKUP($J52,'Table 1'!$B$13:$C$33,2,FALSE)/12*1000*Study_MW,0)</f>
        <v>0</v>
      </c>
      <c r="E52" s="71">
        <f t="shared" si="15"/>
        <v>881327.75061054528</v>
      </c>
      <c r="F52" s="75">
        <v>61200</v>
      </c>
      <c r="G52" s="76">
        <f t="shared" si="3"/>
        <v>14.4007802387344</v>
      </c>
      <c r="I52" s="77">
        <f t="shared" si="16"/>
        <v>43</v>
      </c>
      <c r="J52" s="73">
        <f t="shared" si="4"/>
        <v>2021</v>
      </c>
      <c r="K52" s="78">
        <f t="shared" si="17"/>
        <v>44287</v>
      </c>
    </row>
    <row r="53" spans="2:11" outlineLevel="1">
      <c r="B53" s="78">
        <f t="shared" si="1"/>
        <v>44317</v>
      </c>
      <c r="C53" s="75">
        <v>747992.50160200894</v>
      </c>
      <c r="D53" s="71">
        <f>IF(F53&lt;&gt;0,VLOOKUP($J53,'Table 1'!$B$13:$C$33,2,FALSE)/12*1000*Study_MW,0)</f>
        <v>0</v>
      </c>
      <c r="E53" s="71">
        <f t="shared" si="15"/>
        <v>747992.50160200894</v>
      </c>
      <c r="F53" s="75">
        <v>63240</v>
      </c>
      <c r="G53" s="76">
        <f t="shared" si="3"/>
        <v>11.827838418754094</v>
      </c>
      <c r="I53" s="77">
        <f t="shared" si="16"/>
        <v>44</v>
      </c>
      <c r="J53" s="73">
        <f t="shared" si="4"/>
        <v>2021</v>
      </c>
      <c r="K53" s="78">
        <f t="shared" si="17"/>
        <v>44317</v>
      </c>
    </row>
    <row r="54" spans="2:11" outlineLevel="1">
      <c r="B54" s="78">
        <f t="shared" si="1"/>
        <v>44348</v>
      </c>
      <c r="C54" s="75">
        <v>798719.41006697714</v>
      </c>
      <c r="D54" s="71">
        <f>IF(F54&lt;&gt;0,VLOOKUP($J54,'Table 1'!$B$13:$C$33,2,FALSE)/12*1000*Study_MW,0)</f>
        <v>0</v>
      </c>
      <c r="E54" s="71">
        <f t="shared" si="15"/>
        <v>798719.41006697714</v>
      </c>
      <c r="F54" s="75">
        <v>61200</v>
      </c>
      <c r="G54" s="76">
        <f t="shared" si="3"/>
        <v>13.050970752728384</v>
      </c>
      <c r="I54" s="77">
        <f t="shared" si="16"/>
        <v>45</v>
      </c>
      <c r="J54" s="73">
        <f t="shared" si="4"/>
        <v>2021</v>
      </c>
      <c r="K54" s="78">
        <f t="shared" si="17"/>
        <v>44348</v>
      </c>
    </row>
    <row r="55" spans="2:11" outlineLevel="1">
      <c r="B55" s="78">
        <f t="shared" si="1"/>
        <v>44378</v>
      </c>
      <c r="C55" s="75">
        <v>1098948.833693251</v>
      </c>
      <c r="D55" s="71">
        <f>IF(F55&lt;&gt;0,VLOOKUP($J55,'Table 1'!$B$13:$C$33,2,FALSE)/12*1000*Study_MW,0)</f>
        <v>0</v>
      </c>
      <c r="E55" s="71">
        <f t="shared" si="15"/>
        <v>1098948.833693251</v>
      </c>
      <c r="F55" s="75">
        <v>63240</v>
      </c>
      <c r="G55" s="76">
        <f t="shared" si="3"/>
        <v>17.377432537843944</v>
      </c>
      <c r="I55" s="77">
        <f t="shared" si="16"/>
        <v>46</v>
      </c>
      <c r="J55" s="73">
        <f t="shared" si="4"/>
        <v>2021</v>
      </c>
      <c r="K55" s="78">
        <f t="shared" si="17"/>
        <v>44378</v>
      </c>
    </row>
    <row r="56" spans="2:11" outlineLevel="1">
      <c r="B56" s="78">
        <f t="shared" si="1"/>
        <v>44409</v>
      </c>
      <c r="C56" s="75">
        <v>1074742.3183616698</v>
      </c>
      <c r="D56" s="71">
        <f>IF(F56&lt;&gt;0,VLOOKUP($J56,'Table 1'!$B$13:$C$33,2,FALSE)/12*1000*Study_MW,0)</f>
        <v>0</v>
      </c>
      <c r="E56" s="71">
        <f t="shared" si="15"/>
        <v>1074742.3183616698</v>
      </c>
      <c r="F56" s="75">
        <v>63240</v>
      </c>
      <c r="G56" s="76">
        <f t="shared" si="3"/>
        <v>16.994660315649426</v>
      </c>
      <c r="I56" s="77">
        <f t="shared" si="16"/>
        <v>47</v>
      </c>
      <c r="J56" s="73">
        <f t="shared" si="4"/>
        <v>2021</v>
      </c>
      <c r="K56" s="78">
        <f t="shared" si="17"/>
        <v>44409</v>
      </c>
    </row>
    <row r="57" spans="2:11" outlineLevel="1">
      <c r="B57" s="78">
        <f t="shared" si="1"/>
        <v>44440</v>
      </c>
      <c r="C57" s="75">
        <v>1019798.9846362919</v>
      </c>
      <c r="D57" s="71">
        <f>IF(F57&lt;&gt;0,VLOOKUP($J57,'Table 1'!$B$13:$C$33,2,FALSE)/12*1000*Study_MW,0)</f>
        <v>0</v>
      </c>
      <c r="E57" s="71">
        <f t="shared" si="15"/>
        <v>1019798.9846362919</v>
      </c>
      <c r="F57" s="75">
        <v>61200</v>
      </c>
      <c r="G57" s="76">
        <f t="shared" si="3"/>
        <v>16.663382101900194</v>
      </c>
      <c r="I57" s="77">
        <f t="shared" si="16"/>
        <v>48</v>
      </c>
      <c r="J57" s="73">
        <f t="shared" si="4"/>
        <v>2021</v>
      </c>
      <c r="K57" s="78">
        <f t="shared" si="17"/>
        <v>44440</v>
      </c>
    </row>
    <row r="58" spans="2:11" outlineLevel="1">
      <c r="B58" s="78">
        <f t="shared" si="1"/>
        <v>44470</v>
      </c>
      <c r="C58" s="75">
        <v>1070258.6942239702</v>
      </c>
      <c r="D58" s="71">
        <f>IF(F58&lt;&gt;0,VLOOKUP($J58,'Table 1'!$B$13:$C$33,2,FALSE)/12*1000*Study_MW,0)</f>
        <v>0</v>
      </c>
      <c r="E58" s="71">
        <f t="shared" si="15"/>
        <v>1070258.6942239702</v>
      </c>
      <c r="F58" s="75">
        <v>63240</v>
      </c>
      <c r="G58" s="76">
        <f t="shared" si="3"/>
        <v>16.923761768247473</v>
      </c>
      <c r="I58" s="77">
        <f t="shared" si="16"/>
        <v>49</v>
      </c>
      <c r="J58" s="73">
        <f t="shared" si="4"/>
        <v>2021</v>
      </c>
      <c r="K58" s="78">
        <f t="shared" si="17"/>
        <v>44470</v>
      </c>
    </row>
    <row r="59" spans="2:11" outlineLevel="1">
      <c r="B59" s="78">
        <f t="shared" si="1"/>
        <v>44501</v>
      </c>
      <c r="C59" s="75">
        <v>1200813.3537845612</v>
      </c>
      <c r="D59" s="71">
        <f>IF(F59&lt;&gt;0,VLOOKUP($J59,'Table 1'!$B$13:$C$33,2,FALSE)/12*1000*Study_MW,0)</f>
        <v>0</v>
      </c>
      <c r="E59" s="71">
        <f t="shared" si="15"/>
        <v>1200813.3537845612</v>
      </c>
      <c r="F59" s="75">
        <v>61200</v>
      </c>
      <c r="G59" s="76">
        <f t="shared" si="3"/>
        <v>19.621133231773875</v>
      </c>
      <c r="I59" s="77">
        <f t="shared" si="16"/>
        <v>50</v>
      </c>
      <c r="J59" s="73">
        <f t="shared" si="4"/>
        <v>2021</v>
      </c>
      <c r="K59" s="78">
        <f t="shared" si="17"/>
        <v>44501</v>
      </c>
    </row>
    <row r="60" spans="2:11" outlineLevel="1">
      <c r="B60" s="82">
        <f t="shared" si="1"/>
        <v>44531</v>
      </c>
      <c r="C60" s="79">
        <v>1274321.9506994784</v>
      </c>
      <c r="D60" s="80">
        <f>IF(F60&lt;&gt;0,VLOOKUP($J60,'Table 1'!$B$13:$C$33,2,FALSE)/12*1000*Study_MW,0)</f>
        <v>0</v>
      </c>
      <c r="E60" s="80">
        <f t="shared" si="15"/>
        <v>1274321.9506994784</v>
      </c>
      <c r="F60" s="79">
        <v>63240</v>
      </c>
      <c r="G60" s="81">
        <f t="shared" si="3"/>
        <v>20.15056848038391</v>
      </c>
      <c r="I60" s="64">
        <f t="shared" si="16"/>
        <v>51</v>
      </c>
      <c r="J60" s="73">
        <f t="shared" si="4"/>
        <v>2021</v>
      </c>
      <c r="K60" s="82">
        <f t="shared" si="17"/>
        <v>44531</v>
      </c>
    </row>
    <row r="61" spans="2:11" outlineLevel="1">
      <c r="B61" s="74">
        <f t="shared" si="1"/>
        <v>44562</v>
      </c>
      <c r="C61" s="69">
        <v>1298363.876327768</v>
      </c>
      <c r="D61" s="70">
        <f>IF(F61&lt;&gt;0,VLOOKUP($J61,'Table 1'!$B$13:$C$33,2,FALSE)/12*1000*Study_MW,0)</f>
        <v>0</v>
      </c>
      <c r="E61" s="70">
        <f t="shared" si="15"/>
        <v>1298363.876327768</v>
      </c>
      <c r="F61" s="69">
        <v>63240</v>
      </c>
      <c r="G61" s="72">
        <f t="shared" si="3"/>
        <v>20.530738082349274</v>
      </c>
      <c r="I61" s="60">
        <f>I49+13</f>
        <v>53</v>
      </c>
      <c r="J61" s="73">
        <f t="shared" si="4"/>
        <v>2022</v>
      </c>
      <c r="K61" s="74">
        <f t="shared" si="17"/>
        <v>44562</v>
      </c>
    </row>
    <row r="62" spans="2:11" outlineLevel="1">
      <c r="B62" s="78">
        <f t="shared" si="1"/>
        <v>44593</v>
      </c>
      <c r="C62" s="75">
        <v>1066432.6955714971</v>
      </c>
      <c r="D62" s="71">
        <f>IF(F62&lt;&gt;0,VLOOKUP($J62,'Table 1'!$B$13:$C$33,2,FALSE)/12*1000*Study_MW,0)</f>
        <v>0</v>
      </c>
      <c r="E62" s="71">
        <f t="shared" si="15"/>
        <v>1066432.6955714971</v>
      </c>
      <c r="F62" s="75">
        <v>57120</v>
      </c>
      <c r="G62" s="76">
        <f t="shared" si="3"/>
        <v>18.670040188576628</v>
      </c>
      <c r="I62" s="77">
        <f t="shared" si="16"/>
        <v>54</v>
      </c>
      <c r="J62" s="73">
        <f t="shared" si="4"/>
        <v>2022</v>
      </c>
      <c r="K62" s="78">
        <f t="shared" si="17"/>
        <v>44593</v>
      </c>
    </row>
    <row r="63" spans="2:11" outlineLevel="1">
      <c r="B63" s="78">
        <f t="shared" si="1"/>
        <v>44621</v>
      </c>
      <c r="C63" s="75">
        <v>1239744.2042713761</v>
      </c>
      <c r="D63" s="71">
        <f>IF(F63&lt;&gt;0,VLOOKUP($J63,'Table 1'!$B$13:$C$33,2,FALSE)/12*1000*Study_MW,0)</f>
        <v>0</v>
      </c>
      <c r="E63" s="71">
        <f t="shared" si="15"/>
        <v>1239744.2042713761</v>
      </c>
      <c r="F63" s="75">
        <v>63240</v>
      </c>
      <c r="G63" s="76">
        <f t="shared" si="3"/>
        <v>19.603798296511325</v>
      </c>
      <c r="I63" s="77">
        <f t="shared" si="16"/>
        <v>55</v>
      </c>
      <c r="J63" s="73">
        <f t="shared" si="4"/>
        <v>2022</v>
      </c>
      <c r="K63" s="78">
        <f t="shared" si="17"/>
        <v>44621</v>
      </c>
    </row>
    <row r="64" spans="2:11" outlineLevel="1">
      <c r="B64" s="78">
        <f t="shared" si="1"/>
        <v>44652</v>
      </c>
      <c r="C64" s="75">
        <v>863414.52208708227</v>
      </c>
      <c r="D64" s="71">
        <f>IF(F64&lt;&gt;0,VLOOKUP($J64,'Table 1'!$B$13:$C$33,2,FALSE)/12*1000*Study_MW,0)</f>
        <v>0</v>
      </c>
      <c r="E64" s="71">
        <f t="shared" si="15"/>
        <v>863414.52208708227</v>
      </c>
      <c r="F64" s="75">
        <v>61200</v>
      </c>
      <c r="G64" s="76">
        <f t="shared" si="3"/>
        <v>14.108080426259514</v>
      </c>
      <c r="I64" s="77">
        <f t="shared" si="16"/>
        <v>56</v>
      </c>
      <c r="J64" s="73">
        <f t="shared" si="4"/>
        <v>2022</v>
      </c>
      <c r="K64" s="78">
        <f t="shared" si="17"/>
        <v>44652</v>
      </c>
    </row>
    <row r="65" spans="2:11" outlineLevel="1">
      <c r="B65" s="78">
        <f t="shared" si="1"/>
        <v>44682</v>
      </c>
      <c r="C65" s="75">
        <v>915133.36738440394</v>
      </c>
      <c r="D65" s="71">
        <f>IF(F65&lt;&gt;0,VLOOKUP($J65,'Table 1'!$B$13:$C$33,2,FALSE)/12*1000*Study_MW,0)</f>
        <v>0</v>
      </c>
      <c r="E65" s="71">
        <f t="shared" si="15"/>
        <v>915133.36738440394</v>
      </c>
      <c r="F65" s="75">
        <v>63240</v>
      </c>
      <c r="G65" s="76">
        <f t="shared" si="3"/>
        <v>14.470799610759075</v>
      </c>
      <c r="I65" s="77">
        <f t="shared" si="16"/>
        <v>57</v>
      </c>
      <c r="J65" s="73">
        <f t="shared" si="4"/>
        <v>2022</v>
      </c>
      <c r="K65" s="78">
        <f t="shared" si="17"/>
        <v>44682</v>
      </c>
    </row>
    <row r="66" spans="2:11" outlineLevel="1">
      <c r="B66" s="78">
        <f t="shared" si="1"/>
        <v>44713</v>
      </c>
      <c r="C66" s="75">
        <v>812786.52513101697</v>
      </c>
      <c r="D66" s="71">
        <f>IF(F66&lt;&gt;0,VLOOKUP($J66,'Table 1'!$B$13:$C$33,2,FALSE)/12*1000*Study_MW,0)</f>
        <v>0</v>
      </c>
      <c r="E66" s="71">
        <f t="shared" si="15"/>
        <v>812786.52513101697</v>
      </c>
      <c r="F66" s="75">
        <v>61200</v>
      </c>
      <c r="G66" s="76">
        <f t="shared" si="3"/>
        <v>13.280825574036225</v>
      </c>
      <c r="I66" s="77">
        <f t="shared" si="16"/>
        <v>58</v>
      </c>
      <c r="J66" s="73">
        <f t="shared" si="4"/>
        <v>2022</v>
      </c>
      <c r="K66" s="78">
        <f t="shared" si="17"/>
        <v>44713</v>
      </c>
    </row>
    <row r="67" spans="2:11" outlineLevel="1">
      <c r="B67" s="78">
        <f t="shared" si="1"/>
        <v>44743</v>
      </c>
      <c r="C67" s="75">
        <v>1048095.8447450101</v>
      </c>
      <c r="D67" s="71">
        <f>IF(F67&lt;&gt;0,VLOOKUP($J67,'Table 1'!$B$13:$C$33,2,FALSE)/12*1000*Study_MW,0)</f>
        <v>0</v>
      </c>
      <c r="E67" s="71">
        <f t="shared" si="15"/>
        <v>1048095.8447450101</v>
      </c>
      <c r="F67" s="75">
        <v>63240</v>
      </c>
      <c r="G67" s="76">
        <f t="shared" si="3"/>
        <v>16.573305577878084</v>
      </c>
      <c r="I67" s="77">
        <f t="shared" si="16"/>
        <v>59</v>
      </c>
      <c r="J67" s="73">
        <f t="shared" si="4"/>
        <v>2022</v>
      </c>
      <c r="K67" s="78">
        <f t="shared" si="17"/>
        <v>44743</v>
      </c>
    </row>
    <row r="68" spans="2:11" outlineLevel="1">
      <c r="B68" s="78">
        <f t="shared" si="1"/>
        <v>44774</v>
      </c>
      <c r="C68" s="75">
        <v>1075857.9606205523</v>
      </c>
      <c r="D68" s="71">
        <f>IF(F68&lt;&gt;0,VLOOKUP($J68,'Table 1'!$B$13:$C$33,2,FALSE)/12*1000*Study_MW,0)</f>
        <v>0</v>
      </c>
      <c r="E68" s="71">
        <f t="shared" si="15"/>
        <v>1075857.9606205523</v>
      </c>
      <c r="F68" s="75">
        <v>63240</v>
      </c>
      <c r="G68" s="76">
        <f t="shared" si="3"/>
        <v>17.012301717592543</v>
      </c>
      <c r="I68" s="77">
        <f t="shared" si="16"/>
        <v>60</v>
      </c>
      <c r="J68" s="73">
        <f t="shared" si="4"/>
        <v>2022</v>
      </c>
      <c r="K68" s="78">
        <f t="shared" si="17"/>
        <v>44774</v>
      </c>
    </row>
    <row r="69" spans="2:11" outlineLevel="1">
      <c r="B69" s="78">
        <f t="shared" si="1"/>
        <v>44805</v>
      </c>
      <c r="C69" s="75">
        <v>944821.17941854894</v>
      </c>
      <c r="D69" s="71">
        <f>IF(F69&lt;&gt;0,VLOOKUP($J69,'Table 1'!$B$13:$C$33,2,FALSE)/12*1000*Study_MW,0)</f>
        <v>0</v>
      </c>
      <c r="E69" s="71">
        <f t="shared" si="15"/>
        <v>944821.17941854894</v>
      </c>
      <c r="F69" s="75">
        <v>61200</v>
      </c>
      <c r="G69" s="76">
        <f t="shared" si="3"/>
        <v>15.438254565662564</v>
      </c>
      <c r="I69" s="77">
        <f t="shared" si="16"/>
        <v>61</v>
      </c>
      <c r="J69" s="73">
        <f t="shared" si="4"/>
        <v>2022</v>
      </c>
      <c r="K69" s="78">
        <f t="shared" si="17"/>
        <v>44805</v>
      </c>
    </row>
    <row r="70" spans="2:11" outlineLevel="1">
      <c r="B70" s="78">
        <f t="shared" si="1"/>
        <v>44835</v>
      </c>
      <c r="C70" s="75">
        <v>1064241.6239546984</v>
      </c>
      <c r="D70" s="71">
        <f>IF(F70&lt;&gt;0,VLOOKUP($J70,'Table 1'!$B$13:$C$33,2,FALSE)/12*1000*Study_MW,0)</f>
        <v>0</v>
      </c>
      <c r="E70" s="71">
        <f t="shared" si="15"/>
        <v>1064241.6239546984</v>
      </c>
      <c r="F70" s="75">
        <v>63240</v>
      </c>
      <c r="G70" s="76">
        <f t="shared" si="3"/>
        <v>16.82861517954931</v>
      </c>
      <c r="I70" s="77">
        <f t="shared" si="16"/>
        <v>62</v>
      </c>
      <c r="J70" s="73">
        <f t="shared" si="4"/>
        <v>2022</v>
      </c>
      <c r="K70" s="78">
        <f t="shared" si="17"/>
        <v>44835</v>
      </c>
    </row>
    <row r="71" spans="2:11" outlineLevel="1">
      <c r="B71" s="78">
        <f t="shared" si="1"/>
        <v>44866</v>
      </c>
      <c r="C71" s="75">
        <v>994457.87512096763</v>
      </c>
      <c r="D71" s="71">
        <f>IF(F71&lt;&gt;0,VLOOKUP($J71,'Table 1'!$B$13:$C$33,2,FALSE)/12*1000*Study_MW,0)</f>
        <v>0</v>
      </c>
      <c r="E71" s="71">
        <f t="shared" si="15"/>
        <v>994457.87512096763</v>
      </c>
      <c r="F71" s="75">
        <v>61200</v>
      </c>
      <c r="G71" s="76">
        <f t="shared" si="3"/>
        <v>16.24931168498313</v>
      </c>
      <c r="I71" s="77">
        <f t="shared" si="16"/>
        <v>63</v>
      </c>
      <c r="J71" s="73">
        <f t="shared" si="4"/>
        <v>2022</v>
      </c>
      <c r="K71" s="78">
        <f t="shared" si="17"/>
        <v>44866</v>
      </c>
    </row>
    <row r="72" spans="2:11" outlineLevel="1">
      <c r="B72" s="82">
        <f t="shared" si="1"/>
        <v>44896</v>
      </c>
      <c r="C72" s="79">
        <v>1237449.3756491989</v>
      </c>
      <c r="D72" s="80">
        <f>IF(F72&lt;&gt;0,VLOOKUP($J72,'Table 1'!$B$13:$C$33,2,FALSE)/12*1000*Study_MW,0)</f>
        <v>0</v>
      </c>
      <c r="E72" s="80">
        <f t="shared" si="15"/>
        <v>1237449.3756491989</v>
      </c>
      <c r="F72" s="79">
        <v>63240</v>
      </c>
      <c r="G72" s="81">
        <f t="shared" si="3"/>
        <v>19.567510683889925</v>
      </c>
      <c r="I72" s="64">
        <f t="shared" si="16"/>
        <v>64</v>
      </c>
      <c r="J72" s="73">
        <f t="shared" si="4"/>
        <v>2022</v>
      </c>
      <c r="K72" s="82">
        <f t="shared" si="17"/>
        <v>44896</v>
      </c>
    </row>
    <row r="73" spans="2:11" outlineLevel="1">
      <c r="B73" s="74">
        <f t="shared" si="1"/>
        <v>44927</v>
      </c>
      <c r="C73" s="69">
        <v>1321506.471028015</v>
      </c>
      <c r="D73" s="70">
        <f>IF(F73&lt;&gt;0,VLOOKUP($J73,'Table 1'!$B$13:$C$33,2,FALSE)/12*1000*Study_MW,0)</f>
        <v>0</v>
      </c>
      <c r="E73" s="70">
        <f t="shared" si="15"/>
        <v>1321506.471028015</v>
      </c>
      <c r="F73" s="69">
        <v>63240</v>
      </c>
      <c r="G73" s="72">
        <f t="shared" si="3"/>
        <v>20.896686765148878</v>
      </c>
      <c r="I73" s="60">
        <f>I61+13</f>
        <v>66</v>
      </c>
      <c r="J73" s="73">
        <f t="shared" si="4"/>
        <v>2023</v>
      </c>
      <c r="K73" s="74">
        <f t="shared" si="17"/>
        <v>44927</v>
      </c>
    </row>
    <row r="74" spans="2:11" outlineLevel="1">
      <c r="B74" s="78">
        <f t="shared" si="1"/>
        <v>44958</v>
      </c>
      <c r="C74" s="75">
        <v>1121951.8984804899</v>
      </c>
      <c r="D74" s="71">
        <f>IF(F74&lt;&gt;0,VLOOKUP($J74,'Table 1'!$B$13:$C$33,2,FALSE)/12*1000*Study_MW,0)</f>
        <v>0</v>
      </c>
      <c r="E74" s="71">
        <f t="shared" si="15"/>
        <v>1121951.8984804899</v>
      </c>
      <c r="F74" s="75">
        <v>57120</v>
      </c>
      <c r="G74" s="76">
        <f t="shared" si="3"/>
        <v>19.642015029420339</v>
      </c>
      <c r="I74" s="77">
        <f t="shared" si="16"/>
        <v>67</v>
      </c>
      <c r="J74" s="73">
        <f t="shared" si="4"/>
        <v>2023</v>
      </c>
      <c r="K74" s="78">
        <f t="shared" si="17"/>
        <v>44958</v>
      </c>
    </row>
    <row r="75" spans="2:11" outlineLevel="1">
      <c r="B75" s="78">
        <f t="shared" si="1"/>
        <v>44986</v>
      </c>
      <c r="C75" s="75">
        <v>1367251.4074763358</v>
      </c>
      <c r="D75" s="71">
        <f>IF(F75&lt;&gt;0,VLOOKUP($J75,'Table 1'!$B$13:$C$33,2,FALSE)/12*1000*Study_MW,0)</f>
        <v>0</v>
      </c>
      <c r="E75" s="71">
        <f t="shared" si="15"/>
        <v>1367251.4074763358</v>
      </c>
      <c r="F75" s="75">
        <v>63240</v>
      </c>
      <c r="G75" s="76">
        <f t="shared" si="3"/>
        <v>21.62004123144111</v>
      </c>
      <c r="I75" s="77">
        <f t="shared" si="16"/>
        <v>68</v>
      </c>
      <c r="J75" s="73">
        <f t="shared" si="4"/>
        <v>2023</v>
      </c>
      <c r="K75" s="78">
        <f t="shared" si="17"/>
        <v>44986</v>
      </c>
    </row>
    <row r="76" spans="2:11" outlineLevel="1">
      <c r="B76" s="78">
        <f t="shared" si="1"/>
        <v>45017</v>
      </c>
      <c r="C76" s="75">
        <v>1061902.8760189861</v>
      </c>
      <c r="D76" s="71">
        <f>IF(F76&lt;&gt;0,VLOOKUP($J76,'Table 1'!$B$13:$C$33,2,FALSE)/12*1000*Study_MW,0)</f>
        <v>0</v>
      </c>
      <c r="E76" s="71">
        <f t="shared" si="15"/>
        <v>1061902.8760189861</v>
      </c>
      <c r="F76" s="75">
        <v>61200</v>
      </c>
      <c r="G76" s="76">
        <f t="shared" si="3"/>
        <v>17.351354183316765</v>
      </c>
      <c r="I76" s="77">
        <f t="shared" si="16"/>
        <v>69</v>
      </c>
      <c r="J76" s="73">
        <f t="shared" si="4"/>
        <v>2023</v>
      </c>
      <c r="K76" s="78">
        <f t="shared" si="17"/>
        <v>45017</v>
      </c>
    </row>
    <row r="77" spans="2:11" outlineLevel="1">
      <c r="B77" s="78">
        <f t="shared" si="1"/>
        <v>45047</v>
      </c>
      <c r="C77" s="75">
        <v>875311.33476750553</v>
      </c>
      <c r="D77" s="71">
        <f>IF(F77&lt;&gt;0,VLOOKUP($J77,'Table 1'!$B$13:$C$33,2,FALSE)/12*1000*Study_MW,0)</f>
        <v>0</v>
      </c>
      <c r="E77" s="71">
        <f t="shared" si="15"/>
        <v>875311.33476750553</v>
      </c>
      <c r="F77" s="75">
        <v>63240</v>
      </c>
      <c r="G77" s="76">
        <f t="shared" si="3"/>
        <v>13.841102700308436</v>
      </c>
      <c r="I77" s="77">
        <f t="shared" si="16"/>
        <v>70</v>
      </c>
      <c r="J77" s="73">
        <f t="shared" si="4"/>
        <v>2023</v>
      </c>
      <c r="K77" s="78">
        <f t="shared" si="17"/>
        <v>45047</v>
      </c>
    </row>
    <row r="78" spans="2:11" outlineLevel="1">
      <c r="B78" s="78">
        <f t="shared" ref="B78:B141" si="31">EDATE(B77,1)</f>
        <v>45078</v>
      </c>
      <c r="C78" s="75">
        <v>918747.36293330789</v>
      </c>
      <c r="D78" s="71">
        <f>IF(F78&lt;&gt;0,VLOOKUP($J78,'Table 1'!$B$13:$C$33,2,FALSE)/12*1000*Study_MW,0)</f>
        <v>0</v>
      </c>
      <c r="E78" s="71">
        <f t="shared" ref="E78:E141" si="32">C78+D78</f>
        <v>918747.36293330789</v>
      </c>
      <c r="F78" s="75">
        <v>61200</v>
      </c>
      <c r="G78" s="76">
        <f t="shared" ref="G78:G141" si="33">IF(ISNUMBER($F78),E78/$F78,"")</f>
        <v>15.01221181263575</v>
      </c>
      <c r="I78" s="77">
        <f t="shared" si="16"/>
        <v>71</v>
      </c>
      <c r="J78" s="73">
        <f t="shared" ref="J78:J141" si="34">YEAR(B78)</f>
        <v>2023</v>
      </c>
      <c r="K78" s="78">
        <f t="shared" si="17"/>
        <v>45078</v>
      </c>
    </row>
    <row r="79" spans="2:11" outlineLevel="1">
      <c r="B79" s="78">
        <f t="shared" si="31"/>
        <v>45108</v>
      </c>
      <c r="C79" s="75">
        <v>983144.75633642077</v>
      </c>
      <c r="D79" s="71">
        <f>IF(F79&lt;&gt;0,VLOOKUP($J79,'Table 1'!$B$13:$C$33,2,FALSE)/12*1000*Study_MW,0)</f>
        <v>0</v>
      </c>
      <c r="E79" s="71">
        <f t="shared" si="32"/>
        <v>983144.75633642077</v>
      </c>
      <c r="F79" s="75">
        <v>63240</v>
      </c>
      <c r="G79" s="76">
        <f t="shared" si="33"/>
        <v>15.546248518918734</v>
      </c>
      <c r="I79" s="77">
        <f t="shared" si="16"/>
        <v>72</v>
      </c>
      <c r="J79" s="73">
        <f t="shared" si="34"/>
        <v>2023</v>
      </c>
      <c r="K79" s="78">
        <f t="shared" si="17"/>
        <v>45108</v>
      </c>
    </row>
    <row r="80" spans="2:11" outlineLevel="1">
      <c r="B80" s="78">
        <f t="shared" si="31"/>
        <v>45139</v>
      </c>
      <c r="C80" s="75">
        <v>1099511.7299329042</v>
      </c>
      <c r="D80" s="71">
        <f>IF(F80&lt;&gt;0,VLOOKUP($J80,'Table 1'!$B$13:$C$33,2,FALSE)/12*1000*Study_MW,0)</f>
        <v>0</v>
      </c>
      <c r="E80" s="71">
        <f t="shared" si="32"/>
        <v>1099511.7299329042</v>
      </c>
      <c r="F80" s="75">
        <v>63240</v>
      </c>
      <c r="G80" s="76">
        <f t="shared" si="33"/>
        <v>17.38633349040013</v>
      </c>
      <c r="I80" s="77">
        <f t="shared" si="16"/>
        <v>73</v>
      </c>
      <c r="J80" s="73">
        <f t="shared" si="34"/>
        <v>2023</v>
      </c>
      <c r="K80" s="78">
        <f t="shared" si="17"/>
        <v>45139</v>
      </c>
    </row>
    <row r="81" spans="2:11" outlineLevel="1">
      <c r="B81" s="78">
        <f t="shared" si="31"/>
        <v>45170</v>
      </c>
      <c r="C81" s="75">
        <v>967220.7725879252</v>
      </c>
      <c r="D81" s="71">
        <f>IF(F81&lt;&gt;0,VLOOKUP($J81,'Table 1'!$B$13:$C$33,2,FALSE)/12*1000*Study_MW,0)</f>
        <v>0</v>
      </c>
      <c r="E81" s="71">
        <f t="shared" si="32"/>
        <v>967220.7725879252</v>
      </c>
      <c r="F81" s="75">
        <v>61200</v>
      </c>
      <c r="G81" s="76">
        <f t="shared" si="33"/>
        <v>15.804260989998777</v>
      </c>
      <c r="I81" s="77">
        <f t="shared" si="16"/>
        <v>74</v>
      </c>
      <c r="J81" s="73">
        <f t="shared" si="34"/>
        <v>2023</v>
      </c>
      <c r="K81" s="78">
        <f t="shared" si="17"/>
        <v>45170</v>
      </c>
    </row>
    <row r="82" spans="2:11" outlineLevel="1">
      <c r="B82" s="78">
        <f t="shared" si="31"/>
        <v>45200</v>
      </c>
      <c r="C82" s="75">
        <v>1156401.0315049887</v>
      </c>
      <c r="D82" s="71">
        <f>IF(F82&lt;&gt;0,VLOOKUP($J82,'Table 1'!$B$13:$C$33,2,FALSE)/12*1000*Study_MW,0)</f>
        <v>0</v>
      </c>
      <c r="E82" s="71">
        <f t="shared" si="32"/>
        <v>1156401.0315049887</v>
      </c>
      <c r="F82" s="75">
        <v>63240</v>
      </c>
      <c r="G82" s="76">
        <f t="shared" si="33"/>
        <v>18.285911314120632</v>
      </c>
      <c r="I82" s="77">
        <f t="shared" si="16"/>
        <v>75</v>
      </c>
      <c r="J82" s="73">
        <f t="shared" si="34"/>
        <v>2023</v>
      </c>
      <c r="K82" s="78">
        <f t="shared" si="17"/>
        <v>45200</v>
      </c>
    </row>
    <row r="83" spans="2:11" outlineLevel="1">
      <c r="B83" s="78">
        <f t="shared" si="31"/>
        <v>45231</v>
      </c>
      <c r="C83" s="75">
        <v>1067513.42281425</v>
      </c>
      <c r="D83" s="71">
        <f>IF(F83&lt;&gt;0,VLOOKUP($J83,'Table 1'!$B$13:$C$33,2,FALSE)/12*1000*Study_MW,0)</f>
        <v>0</v>
      </c>
      <c r="E83" s="71">
        <f t="shared" si="32"/>
        <v>1067513.42281425</v>
      </c>
      <c r="F83" s="75">
        <v>61200</v>
      </c>
      <c r="G83" s="76">
        <f t="shared" si="33"/>
        <v>17.443029784546567</v>
      </c>
      <c r="I83" s="77">
        <f t="shared" si="16"/>
        <v>76</v>
      </c>
      <c r="J83" s="73">
        <f t="shared" si="34"/>
        <v>2023</v>
      </c>
      <c r="K83" s="78">
        <f t="shared" si="17"/>
        <v>45231</v>
      </c>
    </row>
    <row r="84" spans="2:11" outlineLevel="1">
      <c r="B84" s="82">
        <f t="shared" si="31"/>
        <v>45261</v>
      </c>
      <c r="C84" s="79">
        <v>1178522.9837145507</v>
      </c>
      <c r="D84" s="80">
        <f>IF(F84&lt;&gt;0,VLOOKUP($J84,'Table 1'!$B$13:$C$33,2,FALSE)/12*1000*Study_MW,0)</f>
        <v>0</v>
      </c>
      <c r="E84" s="80">
        <f t="shared" si="32"/>
        <v>1178522.9837145507</v>
      </c>
      <c r="F84" s="79">
        <v>63240</v>
      </c>
      <c r="G84" s="81">
        <f t="shared" si="33"/>
        <v>18.635720805100423</v>
      </c>
      <c r="I84" s="64">
        <f t="shared" si="16"/>
        <v>77</v>
      </c>
      <c r="J84" s="73">
        <f t="shared" si="34"/>
        <v>2023</v>
      </c>
      <c r="K84" s="82">
        <f t="shared" si="17"/>
        <v>45261</v>
      </c>
    </row>
    <row r="85" spans="2:11" outlineLevel="1">
      <c r="B85" s="74">
        <f t="shared" si="31"/>
        <v>45292</v>
      </c>
      <c r="C85" s="69">
        <v>1218034.8786147386</v>
      </c>
      <c r="D85" s="70">
        <f>IF(F85&lt;&gt;0,VLOOKUP($J85,'Table 1'!$B$13:$C$33,2,FALSE)/12*1000*Study_MW,0)</f>
        <v>0</v>
      </c>
      <c r="E85" s="70">
        <f t="shared" si="32"/>
        <v>1218034.8786147386</v>
      </c>
      <c r="F85" s="69">
        <v>63240</v>
      </c>
      <c r="G85" s="72">
        <f t="shared" si="33"/>
        <v>19.260513577083152</v>
      </c>
      <c r="I85" s="60">
        <f>I73+13</f>
        <v>79</v>
      </c>
      <c r="J85" s="73">
        <f t="shared" si="34"/>
        <v>2024</v>
      </c>
      <c r="K85" s="74">
        <f t="shared" si="17"/>
        <v>45292</v>
      </c>
    </row>
    <row r="86" spans="2:11" outlineLevel="1">
      <c r="B86" s="78">
        <f t="shared" si="31"/>
        <v>45323</v>
      </c>
      <c r="C86" s="75">
        <v>1294206.238314569</v>
      </c>
      <c r="D86" s="71">
        <f>IF(F86&lt;&gt;0,VLOOKUP($J86,'Table 1'!$B$13:$C$33,2,FALSE)/12*1000*Study_MW,0)</f>
        <v>0</v>
      </c>
      <c r="E86" s="71">
        <f t="shared" si="32"/>
        <v>1294206.238314569</v>
      </c>
      <c r="F86" s="75">
        <v>59160</v>
      </c>
      <c r="G86" s="76">
        <f t="shared" si="33"/>
        <v>21.876373196662762</v>
      </c>
      <c r="I86" s="77">
        <f t="shared" si="16"/>
        <v>80</v>
      </c>
      <c r="J86" s="73">
        <f t="shared" si="34"/>
        <v>2024</v>
      </c>
      <c r="K86" s="78">
        <f t="shared" si="17"/>
        <v>45323</v>
      </c>
    </row>
    <row r="87" spans="2:11" outlineLevel="1">
      <c r="B87" s="78">
        <f t="shared" si="31"/>
        <v>45352</v>
      </c>
      <c r="C87" s="75">
        <v>1429682.4321909845</v>
      </c>
      <c r="D87" s="71">
        <f>IF(F87&lt;&gt;0,VLOOKUP($J87,'Table 1'!$B$13:$C$33,2,FALSE)/12*1000*Study_MW,0)</f>
        <v>0</v>
      </c>
      <c r="E87" s="71">
        <f t="shared" si="32"/>
        <v>1429682.4321909845</v>
      </c>
      <c r="F87" s="75">
        <v>63240</v>
      </c>
      <c r="G87" s="76">
        <f t="shared" si="33"/>
        <v>22.607249085878944</v>
      </c>
      <c r="I87" s="77">
        <f t="shared" si="16"/>
        <v>81</v>
      </c>
      <c r="J87" s="73">
        <f t="shared" si="34"/>
        <v>2024</v>
      </c>
      <c r="K87" s="78">
        <f t="shared" si="17"/>
        <v>45352</v>
      </c>
    </row>
    <row r="88" spans="2:11" outlineLevel="1">
      <c r="B88" s="78">
        <f t="shared" si="31"/>
        <v>45383</v>
      </c>
      <c r="C88" s="75">
        <v>998590.60915628076</v>
      </c>
      <c r="D88" s="71">
        <f>IF(F88&lt;&gt;0,VLOOKUP($J88,'Table 1'!$B$13:$C$33,2,FALSE)/12*1000*Study_MW,0)</f>
        <v>0</v>
      </c>
      <c r="E88" s="71">
        <f t="shared" si="32"/>
        <v>998590.60915628076</v>
      </c>
      <c r="F88" s="75">
        <v>61200</v>
      </c>
      <c r="G88" s="76">
        <f t="shared" si="33"/>
        <v>16.316840018893476</v>
      </c>
      <c r="I88" s="77">
        <f t="shared" si="16"/>
        <v>82</v>
      </c>
      <c r="J88" s="73">
        <f t="shared" si="34"/>
        <v>2024</v>
      </c>
      <c r="K88" s="78">
        <f t="shared" si="17"/>
        <v>45383</v>
      </c>
    </row>
    <row r="89" spans="2:11" outlineLevel="1">
      <c r="B89" s="78">
        <f t="shared" si="31"/>
        <v>45413</v>
      </c>
      <c r="C89" s="75">
        <v>954902.91144008934</v>
      </c>
      <c r="D89" s="71">
        <f>IF(F89&lt;&gt;0,VLOOKUP($J89,'Table 1'!$B$13:$C$33,2,FALSE)/12*1000*Study_MW,0)</f>
        <v>0</v>
      </c>
      <c r="E89" s="71">
        <f t="shared" si="32"/>
        <v>954902.91144008934</v>
      </c>
      <c r="F89" s="75">
        <v>63240</v>
      </c>
      <c r="G89" s="76">
        <f t="shared" si="33"/>
        <v>15.09966653131071</v>
      </c>
      <c r="I89" s="77">
        <f t="shared" si="16"/>
        <v>83</v>
      </c>
      <c r="J89" s="73">
        <f t="shared" si="34"/>
        <v>2024</v>
      </c>
      <c r="K89" s="78">
        <f t="shared" si="17"/>
        <v>45413</v>
      </c>
    </row>
    <row r="90" spans="2:11" outlineLevel="1">
      <c r="B90" s="78">
        <f t="shared" si="31"/>
        <v>45444</v>
      </c>
      <c r="C90" s="75">
        <v>988646.8756378442</v>
      </c>
      <c r="D90" s="71">
        <f>IF(F90&lt;&gt;0,VLOOKUP($J90,'Table 1'!$B$13:$C$33,2,FALSE)/12*1000*Study_MW,0)</f>
        <v>0</v>
      </c>
      <c r="E90" s="71">
        <f t="shared" si="32"/>
        <v>988646.8756378442</v>
      </c>
      <c r="F90" s="75">
        <v>61200</v>
      </c>
      <c r="G90" s="76">
        <f t="shared" si="33"/>
        <v>16.15436071303667</v>
      </c>
      <c r="I90" s="77">
        <f t="shared" ref="I90:I96" si="35">I78+13</f>
        <v>84</v>
      </c>
      <c r="J90" s="73">
        <f t="shared" si="34"/>
        <v>2024</v>
      </c>
      <c r="K90" s="78">
        <f t="shared" ref="K90:K153" si="36">IF(ISNUMBER(F90),IF(F90&lt;&gt;0,B90,""),"")</f>
        <v>45444</v>
      </c>
    </row>
    <row r="91" spans="2:11" outlineLevel="1">
      <c r="B91" s="78">
        <f t="shared" si="31"/>
        <v>45474</v>
      </c>
      <c r="C91" s="75">
        <v>1292787.1203676462</v>
      </c>
      <c r="D91" s="71">
        <f>IF(F91&lt;&gt;0,VLOOKUP($J91,'Table 1'!$B$13:$C$33,2,FALSE)/12*1000*Study_MW,0)</f>
        <v>0</v>
      </c>
      <c r="E91" s="71">
        <f t="shared" si="32"/>
        <v>1292787.1203676462</v>
      </c>
      <c r="F91" s="75">
        <v>63240</v>
      </c>
      <c r="G91" s="76">
        <f t="shared" si="33"/>
        <v>20.442554085509901</v>
      </c>
      <c r="I91" s="77">
        <f t="shared" si="35"/>
        <v>85</v>
      </c>
      <c r="J91" s="73">
        <f t="shared" si="34"/>
        <v>2024</v>
      </c>
      <c r="K91" s="78">
        <f t="shared" si="36"/>
        <v>45474</v>
      </c>
    </row>
    <row r="92" spans="2:11" outlineLevel="1">
      <c r="B92" s="78">
        <f t="shared" si="31"/>
        <v>45505</v>
      </c>
      <c r="C92" s="75">
        <v>1271907.6270236075</v>
      </c>
      <c r="D92" s="71">
        <f>IF(F92&lt;&gt;0,VLOOKUP($J92,'Table 1'!$B$13:$C$33,2,FALSE)/12*1000*Study_MW,0)</f>
        <v>0</v>
      </c>
      <c r="E92" s="71">
        <f t="shared" si="32"/>
        <v>1271907.6270236075</v>
      </c>
      <c r="F92" s="75">
        <v>63240</v>
      </c>
      <c r="G92" s="76">
        <f t="shared" si="33"/>
        <v>20.112391319158878</v>
      </c>
      <c r="I92" s="77">
        <f t="shared" si="35"/>
        <v>86</v>
      </c>
      <c r="J92" s="73">
        <f t="shared" si="34"/>
        <v>2024</v>
      </c>
      <c r="K92" s="78">
        <f t="shared" si="36"/>
        <v>45505</v>
      </c>
    </row>
    <row r="93" spans="2:11" outlineLevel="1">
      <c r="B93" s="78">
        <f t="shared" si="31"/>
        <v>45536</v>
      </c>
      <c r="C93" s="75">
        <v>1215535.221654743</v>
      </c>
      <c r="D93" s="71">
        <f>IF(F93&lt;&gt;0,VLOOKUP($J93,'Table 1'!$B$13:$C$33,2,FALSE)/12*1000*Study_MW,0)</f>
        <v>0</v>
      </c>
      <c r="E93" s="71">
        <f t="shared" si="32"/>
        <v>1215535.221654743</v>
      </c>
      <c r="F93" s="75">
        <v>61200</v>
      </c>
      <c r="G93" s="76">
        <f t="shared" si="33"/>
        <v>19.861686628345474</v>
      </c>
      <c r="I93" s="77">
        <f t="shared" si="35"/>
        <v>87</v>
      </c>
      <c r="J93" s="73">
        <f t="shared" si="34"/>
        <v>2024</v>
      </c>
      <c r="K93" s="78">
        <f t="shared" si="36"/>
        <v>45536</v>
      </c>
    </row>
    <row r="94" spans="2:11" outlineLevel="1">
      <c r="B94" s="78">
        <f t="shared" si="31"/>
        <v>45566</v>
      </c>
      <c r="C94" s="75">
        <v>1313835.8593527824</v>
      </c>
      <c r="D94" s="71">
        <f>IF(F94&lt;&gt;0,VLOOKUP($J94,'Table 1'!$B$13:$C$33,2,FALSE)/12*1000*Study_MW,0)</f>
        <v>0</v>
      </c>
      <c r="E94" s="71">
        <f t="shared" si="32"/>
        <v>1313835.8593527824</v>
      </c>
      <c r="F94" s="75">
        <v>63240</v>
      </c>
      <c r="G94" s="76">
        <f t="shared" si="33"/>
        <v>20.775393095395042</v>
      </c>
      <c r="I94" s="77">
        <f t="shared" si="35"/>
        <v>88</v>
      </c>
      <c r="J94" s="73">
        <f t="shared" si="34"/>
        <v>2024</v>
      </c>
      <c r="K94" s="78">
        <f t="shared" si="36"/>
        <v>45566</v>
      </c>
    </row>
    <row r="95" spans="2:11" outlineLevel="1">
      <c r="B95" s="78">
        <f t="shared" si="31"/>
        <v>45597</v>
      </c>
      <c r="C95" s="75">
        <v>1420631.6307007521</v>
      </c>
      <c r="D95" s="71">
        <f>IF(F95&lt;&gt;0,VLOOKUP($J95,'Table 1'!$B$13:$C$33,2,FALSE)/12*1000*Study_MW,0)</f>
        <v>0</v>
      </c>
      <c r="E95" s="71">
        <f t="shared" si="32"/>
        <v>1420631.6307007521</v>
      </c>
      <c r="F95" s="75">
        <v>61200</v>
      </c>
      <c r="G95" s="76">
        <f t="shared" si="33"/>
        <v>23.212935142169151</v>
      </c>
      <c r="I95" s="77">
        <f t="shared" si="35"/>
        <v>89</v>
      </c>
      <c r="J95" s="73">
        <f t="shared" si="34"/>
        <v>2024</v>
      </c>
      <c r="K95" s="78">
        <f t="shared" si="36"/>
        <v>45597</v>
      </c>
    </row>
    <row r="96" spans="2:11" outlineLevel="1">
      <c r="B96" s="82">
        <f t="shared" si="31"/>
        <v>45627</v>
      </c>
      <c r="C96" s="79">
        <v>1309369.6511661261</v>
      </c>
      <c r="D96" s="80">
        <f>IF(F96&lt;&gt;0,VLOOKUP($J96,'Table 1'!$B$13:$C$33,2,FALSE)/12*1000*Study_MW,0)</f>
        <v>0</v>
      </c>
      <c r="E96" s="80">
        <f t="shared" si="32"/>
        <v>1309369.6511661261</v>
      </c>
      <c r="F96" s="79">
        <v>63240</v>
      </c>
      <c r="G96" s="81">
        <f t="shared" si="33"/>
        <v>20.704769942538363</v>
      </c>
      <c r="I96" s="64">
        <f t="shared" si="35"/>
        <v>90</v>
      </c>
      <c r="J96" s="73">
        <f t="shared" si="34"/>
        <v>2024</v>
      </c>
      <c r="K96" s="82">
        <f t="shared" si="36"/>
        <v>45627</v>
      </c>
    </row>
    <row r="97" spans="2:11" outlineLevel="1">
      <c r="B97" s="74">
        <f t="shared" si="31"/>
        <v>45658</v>
      </c>
      <c r="C97" s="69">
        <v>1348019.4067148417</v>
      </c>
      <c r="D97" s="70">
        <f>IF(F97&lt;&gt;0,VLOOKUP($J97,'Table 1'!$B$13:$C$33,2,FALSE)/12*1000*Study_MW,0)</f>
        <v>0</v>
      </c>
      <c r="E97" s="70">
        <f t="shared" si="32"/>
        <v>1348019.4067148417</v>
      </c>
      <c r="F97" s="69">
        <v>63240</v>
      </c>
      <c r="G97" s="72">
        <f t="shared" si="33"/>
        <v>21.315929897451639</v>
      </c>
      <c r="I97" s="60">
        <f>I85+13</f>
        <v>92</v>
      </c>
      <c r="J97" s="73">
        <f t="shared" si="34"/>
        <v>2025</v>
      </c>
      <c r="K97" s="74">
        <f t="shared" si="36"/>
        <v>45658</v>
      </c>
    </row>
    <row r="98" spans="2:11" outlineLevel="1">
      <c r="B98" s="78">
        <f t="shared" si="31"/>
        <v>45689</v>
      </c>
      <c r="C98" s="75">
        <v>1586844.5396024883</v>
      </c>
      <c r="D98" s="71">
        <f>IF(F98&lt;&gt;0,VLOOKUP($J98,'Table 1'!$B$13:$C$33,2,FALSE)/12*1000*Study_MW,0)</f>
        <v>0</v>
      </c>
      <c r="E98" s="71">
        <f t="shared" si="32"/>
        <v>1586844.5396024883</v>
      </c>
      <c r="F98" s="75">
        <v>57120</v>
      </c>
      <c r="G98" s="76">
        <f t="shared" si="33"/>
        <v>27.780891799763449</v>
      </c>
      <c r="I98" s="77">
        <f t="shared" ref="I98:I120" si="37">I86+13</f>
        <v>93</v>
      </c>
      <c r="J98" s="73">
        <f t="shared" si="34"/>
        <v>2025</v>
      </c>
      <c r="K98" s="78">
        <f t="shared" si="36"/>
        <v>45689</v>
      </c>
    </row>
    <row r="99" spans="2:11" outlineLevel="1">
      <c r="B99" s="78">
        <f t="shared" si="31"/>
        <v>45717</v>
      </c>
      <c r="C99" s="75">
        <v>1477778.7698578686</v>
      </c>
      <c r="D99" s="71">
        <f>IF(F99&lt;&gt;0,VLOOKUP($J99,'Table 1'!$B$13:$C$33,2,FALSE)/12*1000*Study_MW,0)</f>
        <v>0</v>
      </c>
      <c r="E99" s="71">
        <f t="shared" si="32"/>
        <v>1477778.7698578686</v>
      </c>
      <c r="F99" s="75">
        <v>63240</v>
      </c>
      <c r="G99" s="76">
        <f t="shared" si="33"/>
        <v>23.367785734627901</v>
      </c>
      <c r="I99" s="77">
        <f t="shared" si="37"/>
        <v>94</v>
      </c>
      <c r="J99" s="73">
        <f t="shared" si="34"/>
        <v>2025</v>
      </c>
      <c r="K99" s="78">
        <f t="shared" si="36"/>
        <v>45717</v>
      </c>
    </row>
    <row r="100" spans="2:11" outlineLevel="1">
      <c r="B100" s="78">
        <f t="shared" si="31"/>
        <v>45748</v>
      </c>
      <c r="C100" s="75">
        <v>1148266.8342126608</v>
      </c>
      <c r="D100" s="71">
        <f>IF(F100&lt;&gt;0,VLOOKUP($J100,'Table 1'!$B$13:$C$33,2,FALSE)/12*1000*Study_MW,0)</f>
        <v>0</v>
      </c>
      <c r="E100" s="71">
        <f t="shared" si="32"/>
        <v>1148266.8342126608</v>
      </c>
      <c r="F100" s="75">
        <v>61200</v>
      </c>
      <c r="G100" s="76">
        <f t="shared" si="33"/>
        <v>18.762529970795111</v>
      </c>
      <c r="I100" s="77">
        <f t="shared" si="37"/>
        <v>95</v>
      </c>
      <c r="J100" s="73">
        <f t="shared" si="34"/>
        <v>2025</v>
      </c>
      <c r="K100" s="78">
        <f t="shared" si="36"/>
        <v>45748</v>
      </c>
    </row>
    <row r="101" spans="2:11" outlineLevel="1">
      <c r="B101" s="78">
        <f t="shared" si="31"/>
        <v>45778</v>
      </c>
      <c r="C101" s="75">
        <v>964979.33657972515</v>
      </c>
      <c r="D101" s="71">
        <f>IF(F101&lt;&gt;0,VLOOKUP($J101,'Table 1'!$B$13:$C$33,2,FALSE)/12*1000*Study_MW,0)</f>
        <v>0</v>
      </c>
      <c r="E101" s="71">
        <f t="shared" si="32"/>
        <v>964979.33657972515</v>
      </c>
      <c r="F101" s="75">
        <v>63240</v>
      </c>
      <c r="G101" s="76">
        <f t="shared" si="33"/>
        <v>15.259002792215767</v>
      </c>
      <c r="I101" s="77">
        <f t="shared" si="37"/>
        <v>96</v>
      </c>
      <c r="J101" s="73">
        <f t="shared" si="34"/>
        <v>2025</v>
      </c>
      <c r="K101" s="78">
        <f t="shared" si="36"/>
        <v>45778</v>
      </c>
    </row>
    <row r="102" spans="2:11" outlineLevel="1">
      <c r="B102" s="78">
        <f t="shared" si="31"/>
        <v>45809</v>
      </c>
      <c r="C102" s="75">
        <v>1046137.5211004168</v>
      </c>
      <c r="D102" s="71">
        <f>IF(F102&lt;&gt;0,VLOOKUP($J102,'Table 1'!$B$13:$C$33,2,FALSE)/12*1000*Study_MW,0)</f>
        <v>0</v>
      </c>
      <c r="E102" s="71">
        <f t="shared" si="32"/>
        <v>1046137.5211004168</v>
      </c>
      <c r="F102" s="75">
        <v>61200</v>
      </c>
      <c r="G102" s="76">
        <f t="shared" si="33"/>
        <v>17.093750344778051</v>
      </c>
      <c r="I102" s="77">
        <f t="shared" si="37"/>
        <v>97</v>
      </c>
      <c r="J102" s="73">
        <f t="shared" si="34"/>
        <v>2025</v>
      </c>
      <c r="K102" s="78">
        <f t="shared" si="36"/>
        <v>45809</v>
      </c>
    </row>
    <row r="103" spans="2:11" outlineLevel="1">
      <c r="B103" s="78">
        <f t="shared" si="31"/>
        <v>45839</v>
      </c>
      <c r="C103" s="75">
        <v>1662124.8131758571</v>
      </c>
      <c r="D103" s="71">
        <f>IF(F103&lt;&gt;0,VLOOKUP($J103,'Table 1'!$B$13:$C$33,2,FALSE)/12*1000*Study_MW,0)</f>
        <v>0</v>
      </c>
      <c r="E103" s="71">
        <f t="shared" si="32"/>
        <v>1662124.8131758571</v>
      </c>
      <c r="F103" s="75">
        <v>63240</v>
      </c>
      <c r="G103" s="76">
        <f t="shared" si="33"/>
        <v>26.282808557492995</v>
      </c>
      <c r="I103" s="77">
        <f t="shared" si="37"/>
        <v>98</v>
      </c>
      <c r="J103" s="73">
        <f t="shared" si="34"/>
        <v>2025</v>
      </c>
      <c r="K103" s="78">
        <f t="shared" si="36"/>
        <v>45839</v>
      </c>
    </row>
    <row r="104" spans="2:11" outlineLevel="1">
      <c r="B104" s="78">
        <f t="shared" si="31"/>
        <v>45870</v>
      </c>
      <c r="C104" s="75">
        <v>1703762.665355444</v>
      </c>
      <c r="D104" s="71">
        <f>IF(F104&lt;&gt;0,VLOOKUP($J104,'Table 1'!$B$13:$C$33,2,FALSE)/12*1000*Study_MW,0)</f>
        <v>0</v>
      </c>
      <c r="E104" s="71">
        <f t="shared" si="32"/>
        <v>1703762.665355444</v>
      </c>
      <c r="F104" s="75">
        <v>63240</v>
      </c>
      <c r="G104" s="76">
        <f t="shared" si="33"/>
        <v>26.941218617258759</v>
      </c>
      <c r="I104" s="77">
        <f t="shared" si="37"/>
        <v>99</v>
      </c>
      <c r="J104" s="73">
        <f t="shared" si="34"/>
        <v>2025</v>
      </c>
      <c r="K104" s="78">
        <f t="shared" si="36"/>
        <v>45870</v>
      </c>
    </row>
    <row r="105" spans="2:11" outlineLevel="1">
      <c r="B105" s="78">
        <f t="shared" si="31"/>
        <v>45901</v>
      </c>
      <c r="C105" s="75">
        <v>1795473.2027232051</v>
      </c>
      <c r="D105" s="71">
        <f>IF(F105&lt;&gt;0,VLOOKUP($J105,'Table 1'!$B$13:$C$33,2,FALSE)/12*1000*Study_MW,0)</f>
        <v>0</v>
      </c>
      <c r="E105" s="71">
        <f t="shared" si="32"/>
        <v>1795473.2027232051</v>
      </c>
      <c r="F105" s="75">
        <v>61200</v>
      </c>
      <c r="G105" s="76">
        <f t="shared" si="33"/>
        <v>29.337797430117732</v>
      </c>
      <c r="I105" s="77">
        <f t="shared" si="37"/>
        <v>100</v>
      </c>
      <c r="J105" s="73">
        <f t="shared" si="34"/>
        <v>2025</v>
      </c>
      <c r="K105" s="78">
        <f t="shared" si="36"/>
        <v>45901</v>
      </c>
    </row>
    <row r="106" spans="2:11" outlineLevel="1">
      <c r="B106" s="78">
        <f t="shared" si="31"/>
        <v>45931</v>
      </c>
      <c r="C106" s="75">
        <v>1589665.065399155</v>
      </c>
      <c r="D106" s="71">
        <f>IF(F106&lt;&gt;0,VLOOKUP($J106,'Table 1'!$B$13:$C$33,2,FALSE)/12*1000*Study_MW,0)</f>
        <v>0</v>
      </c>
      <c r="E106" s="71">
        <f t="shared" si="32"/>
        <v>1589665.065399155</v>
      </c>
      <c r="F106" s="75">
        <v>63240</v>
      </c>
      <c r="G106" s="76">
        <f t="shared" si="33"/>
        <v>25.137018744452167</v>
      </c>
      <c r="I106" s="77">
        <f t="shared" si="37"/>
        <v>101</v>
      </c>
      <c r="J106" s="73">
        <f t="shared" si="34"/>
        <v>2025</v>
      </c>
      <c r="K106" s="78">
        <f t="shared" si="36"/>
        <v>45931</v>
      </c>
    </row>
    <row r="107" spans="2:11" outlineLevel="1">
      <c r="B107" s="78">
        <f t="shared" si="31"/>
        <v>45962</v>
      </c>
      <c r="C107" s="75">
        <v>1689589.5662700385</v>
      </c>
      <c r="D107" s="71">
        <f>IF(F107&lt;&gt;0,VLOOKUP($J107,'Table 1'!$B$13:$C$33,2,FALSE)/12*1000*Study_MW,0)</f>
        <v>0</v>
      </c>
      <c r="E107" s="71">
        <f t="shared" si="32"/>
        <v>1689589.5662700385</v>
      </c>
      <c r="F107" s="75">
        <v>61200</v>
      </c>
      <c r="G107" s="76">
        <f t="shared" si="33"/>
        <v>27.607672651471216</v>
      </c>
      <c r="I107" s="77">
        <f t="shared" si="37"/>
        <v>102</v>
      </c>
      <c r="J107" s="73">
        <f t="shared" si="34"/>
        <v>2025</v>
      </c>
      <c r="K107" s="78">
        <f t="shared" si="36"/>
        <v>45962</v>
      </c>
    </row>
    <row r="108" spans="2:11" outlineLevel="1">
      <c r="B108" s="82">
        <f t="shared" si="31"/>
        <v>45992</v>
      </c>
      <c r="C108" s="79">
        <v>1701977.9090408832</v>
      </c>
      <c r="D108" s="80">
        <f>IF(F108&lt;&gt;0,VLOOKUP($J108,'Table 1'!$B$13:$C$33,2,FALSE)/12*1000*Study_MW,0)</f>
        <v>0</v>
      </c>
      <c r="E108" s="80">
        <f t="shared" si="32"/>
        <v>1701977.9090408832</v>
      </c>
      <c r="F108" s="79">
        <v>63240</v>
      </c>
      <c r="G108" s="81">
        <f t="shared" si="33"/>
        <v>26.912996664150587</v>
      </c>
      <c r="I108" s="64">
        <f t="shared" si="37"/>
        <v>103</v>
      </c>
      <c r="J108" s="73">
        <f t="shared" si="34"/>
        <v>2025</v>
      </c>
      <c r="K108" s="82">
        <f t="shared" si="36"/>
        <v>45992</v>
      </c>
    </row>
    <row r="109" spans="2:11" outlineLevel="1">
      <c r="B109" s="74">
        <f t="shared" si="31"/>
        <v>46023</v>
      </c>
      <c r="C109" s="69">
        <v>1721819.768375814</v>
      </c>
      <c r="D109" s="70">
        <f>IF(F109&lt;&gt;0,VLOOKUP($J109,'Table 1'!$B$13:$C$33,2,FALSE)/12*1000*Study_MW,0)</f>
        <v>0</v>
      </c>
      <c r="E109" s="70">
        <f t="shared" si="32"/>
        <v>1721819.768375814</v>
      </c>
      <c r="F109" s="69">
        <v>63240</v>
      </c>
      <c r="G109" s="72">
        <f t="shared" si="33"/>
        <v>27.226751555594781</v>
      </c>
      <c r="I109" s="60">
        <f>I97+13</f>
        <v>105</v>
      </c>
      <c r="J109" s="73">
        <f t="shared" si="34"/>
        <v>2026</v>
      </c>
      <c r="K109" s="74">
        <f t="shared" si="36"/>
        <v>46023</v>
      </c>
    </row>
    <row r="110" spans="2:11" outlineLevel="1">
      <c r="B110" s="78">
        <f t="shared" si="31"/>
        <v>46054</v>
      </c>
      <c r="C110" s="75">
        <v>1607338.6322222799</v>
      </c>
      <c r="D110" s="71">
        <f>IF(F110&lt;&gt;0,VLOOKUP($J110,'Table 1'!$B$13:$C$33,2,FALSE)/12*1000*Study_MW,0)</f>
        <v>0</v>
      </c>
      <c r="E110" s="71">
        <f t="shared" si="32"/>
        <v>1607338.6322222799</v>
      </c>
      <c r="F110" s="75">
        <v>57120</v>
      </c>
      <c r="G110" s="76">
        <f t="shared" si="33"/>
        <v>28.139681936664566</v>
      </c>
      <c r="I110" s="77">
        <f t="shared" si="37"/>
        <v>106</v>
      </c>
      <c r="J110" s="73">
        <f t="shared" si="34"/>
        <v>2026</v>
      </c>
      <c r="K110" s="78">
        <f t="shared" si="36"/>
        <v>46054</v>
      </c>
    </row>
    <row r="111" spans="2:11" outlineLevel="1">
      <c r="B111" s="78">
        <f t="shared" si="31"/>
        <v>46082</v>
      </c>
      <c r="C111" s="75">
        <v>1429229.4049701691</v>
      </c>
      <c r="D111" s="71">
        <f>IF(F111&lt;&gt;0,VLOOKUP($J111,'Table 1'!$B$13:$C$33,2,FALSE)/12*1000*Study_MW,0)</f>
        <v>0</v>
      </c>
      <c r="E111" s="71">
        <f t="shared" si="32"/>
        <v>1429229.4049701691</v>
      </c>
      <c r="F111" s="75">
        <v>63240</v>
      </c>
      <c r="G111" s="76">
        <f t="shared" si="33"/>
        <v>22.600085467586482</v>
      </c>
      <c r="I111" s="77">
        <f t="shared" si="37"/>
        <v>107</v>
      </c>
      <c r="J111" s="73">
        <f t="shared" si="34"/>
        <v>2026</v>
      </c>
      <c r="K111" s="78">
        <f t="shared" si="36"/>
        <v>46082</v>
      </c>
    </row>
    <row r="112" spans="2:11" outlineLevel="1">
      <c r="B112" s="78">
        <f t="shared" si="31"/>
        <v>46113</v>
      </c>
      <c r="C112" s="75">
        <v>1261586.21854572</v>
      </c>
      <c r="D112" s="71">
        <f>IF(F112&lt;&gt;0,VLOOKUP($J112,'Table 1'!$B$13:$C$33,2,FALSE)/12*1000*Study_MW,0)</f>
        <v>0</v>
      </c>
      <c r="E112" s="71">
        <f t="shared" si="32"/>
        <v>1261586.21854572</v>
      </c>
      <c r="F112" s="75">
        <v>61200</v>
      </c>
      <c r="G112" s="76">
        <f t="shared" si="33"/>
        <v>20.614153897805881</v>
      </c>
      <c r="I112" s="77">
        <f t="shared" si="37"/>
        <v>108</v>
      </c>
      <c r="J112" s="73">
        <f t="shared" si="34"/>
        <v>2026</v>
      </c>
      <c r="K112" s="78">
        <f t="shared" si="36"/>
        <v>46113</v>
      </c>
    </row>
    <row r="113" spans="2:11" outlineLevel="1">
      <c r="B113" s="78">
        <f t="shared" si="31"/>
        <v>46143</v>
      </c>
      <c r="C113" s="75">
        <v>987315.69607789814</v>
      </c>
      <c r="D113" s="71">
        <f>IF(F113&lt;&gt;0,VLOOKUP($J113,'Table 1'!$B$13:$C$33,2,FALSE)/12*1000*Study_MW,0)</f>
        <v>0</v>
      </c>
      <c r="E113" s="71">
        <f t="shared" si="32"/>
        <v>987315.69607789814</v>
      </c>
      <c r="F113" s="75">
        <v>63240</v>
      </c>
      <c r="G113" s="76">
        <f t="shared" si="33"/>
        <v>15.612202657778276</v>
      </c>
      <c r="I113" s="77">
        <f t="shared" si="37"/>
        <v>109</v>
      </c>
      <c r="J113" s="73">
        <f t="shared" si="34"/>
        <v>2026</v>
      </c>
      <c r="K113" s="78">
        <f t="shared" si="36"/>
        <v>46143</v>
      </c>
    </row>
    <row r="114" spans="2:11" outlineLevel="1">
      <c r="B114" s="78">
        <f t="shared" si="31"/>
        <v>46174</v>
      </c>
      <c r="C114" s="75">
        <v>1075660.727719754</v>
      </c>
      <c r="D114" s="71">
        <f>IF(F114&lt;&gt;0,VLOOKUP($J114,'Table 1'!$B$13:$C$33,2,FALSE)/12*1000*Study_MW,0)</f>
        <v>0</v>
      </c>
      <c r="E114" s="71">
        <f t="shared" si="32"/>
        <v>1075660.727719754</v>
      </c>
      <c r="F114" s="75">
        <v>61200</v>
      </c>
      <c r="G114" s="76">
        <f t="shared" si="33"/>
        <v>17.576155681695326</v>
      </c>
      <c r="I114" s="77">
        <f t="shared" si="37"/>
        <v>110</v>
      </c>
      <c r="J114" s="73">
        <f t="shared" si="34"/>
        <v>2026</v>
      </c>
      <c r="K114" s="78">
        <f t="shared" si="36"/>
        <v>46174</v>
      </c>
    </row>
    <row r="115" spans="2:11" outlineLevel="1">
      <c r="B115" s="78">
        <f t="shared" si="31"/>
        <v>46204</v>
      </c>
      <c r="C115" s="75">
        <v>1702923.1815328002</v>
      </c>
      <c r="D115" s="71">
        <f>IF(F115&lt;&gt;0,VLOOKUP($J115,'Table 1'!$B$13:$C$33,2,FALSE)/12*1000*Study_MW,0)</f>
        <v>0</v>
      </c>
      <c r="E115" s="71">
        <f t="shared" si="32"/>
        <v>1702923.1815328002</v>
      </c>
      <c r="F115" s="75">
        <v>63240</v>
      </c>
      <c r="G115" s="76">
        <f t="shared" si="33"/>
        <v>26.927944047008225</v>
      </c>
      <c r="I115" s="77">
        <f t="shared" si="37"/>
        <v>111</v>
      </c>
      <c r="J115" s="73">
        <f t="shared" si="34"/>
        <v>2026</v>
      </c>
      <c r="K115" s="78">
        <f t="shared" si="36"/>
        <v>46204</v>
      </c>
    </row>
    <row r="116" spans="2:11" outlineLevel="1">
      <c r="B116" s="78">
        <f t="shared" si="31"/>
        <v>46235</v>
      </c>
      <c r="C116" s="75">
        <v>1688814.1194072068</v>
      </c>
      <c r="D116" s="71">
        <f>IF(F116&lt;&gt;0,VLOOKUP($J116,'Table 1'!$B$13:$C$33,2,FALSE)/12*1000*Study_MW,0)</f>
        <v>0</v>
      </c>
      <c r="E116" s="71">
        <f t="shared" si="32"/>
        <v>1688814.1194072068</v>
      </c>
      <c r="F116" s="75">
        <v>63240</v>
      </c>
      <c r="G116" s="76">
        <f t="shared" si="33"/>
        <v>26.70484059783692</v>
      </c>
      <c r="I116" s="77">
        <f t="shared" si="37"/>
        <v>112</v>
      </c>
      <c r="J116" s="73">
        <f t="shared" si="34"/>
        <v>2026</v>
      </c>
      <c r="K116" s="78">
        <f t="shared" si="36"/>
        <v>46235</v>
      </c>
    </row>
    <row r="117" spans="2:11" outlineLevel="1">
      <c r="B117" s="78">
        <f t="shared" si="31"/>
        <v>46266</v>
      </c>
      <c r="C117" s="75">
        <v>1790059.0952975601</v>
      </c>
      <c r="D117" s="71">
        <f>IF(F117&lt;&gt;0,VLOOKUP($J117,'Table 1'!$B$13:$C$33,2,FALSE)/12*1000*Study_MW,0)</f>
        <v>0</v>
      </c>
      <c r="E117" s="71">
        <f t="shared" si="32"/>
        <v>1790059.0952975601</v>
      </c>
      <c r="F117" s="75">
        <v>61200</v>
      </c>
      <c r="G117" s="76">
        <f t="shared" si="33"/>
        <v>29.249331622509153</v>
      </c>
      <c r="I117" s="77">
        <f t="shared" si="37"/>
        <v>113</v>
      </c>
      <c r="J117" s="73">
        <f t="shared" si="34"/>
        <v>2026</v>
      </c>
      <c r="K117" s="78">
        <f t="shared" si="36"/>
        <v>46266</v>
      </c>
    </row>
    <row r="118" spans="2:11" outlineLevel="1">
      <c r="B118" s="78">
        <f t="shared" si="31"/>
        <v>46296</v>
      </c>
      <c r="C118" s="75">
        <v>1595178.1498472989</v>
      </c>
      <c r="D118" s="71">
        <f>IF(F118&lt;&gt;0,VLOOKUP($J118,'Table 1'!$B$13:$C$33,2,FALSE)/12*1000*Study_MW,0)</f>
        <v>0</v>
      </c>
      <c r="E118" s="71">
        <f t="shared" si="32"/>
        <v>1595178.1498472989</v>
      </c>
      <c r="F118" s="75">
        <v>63240</v>
      </c>
      <c r="G118" s="76">
        <f t="shared" si="33"/>
        <v>25.224195917888977</v>
      </c>
      <c r="I118" s="77">
        <f t="shared" si="37"/>
        <v>114</v>
      </c>
      <c r="J118" s="73">
        <f t="shared" si="34"/>
        <v>2026</v>
      </c>
      <c r="K118" s="78">
        <f t="shared" si="36"/>
        <v>46296</v>
      </c>
    </row>
    <row r="119" spans="2:11" outlineLevel="1">
      <c r="B119" s="78">
        <f t="shared" si="31"/>
        <v>46327</v>
      </c>
      <c r="C119" s="75">
        <v>1729654.7966597378</v>
      </c>
      <c r="D119" s="71">
        <f>IF(F119&lt;&gt;0,VLOOKUP($J119,'Table 1'!$B$13:$C$33,2,FALSE)/12*1000*Study_MW,0)</f>
        <v>0</v>
      </c>
      <c r="E119" s="71">
        <f t="shared" si="32"/>
        <v>1729654.7966597378</v>
      </c>
      <c r="F119" s="75">
        <v>61200</v>
      </c>
      <c r="G119" s="76">
        <f t="shared" si="33"/>
        <v>28.262333278753886</v>
      </c>
      <c r="I119" s="77">
        <f t="shared" si="37"/>
        <v>115</v>
      </c>
      <c r="J119" s="73">
        <f t="shared" si="34"/>
        <v>2026</v>
      </c>
      <c r="K119" s="78">
        <f t="shared" si="36"/>
        <v>46327</v>
      </c>
    </row>
    <row r="120" spans="2:11" outlineLevel="1">
      <c r="B120" s="82">
        <f t="shared" si="31"/>
        <v>46357</v>
      </c>
      <c r="C120" s="79">
        <v>1750336.1379754692</v>
      </c>
      <c r="D120" s="80">
        <f>IF(F120&lt;&gt;0,VLOOKUP($J120,'Table 1'!$B$13:$C$33,2,FALSE)/12*1000*Study_MW,0)</f>
        <v>0</v>
      </c>
      <c r="E120" s="80">
        <f t="shared" si="32"/>
        <v>1750336.1379754692</v>
      </c>
      <c r="F120" s="79">
        <v>63240</v>
      </c>
      <c r="G120" s="81">
        <f t="shared" si="33"/>
        <v>27.677674541041576</v>
      </c>
      <c r="I120" s="64">
        <f t="shared" si="37"/>
        <v>116</v>
      </c>
      <c r="J120" s="73">
        <f t="shared" si="34"/>
        <v>2026</v>
      </c>
      <c r="K120" s="82">
        <f t="shared" si="36"/>
        <v>46357</v>
      </c>
    </row>
    <row r="121" spans="2:11" outlineLevel="1">
      <c r="B121" s="74">
        <f t="shared" si="31"/>
        <v>46388</v>
      </c>
      <c r="C121" s="69">
        <v>1766301.2082198858</v>
      </c>
      <c r="D121" s="70">
        <f>IF(F121&lt;&gt;0,VLOOKUP($J121,'Table 1'!$B$13:$C$33,2,FALSE)/12*1000*Study_MW,0)</f>
        <v>0</v>
      </c>
      <c r="E121" s="70">
        <f t="shared" si="32"/>
        <v>1766301.2082198858</v>
      </c>
      <c r="F121" s="69">
        <v>63240</v>
      </c>
      <c r="G121" s="72">
        <f t="shared" si="33"/>
        <v>27.930126632193009</v>
      </c>
      <c r="I121" s="60">
        <f>I109+13</f>
        <v>118</v>
      </c>
      <c r="J121" s="73">
        <f t="shared" si="34"/>
        <v>2027</v>
      </c>
      <c r="K121" s="74">
        <f t="shared" si="36"/>
        <v>46388</v>
      </c>
    </row>
    <row r="122" spans="2:11" outlineLevel="1">
      <c r="B122" s="78">
        <f t="shared" si="31"/>
        <v>46419</v>
      </c>
      <c r="C122" s="75">
        <v>1670764.8870121837</v>
      </c>
      <c r="D122" s="71">
        <f>IF(F122&lt;&gt;0,VLOOKUP($J122,'Table 1'!$B$13:$C$33,2,FALSE)/12*1000*Study_MW,0)</f>
        <v>0</v>
      </c>
      <c r="E122" s="71">
        <f t="shared" si="32"/>
        <v>1670764.8870121837</v>
      </c>
      <c r="F122" s="75">
        <v>57120</v>
      </c>
      <c r="G122" s="76">
        <f t="shared" si="33"/>
        <v>29.250085556935989</v>
      </c>
      <c r="I122" s="77">
        <f t="shared" ref="I122:I132" si="38">I110+13</f>
        <v>119</v>
      </c>
      <c r="J122" s="73">
        <f t="shared" si="34"/>
        <v>2027</v>
      </c>
      <c r="K122" s="78">
        <f t="shared" si="36"/>
        <v>46419</v>
      </c>
    </row>
    <row r="123" spans="2:11" outlineLevel="1">
      <c r="B123" s="78">
        <f t="shared" si="31"/>
        <v>46447</v>
      </c>
      <c r="C123" s="75">
        <v>1524647.1157118082</v>
      </c>
      <c r="D123" s="71">
        <f>IF(F123&lt;&gt;0,VLOOKUP($J123,'Table 1'!$B$13:$C$33,2,FALSE)/12*1000*Study_MW,0)</f>
        <v>0</v>
      </c>
      <c r="E123" s="71">
        <f t="shared" si="32"/>
        <v>1524647.1157118082</v>
      </c>
      <c r="F123" s="75">
        <v>63240</v>
      </c>
      <c r="G123" s="76">
        <f t="shared" si="33"/>
        <v>24.10890442302037</v>
      </c>
      <c r="I123" s="77">
        <f t="shared" si="38"/>
        <v>120</v>
      </c>
      <c r="J123" s="73">
        <f t="shared" si="34"/>
        <v>2027</v>
      </c>
      <c r="K123" s="78">
        <f t="shared" si="36"/>
        <v>46447</v>
      </c>
    </row>
    <row r="124" spans="2:11" outlineLevel="1">
      <c r="B124" s="78">
        <f t="shared" si="31"/>
        <v>46478</v>
      </c>
      <c r="C124" s="75">
        <v>1230433.2951276004</v>
      </c>
      <c r="D124" s="71">
        <f>IF(F124&lt;&gt;0,VLOOKUP($J124,'Table 1'!$B$13:$C$33,2,FALSE)/12*1000*Study_MW,0)</f>
        <v>0</v>
      </c>
      <c r="E124" s="71">
        <f t="shared" si="32"/>
        <v>1230433.2951276004</v>
      </c>
      <c r="F124" s="75">
        <v>61200</v>
      </c>
      <c r="G124" s="76">
        <f t="shared" si="33"/>
        <v>20.105119201431378</v>
      </c>
      <c r="I124" s="77">
        <f t="shared" si="38"/>
        <v>121</v>
      </c>
      <c r="J124" s="73">
        <f t="shared" si="34"/>
        <v>2027</v>
      </c>
      <c r="K124" s="78">
        <f t="shared" si="36"/>
        <v>46478</v>
      </c>
    </row>
    <row r="125" spans="2:11" outlineLevel="1">
      <c r="B125" s="78">
        <f t="shared" si="31"/>
        <v>46508</v>
      </c>
      <c r="C125" s="75">
        <v>1015285.4962270111</v>
      </c>
      <c r="D125" s="71">
        <f>IF(F125&lt;&gt;0,VLOOKUP($J125,'Table 1'!$B$13:$C$33,2,FALSE)/12*1000*Study_MW,0)</f>
        <v>0</v>
      </c>
      <c r="E125" s="71">
        <f t="shared" si="32"/>
        <v>1015285.4962270111</v>
      </c>
      <c r="F125" s="75">
        <v>63240</v>
      </c>
      <c r="G125" s="76">
        <f t="shared" si="33"/>
        <v>16.054482862539707</v>
      </c>
      <c r="I125" s="77">
        <f t="shared" si="38"/>
        <v>122</v>
      </c>
      <c r="J125" s="73">
        <f t="shared" si="34"/>
        <v>2027</v>
      </c>
      <c r="K125" s="78">
        <f t="shared" si="36"/>
        <v>46508</v>
      </c>
    </row>
    <row r="126" spans="2:11" outlineLevel="1">
      <c r="B126" s="78">
        <f t="shared" si="31"/>
        <v>46539</v>
      </c>
      <c r="C126" s="75">
        <v>965238.58423507214</v>
      </c>
      <c r="D126" s="71">
        <f>IF(F126&lt;&gt;0,VLOOKUP($J126,'Table 1'!$B$13:$C$33,2,FALSE)/12*1000*Study_MW,0)</f>
        <v>0</v>
      </c>
      <c r="E126" s="71">
        <f t="shared" si="32"/>
        <v>965238.58423507214</v>
      </c>
      <c r="F126" s="75">
        <v>61200</v>
      </c>
      <c r="G126" s="76">
        <f t="shared" si="33"/>
        <v>15.771872291422747</v>
      </c>
      <c r="I126" s="77">
        <f t="shared" si="38"/>
        <v>123</v>
      </c>
      <c r="J126" s="73">
        <f t="shared" si="34"/>
        <v>2027</v>
      </c>
      <c r="K126" s="78">
        <f t="shared" si="36"/>
        <v>46539</v>
      </c>
    </row>
    <row r="127" spans="2:11" outlineLevel="1">
      <c r="B127" s="78">
        <f t="shared" si="31"/>
        <v>46569</v>
      </c>
      <c r="C127" s="75">
        <v>1754224.9162119925</v>
      </c>
      <c r="D127" s="71">
        <f>IF(F127&lt;&gt;0,VLOOKUP($J127,'Table 1'!$B$13:$C$33,2,FALSE)/12*1000*Study_MW,0)</f>
        <v>0</v>
      </c>
      <c r="E127" s="71">
        <f t="shared" si="32"/>
        <v>1754224.9162119925</v>
      </c>
      <c r="F127" s="75">
        <v>63240</v>
      </c>
      <c r="G127" s="76">
        <f t="shared" si="33"/>
        <v>27.739166923023284</v>
      </c>
      <c r="I127" s="77">
        <f t="shared" si="38"/>
        <v>124</v>
      </c>
      <c r="J127" s="73">
        <f t="shared" si="34"/>
        <v>2027</v>
      </c>
      <c r="K127" s="78">
        <f t="shared" si="36"/>
        <v>46569</v>
      </c>
    </row>
    <row r="128" spans="2:11" outlineLevel="1">
      <c r="B128" s="78">
        <f t="shared" si="31"/>
        <v>46600</v>
      </c>
      <c r="C128" s="75">
        <v>1751622.2141399682</v>
      </c>
      <c r="D128" s="71">
        <f>IF(F128&lt;&gt;0,VLOOKUP($J128,'Table 1'!$B$13:$C$33,2,FALSE)/12*1000*Study_MW,0)</f>
        <v>0</v>
      </c>
      <c r="E128" s="71">
        <f t="shared" si="32"/>
        <v>1751622.2141399682</v>
      </c>
      <c r="F128" s="75">
        <v>63240</v>
      </c>
      <c r="G128" s="76">
        <f t="shared" si="33"/>
        <v>27.698010976280333</v>
      </c>
      <c r="I128" s="77">
        <f t="shared" si="38"/>
        <v>125</v>
      </c>
      <c r="J128" s="73">
        <f t="shared" si="34"/>
        <v>2027</v>
      </c>
      <c r="K128" s="78">
        <f t="shared" si="36"/>
        <v>46600</v>
      </c>
    </row>
    <row r="129" spans="2:11" outlineLevel="1">
      <c r="B129" s="78">
        <f t="shared" si="31"/>
        <v>46631</v>
      </c>
      <c r="C129" s="75">
        <v>1858785.4136274904</v>
      </c>
      <c r="D129" s="71">
        <f>IF(F129&lt;&gt;0,VLOOKUP($J129,'Table 1'!$B$13:$C$33,2,FALSE)/12*1000*Study_MW,0)</f>
        <v>0</v>
      </c>
      <c r="E129" s="71">
        <f t="shared" si="32"/>
        <v>1858785.4136274904</v>
      </c>
      <c r="F129" s="75">
        <v>61200</v>
      </c>
      <c r="G129" s="76">
        <f t="shared" si="33"/>
        <v>30.372310680187752</v>
      </c>
      <c r="I129" s="77">
        <f t="shared" si="38"/>
        <v>126</v>
      </c>
      <c r="J129" s="73">
        <f t="shared" si="34"/>
        <v>2027</v>
      </c>
      <c r="K129" s="78">
        <f t="shared" si="36"/>
        <v>46631</v>
      </c>
    </row>
    <row r="130" spans="2:11" outlineLevel="1">
      <c r="B130" s="78">
        <f t="shared" si="31"/>
        <v>46661</v>
      </c>
      <c r="C130" s="75">
        <v>1689600.2372241616</v>
      </c>
      <c r="D130" s="71">
        <f>IF(F130&lt;&gt;0,VLOOKUP($J130,'Table 1'!$B$13:$C$33,2,FALSE)/12*1000*Study_MW,0)</f>
        <v>0</v>
      </c>
      <c r="E130" s="71">
        <f t="shared" si="32"/>
        <v>1689600.2372241616</v>
      </c>
      <c r="F130" s="75">
        <v>63240</v>
      </c>
      <c r="G130" s="76">
        <f t="shared" si="33"/>
        <v>26.717271303354863</v>
      </c>
      <c r="I130" s="77">
        <f t="shared" si="38"/>
        <v>127</v>
      </c>
      <c r="J130" s="73">
        <f t="shared" si="34"/>
        <v>2027</v>
      </c>
      <c r="K130" s="78">
        <f t="shared" si="36"/>
        <v>46661</v>
      </c>
    </row>
    <row r="131" spans="2:11" outlineLevel="1">
      <c r="B131" s="78">
        <f t="shared" si="31"/>
        <v>46692</v>
      </c>
      <c r="C131" s="75">
        <v>1780767.6474810839</v>
      </c>
      <c r="D131" s="71">
        <f>IF(F131&lt;&gt;0,VLOOKUP($J131,'Table 1'!$B$13:$C$33,2,FALSE)/12*1000*Study_MW,0)</f>
        <v>0</v>
      </c>
      <c r="E131" s="71">
        <f t="shared" si="32"/>
        <v>1780767.6474810839</v>
      </c>
      <c r="F131" s="75">
        <v>61200</v>
      </c>
      <c r="G131" s="76">
        <f t="shared" si="33"/>
        <v>29.097510579756271</v>
      </c>
      <c r="I131" s="77">
        <f t="shared" si="38"/>
        <v>128</v>
      </c>
      <c r="J131" s="73">
        <f t="shared" si="34"/>
        <v>2027</v>
      </c>
      <c r="K131" s="78">
        <f t="shared" si="36"/>
        <v>46692</v>
      </c>
    </row>
    <row r="132" spans="2:11" outlineLevel="1">
      <c r="B132" s="82">
        <f t="shared" si="31"/>
        <v>46722</v>
      </c>
      <c r="C132" s="79">
        <v>1821761.6561252922</v>
      </c>
      <c r="D132" s="80">
        <f>IF(F132&lt;&gt;0,VLOOKUP($J132,'Table 1'!$B$13:$C$33,2,FALSE)/12*1000*Study_MW,0)</f>
        <v>0</v>
      </c>
      <c r="E132" s="80">
        <f t="shared" si="32"/>
        <v>1821761.6561252922</v>
      </c>
      <c r="F132" s="79">
        <v>63240</v>
      </c>
      <c r="G132" s="81">
        <f t="shared" si="33"/>
        <v>28.807110311911639</v>
      </c>
      <c r="I132" s="64">
        <f t="shared" si="38"/>
        <v>129</v>
      </c>
      <c r="J132" s="73">
        <f t="shared" si="34"/>
        <v>2027</v>
      </c>
      <c r="K132" s="82">
        <f t="shared" si="36"/>
        <v>46722</v>
      </c>
    </row>
    <row r="133" spans="2:11" outlineLevel="1">
      <c r="B133" s="74">
        <f t="shared" si="31"/>
        <v>46753</v>
      </c>
      <c r="C133" s="69">
        <v>1775222.8884245753</v>
      </c>
      <c r="D133" s="70">
        <f>IF(F133&lt;&gt;0,VLOOKUP($J133,'Table 1'!$B$13:$C$33,2,FALSE)/12*1000*Study_MW,0)</f>
        <v>0</v>
      </c>
      <c r="E133" s="70">
        <f t="shared" si="32"/>
        <v>1775222.8884245753</v>
      </c>
      <c r="F133" s="69">
        <v>63240</v>
      </c>
      <c r="G133" s="72">
        <f t="shared" si="33"/>
        <v>28.071203169269058</v>
      </c>
      <c r="I133" s="60">
        <f>I13</f>
        <v>1</v>
      </c>
      <c r="J133" s="73">
        <f t="shared" si="34"/>
        <v>2028</v>
      </c>
      <c r="K133" s="74">
        <f t="shared" si="36"/>
        <v>46753</v>
      </c>
    </row>
    <row r="134" spans="2:11" outlineLevel="1">
      <c r="B134" s="78">
        <f t="shared" si="31"/>
        <v>46784</v>
      </c>
      <c r="C134" s="75">
        <v>1967223.2640489936</v>
      </c>
      <c r="D134" s="71">
        <f>IF(F134&lt;&gt;0,VLOOKUP($J134,'Table 1'!$B$13:$C$33,2,FALSE)/12*1000*Study_MW,0)</f>
        <v>0</v>
      </c>
      <c r="E134" s="71">
        <f t="shared" si="32"/>
        <v>1967223.2640489936</v>
      </c>
      <c r="F134" s="75">
        <v>59160</v>
      </c>
      <c r="G134" s="76">
        <f t="shared" si="33"/>
        <v>33.252590670199353</v>
      </c>
      <c r="I134" s="77">
        <f t="shared" ref="I134:I197" si="39">I14</f>
        <v>2</v>
      </c>
      <c r="J134" s="73">
        <f t="shared" si="34"/>
        <v>2028</v>
      </c>
      <c r="K134" s="78">
        <f t="shared" si="36"/>
        <v>46784</v>
      </c>
    </row>
    <row r="135" spans="2:11" outlineLevel="1">
      <c r="B135" s="78">
        <f t="shared" si="31"/>
        <v>46813</v>
      </c>
      <c r="C135" s="75">
        <v>1727980.4047697335</v>
      </c>
      <c r="D135" s="71">
        <f>IF(F135&lt;&gt;0,VLOOKUP($J135,'Table 1'!$B$13:$C$33,2,FALSE)/12*1000*Study_MW,0)</f>
        <v>0</v>
      </c>
      <c r="E135" s="71">
        <f t="shared" si="32"/>
        <v>1727980.4047697335</v>
      </c>
      <c r="F135" s="75">
        <v>63240</v>
      </c>
      <c r="G135" s="76">
        <f t="shared" si="33"/>
        <v>27.324168323367072</v>
      </c>
      <c r="I135" s="77">
        <f t="shared" si="39"/>
        <v>3</v>
      </c>
      <c r="J135" s="73">
        <f t="shared" si="34"/>
        <v>2028</v>
      </c>
      <c r="K135" s="78">
        <f t="shared" si="36"/>
        <v>46813</v>
      </c>
    </row>
    <row r="136" spans="2:11" outlineLevel="1">
      <c r="B136" s="78">
        <f t="shared" si="31"/>
        <v>46844</v>
      </c>
      <c r="C136" s="75">
        <v>1544101.5687912703</v>
      </c>
      <c r="D136" s="71">
        <f>IF(F136&lt;&gt;0,VLOOKUP($J136,'Table 1'!$B$13:$C$33,2,FALSE)/12*1000*Study_MW,0)</f>
        <v>0</v>
      </c>
      <c r="E136" s="71">
        <f t="shared" si="32"/>
        <v>1544101.5687912703</v>
      </c>
      <c r="F136" s="75">
        <v>61200</v>
      </c>
      <c r="G136" s="76">
        <f t="shared" si="33"/>
        <v>25.23041779070703</v>
      </c>
      <c r="I136" s="77">
        <f t="shared" si="39"/>
        <v>4</v>
      </c>
      <c r="J136" s="73">
        <f t="shared" si="34"/>
        <v>2028</v>
      </c>
      <c r="K136" s="78">
        <f t="shared" si="36"/>
        <v>46844</v>
      </c>
    </row>
    <row r="137" spans="2:11" outlineLevel="1">
      <c r="B137" s="78">
        <f t="shared" si="31"/>
        <v>46874</v>
      </c>
      <c r="C137" s="75">
        <v>1314434.4643889219</v>
      </c>
      <c r="D137" s="71">
        <f>IF(F137&lt;&gt;0,VLOOKUP($J137,'Table 1'!$B$13:$C$33,2,FALSE)/12*1000*Study_MW,0)</f>
        <v>0</v>
      </c>
      <c r="E137" s="71">
        <f t="shared" si="32"/>
        <v>1314434.4643889219</v>
      </c>
      <c r="F137" s="75">
        <v>63240</v>
      </c>
      <c r="G137" s="76">
        <f t="shared" si="33"/>
        <v>20.784858703177132</v>
      </c>
      <c r="I137" s="77">
        <f t="shared" si="39"/>
        <v>5</v>
      </c>
      <c r="J137" s="73">
        <f t="shared" si="34"/>
        <v>2028</v>
      </c>
      <c r="K137" s="78">
        <f t="shared" si="36"/>
        <v>46874</v>
      </c>
    </row>
    <row r="138" spans="2:11" outlineLevel="1">
      <c r="B138" s="78">
        <f t="shared" si="31"/>
        <v>46905</v>
      </c>
      <c r="C138" s="75">
        <v>1432296.1413211972</v>
      </c>
      <c r="D138" s="71">
        <f>IF(F138&lt;&gt;0,VLOOKUP($J138,'Table 1'!$B$13:$C$33,2,FALSE)/12*1000*Study_MW,0)</f>
        <v>0</v>
      </c>
      <c r="E138" s="71">
        <f t="shared" si="32"/>
        <v>1432296.1413211972</v>
      </c>
      <c r="F138" s="75">
        <v>61200</v>
      </c>
      <c r="G138" s="76">
        <f t="shared" si="33"/>
        <v>23.403531720934595</v>
      </c>
      <c r="I138" s="77">
        <f t="shared" si="39"/>
        <v>6</v>
      </c>
      <c r="J138" s="73">
        <f t="shared" si="34"/>
        <v>2028</v>
      </c>
      <c r="K138" s="78">
        <f t="shared" si="36"/>
        <v>46905</v>
      </c>
    </row>
    <row r="139" spans="2:11" outlineLevel="1">
      <c r="B139" s="78">
        <f t="shared" si="31"/>
        <v>46935</v>
      </c>
      <c r="C139" s="75">
        <v>1990853.8050901294</v>
      </c>
      <c r="D139" s="71">
        <f>IF(F139&lt;&gt;0,VLOOKUP($J139,'Table 1'!$B$13:$C$33,2,FALSE)/12*1000*Study_MW,0)</f>
        <v>0</v>
      </c>
      <c r="E139" s="71">
        <f t="shared" si="32"/>
        <v>1990853.8050901294</v>
      </c>
      <c r="F139" s="75">
        <v>63240</v>
      </c>
      <c r="G139" s="76">
        <f t="shared" si="33"/>
        <v>31.480926709205082</v>
      </c>
      <c r="I139" s="77">
        <f t="shared" si="39"/>
        <v>7</v>
      </c>
      <c r="J139" s="73">
        <f t="shared" si="34"/>
        <v>2028</v>
      </c>
      <c r="K139" s="78">
        <f t="shared" si="36"/>
        <v>46935</v>
      </c>
    </row>
    <row r="140" spans="2:11" outlineLevel="1">
      <c r="B140" s="78">
        <f t="shared" si="31"/>
        <v>46966</v>
      </c>
      <c r="C140" s="75">
        <v>2040659.3821160495</v>
      </c>
      <c r="D140" s="71">
        <f>IF(F140&lt;&gt;0,VLOOKUP($J140,'Table 1'!$B$13:$C$33,2,FALSE)/12*1000*Study_MW,0)</f>
        <v>0</v>
      </c>
      <c r="E140" s="71">
        <f t="shared" si="32"/>
        <v>2040659.3821160495</v>
      </c>
      <c r="F140" s="75">
        <v>63240</v>
      </c>
      <c r="G140" s="76">
        <f t="shared" si="33"/>
        <v>32.268491178305652</v>
      </c>
      <c r="I140" s="77">
        <f t="shared" si="39"/>
        <v>8</v>
      </c>
      <c r="J140" s="73">
        <f t="shared" si="34"/>
        <v>2028</v>
      </c>
      <c r="K140" s="78">
        <f t="shared" si="36"/>
        <v>46966</v>
      </c>
    </row>
    <row r="141" spans="2:11" outlineLevel="1">
      <c r="B141" s="78">
        <f t="shared" si="31"/>
        <v>46997</v>
      </c>
      <c r="C141" s="75">
        <v>1805452.552880615</v>
      </c>
      <c r="D141" s="71">
        <f>IF(F141&lt;&gt;0,VLOOKUP($J141,'Table 1'!$B$13:$C$33,2,FALSE)/12*1000*Study_MW,0)</f>
        <v>0</v>
      </c>
      <c r="E141" s="71">
        <f t="shared" si="32"/>
        <v>1805452.552880615</v>
      </c>
      <c r="F141" s="75">
        <v>61200</v>
      </c>
      <c r="G141" s="76">
        <f t="shared" si="33"/>
        <v>29.50085870719959</v>
      </c>
      <c r="I141" s="77">
        <f t="shared" si="39"/>
        <v>9</v>
      </c>
      <c r="J141" s="73">
        <f t="shared" si="34"/>
        <v>2028</v>
      </c>
      <c r="K141" s="78">
        <f t="shared" si="36"/>
        <v>46997</v>
      </c>
    </row>
    <row r="142" spans="2:11" outlineLevel="1">
      <c r="B142" s="78">
        <f t="shared" ref="B142:B205" si="40">EDATE(B141,1)</f>
        <v>47027</v>
      </c>
      <c r="C142" s="75">
        <v>1966006.7178180665</v>
      </c>
      <c r="D142" s="71">
        <f>IF(F142&lt;&gt;0,VLOOKUP($J142,'Table 1'!$B$13:$C$33,2,FALSE)/12*1000*Study_MW,0)</f>
        <v>0</v>
      </c>
      <c r="E142" s="71">
        <f t="shared" ref="E142:E205" si="41">C142+D142</f>
        <v>1966006.7178180665</v>
      </c>
      <c r="F142" s="75">
        <v>63240</v>
      </c>
      <c r="G142" s="76">
        <f t="shared" ref="G142:G192" si="42">IF(ISNUMBER($F142),E142/$F142,"")</f>
        <v>31.088025265940331</v>
      </c>
      <c r="I142" s="77">
        <f t="shared" si="39"/>
        <v>10</v>
      </c>
      <c r="J142" s="73">
        <f t="shared" ref="J142:J205" si="43">YEAR(B142)</f>
        <v>2028</v>
      </c>
      <c r="K142" s="78">
        <f t="shared" si="36"/>
        <v>47027</v>
      </c>
    </row>
    <row r="143" spans="2:11" outlineLevel="1">
      <c r="B143" s="78">
        <f t="shared" si="40"/>
        <v>47058</v>
      </c>
      <c r="C143" s="75">
        <v>1842269.3139206916</v>
      </c>
      <c r="D143" s="71">
        <f>IF(F143&lt;&gt;0,VLOOKUP($J143,'Table 1'!$B$13:$C$33,2,FALSE)/12*1000*Study_MW,0)</f>
        <v>0</v>
      </c>
      <c r="E143" s="71">
        <f t="shared" si="41"/>
        <v>1842269.3139206916</v>
      </c>
      <c r="F143" s="75">
        <v>61200</v>
      </c>
      <c r="G143" s="76">
        <f t="shared" si="42"/>
        <v>30.102439769945942</v>
      </c>
      <c r="I143" s="77">
        <f t="shared" si="39"/>
        <v>11</v>
      </c>
      <c r="J143" s="73">
        <f t="shared" si="43"/>
        <v>2028</v>
      </c>
      <c r="K143" s="78">
        <f t="shared" si="36"/>
        <v>47058</v>
      </c>
    </row>
    <row r="144" spans="2:11" outlineLevel="1">
      <c r="B144" s="82">
        <f t="shared" si="40"/>
        <v>47088</v>
      </c>
      <c r="C144" s="79">
        <v>2092188.6144256294</v>
      </c>
      <c r="D144" s="80">
        <f>IF(F144&lt;&gt;0,VLOOKUP($J144,'Table 1'!$B$13:$C$33,2,FALSE)/12*1000*Study_MW,0)</f>
        <v>0</v>
      </c>
      <c r="E144" s="80">
        <f t="shared" si="41"/>
        <v>2092188.6144256294</v>
      </c>
      <c r="F144" s="79">
        <v>63240</v>
      </c>
      <c r="G144" s="81">
        <f t="shared" si="42"/>
        <v>33.083311423555173</v>
      </c>
      <c r="I144" s="64">
        <f t="shared" si="39"/>
        <v>12</v>
      </c>
      <c r="J144" s="73">
        <f t="shared" si="43"/>
        <v>2028</v>
      </c>
      <c r="K144" s="82">
        <f t="shared" si="36"/>
        <v>47088</v>
      </c>
    </row>
    <row r="145" spans="2:11" outlineLevel="1">
      <c r="B145" s="74">
        <f t="shared" si="40"/>
        <v>47119</v>
      </c>
      <c r="C145" s="69">
        <v>1949487.9883291423</v>
      </c>
      <c r="D145" s="70">
        <f>IF(F145&lt;&gt;0,VLOOKUP($J145,'Table 1'!$B$13:$C$33,2,FALSE)/12*1000*Study_MW,0)</f>
        <v>0</v>
      </c>
      <c r="E145" s="70">
        <f t="shared" si="41"/>
        <v>1949487.9883291423</v>
      </c>
      <c r="F145" s="69">
        <v>63240</v>
      </c>
      <c r="G145" s="72">
        <f t="shared" si="42"/>
        <v>30.826818284774546</v>
      </c>
      <c r="I145" s="60">
        <f>I25</f>
        <v>14</v>
      </c>
      <c r="J145" s="73">
        <f t="shared" si="43"/>
        <v>2029</v>
      </c>
      <c r="K145" s="74">
        <f t="shared" si="36"/>
        <v>47119</v>
      </c>
    </row>
    <row r="146" spans="2:11" outlineLevel="1">
      <c r="B146" s="78">
        <f t="shared" si="40"/>
        <v>47150</v>
      </c>
      <c r="C146" s="75">
        <v>2023491.52446495</v>
      </c>
      <c r="D146" s="71">
        <f>IF(F146&lt;&gt;0,VLOOKUP($J146,'Table 1'!$B$13:$C$33,2,FALSE)/12*1000*Study_MW,0)</f>
        <v>0</v>
      </c>
      <c r="E146" s="71">
        <f t="shared" si="41"/>
        <v>2023491.52446495</v>
      </c>
      <c r="F146" s="75">
        <v>57120</v>
      </c>
      <c r="G146" s="76">
        <f t="shared" si="42"/>
        <v>35.425271786851368</v>
      </c>
      <c r="I146" s="77">
        <f t="shared" si="39"/>
        <v>15</v>
      </c>
      <c r="J146" s="73">
        <f t="shared" si="43"/>
        <v>2029</v>
      </c>
      <c r="K146" s="78">
        <f t="shared" si="36"/>
        <v>47150</v>
      </c>
    </row>
    <row r="147" spans="2:11" outlineLevel="1">
      <c r="B147" s="78">
        <f t="shared" si="40"/>
        <v>47178</v>
      </c>
      <c r="C147" s="75">
        <v>2066597.7004026324</v>
      </c>
      <c r="D147" s="71">
        <f>IF(F147&lt;&gt;0,VLOOKUP($J147,'Table 1'!$B$13:$C$33,2,FALSE)/12*1000*Study_MW,0)</f>
        <v>0</v>
      </c>
      <c r="E147" s="71">
        <f t="shared" si="41"/>
        <v>2066597.7004026324</v>
      </c>
      <c r="F147" s="75">
        <v>63240</v>
      </c>
      <c r="G147" s="76">
        <f t="shared" si="42"/>
        <v>32.678648013956867</v>
      </c>
      <c r="I147" s="77">
        <f t="shared" si="39"/>
        <v>16</v>
      </c>
      <c r="J147" s="73">
        <f t="shared" si="43"/>
        <v>2029</v>
      </c>
      <c r="K147" s="78">
        <f t="shared" si="36"/>
        <v>47178</v>
      </c>
    </row>
    <row r="148" spans="2:11" outlineLevel="1">
      <c r="B148" s="78">
        <f t="shared" si="40"/>
        <v>47209</v>
      </c>
      <c r="C148" s="75">
        <v>1857254.2552891523</v>
      </c>
      <c r="D148" s="71">
        <f>IF(F148&lt;&gt;0,VLOOKUP($J148,'Table 1'!$B$13:$C$33,2,FALSE)/12*1000*Study_MW,0)</f>
        <v>0</v>
      </c>
      <c r="E148" s="71">
        <f t="shared" si="41"/>
        <v>1857254.2552891523</v>
      </c>
      <c r="F148" s="75">
        <v>61200</v>
      </c>
      <c r="G148" s="76">
        <f t="shared" si="42"/>
        <v>30.347291753090722</v>
      </c>
      <c r="I148" s="77">
        <f t="shared" si="39"/>
        <v>17</v>
      </c>
      <c r="J148" s="73">
        <f t="shared" si="43"/>
        <v>2029</v>
      </c>
      <c r="K148" s="78">
        <f t="shared" si="36"/>
        <v>47209</v>
      </c>
    </row>
    <row r="149" spans="2:11" outlineLevel="1">
      <c r="B149" s="78">
        <f t="shared" si="40"/>
        <v>47239</v>
      </c>
      <c r="C149" s="75">
        <v>1523308.8853080869</v>
      </c>
      <c r="D149" s="71">
        <f>IF(F149&lt;&gt;0,VLOOKUP($J149,'Table 1'!$B$13:$C$33,2,FALSE)/12*1000*Study_MW,0)</f>
        <v>0</v>
      </c>
      <c r="E149" s="71">
        <f t="shared" si="41"/>
        <v>1523308.8853080869</v>
      </c>
      <c r="F149" s="75">
        <v>63240</v>
      </c>
      <c r="G149" s="76">
        <f t="shared" si="42"/>
        <v>24.087743284441601</v>
      </c>
      <c r="I149" s="77">
        <f t="shared" si="39"/>
        <v>18</v>
      </c>
      <c r="J149" s="73">
        <f t="shared" si="43"/>
        <v>2029</v>
      </c>
      <c r="K149" s="78">
        <f t="shared" si="36"/>
        <v>47239</v>
      </c>
    </row>
    <row r="150" spans="2:11" outlineLevel="1">
      <c r="B150" s="78">
        <f t="shared" si="40"/>
        <v>47270</v>
      </c>
      <c r="C150" s="75">
        <v>1677000.9551537782</v>
      </c>
      <c r="D150" s="71">
        <f>IF(F150&lt;&gt;0,VLOOKUP($J150,'Table 1'!$B$13:$C$33,2,FALSE)/12*1000*Study_MW,0)</f>
        <v>0</v>
      </c>
      <c r="E150" s="71">
        <f t="shared" si="41"/>
        <v>1677000.9551537782</v>
      </c>
      <c r="F150" s="75">
        <v>61200</v>
      </c>
      <c r="G150" s="76">
        <f t="shared" si="42"/>
        <v>27.401976391401604</v>
      </c>
      <c r="I150" s="77">
        <f t="shared" si="39"/>
        <v>19</v>
      </c>
      <c r="J150" s="73">
        <f t="shared" si="43"/>
        <v>2029</v>
      </c>
      <c r="K150" s="78">
        <f t="shared" si="36"/>
        <v>47270</v>
      </c>
    </row>
    <row r="151" spans="2:11" outlineLevel="1">
      <c r="B151" s="78">
        <f t="shared" si="40"/>
        <v>47300</v>
      </c>
      <c r="C151" s="75">
        <v>2367495.774746269</v>
      </c>
      <c r="D151" s="71">
        <f>IF(F151&lt;&gt;0,VLOOKUP($J151,'Table 1'!$B$13:$C$33,2,FALSE)/12*1000*Study_MW,0)</f>
        <v>0</v>
      </c>
      <c r="E151" s="71">
        <f t="shared" si="41"/>
        <v>2367495.774746269</v>
      </c>
      <c r="F151" s="75">
        <v>63240</v>
      </c>
      <c r="G151" s="76">
        <f t="shared" si="42"/>
        <v>37.43668208011178</v>
      </c>
      <c r="I151" s="77">
        <f t="shared" si="39"/>
        <v>20</v>
      </c>
      <c r="J151" s="73">
        <f t="shared" si="43"/>
        <v>2029</v>
      </c>
      <c r="K151" s="78">
        <f t="shared" si="36"/>
        <v>47300</v>
      </c>
    </row>
    <row r="152" spans="2:11" outlineLevel="1">
      <c r="B152" s="78">
        <f t="shared" si="40"/>
        <v>47331</v>
      </c>
      <c r="C152" s="75">
        <v>2510262.5288677514</v>
      </c>
      <c r="D152" s="71">
        <f>IF(F152&lt;&gt;0,VLOOKUP($J152,'Table 1'!$B$13:$C$33,2,FALSE)/12*1000*Study_MW,0)</f>
        <v>0</v>
      </c>
      <c r="E152" s="71">
        <f t="shared" si="41"/>
        <v>2510262.5288677514</v>
      </c>
      <c r="F152" s="75">
        <v>63240</v>
      </c>
      <c r="G152" s="76">
        <f t="shared" si="42"/>
        <v>39.694220886586834</v>
      </c>
      <c r="I152" s="77">
        <f t="shared" si="39"/>
        <v>21</v>
      </c>
      <c r="J152" s="73">
        <f t="shared" si="43"/>
        <v>2029</v>
      </c>
      <c r="K152" s="78">
        <f t="shared" si="36"/>
        <v>47331</v>
      </c>
    </row>
    <row r="153" spans="2:11" outlineLevel="1">
      <c r="B153" s="78">
        <f t="shared" si="40"/>
        <v>47362</v>
      </c>
      <c r="C153" s="75">
        <v>1892649.4759779274</v>
      </c>
      <c r="D153" s="71">
        <f>IF(F153&lt;&gt;0,VLOOKUP($J153,'Table 1'!$B$13:$C$33,2,FALSE)/12*1000*Study_MW,0)</f>
        <v>0</v>
      </c>
      <c r="E153" s="71">
        <f t="shared" si="41"/>
        <v>1892649.4759779274</v>
      </c>
      <c r="F153" s="75">
        <v>61200</v>
      </c>
      <c r="G153" s="76">
        <f t="shared" si="42"/>
        <v>30.925645032319075</v>
      </c>
      <c r="I153" s="77">
        <f t="shared" si="39"/>
        <v>22</v>
      </c>
      <c r="J153" s="73">
        <f t="shared" si="43"/>
        <v>2029</v>
      </c>
      <c r="K153" s="78">
        <f t="shared" si="36"/>
        <v>47362</v>
      </c>
    </row>
    <row r="154" spans="2:11" outlineLevel="1">
      <c r="B154" s="78">
        <f t="shared" si="40"/>
        <v>47392</v>
      </c>
      <c r="C154" s="75">
        <v>2101672.5638585687</v>
      </c>
      <c r="D154" s="71">
        <f>IF(F154&lt;&gt;0,VLOOKUP($J154,'Table 1'!$B$13:$C$33,2,FALSE)/12*1000*Study_MW,0)</f>
        <v>0</v>
      </c>
      <c r="E154" s="71">
        <f t="shared" si="41"/>
        <v>2101672.5638585687</v>
      </c>
      <c r="F154" s="75">
        <v>63240</v>
      </c>
      <c r="G154" s="76">
        <f t="shared" si="42"/>
        <v>33.233278998396088</v>
      </c>
      <c r="I154" s="77">
        <f t="shared" si="39"/>
        <v>23</v>
      </c>
      <c r="J154" s="73">
        <f t="shared" si="43"/>
        <v>2029</v>
      </c>
      <c r="K154" s="78">
        <f t="shared" ref="K154:K216" si="44">IF(ISNUMBER(F154),IF(F154&lt;&gt;0,B154,""),"")</f>
        <v>47392</v>
      </c>
    </row>
    <row r="155" spans="2:11" outlineLevel="1">
      <c r="B155" s="78">
        <f t="shared" si="40"/>
        <v>47423</v>
      </c>
      <c r="C155" s="75">
        <v>1781643.981312409</v>
      </c>
      <c r="D155" s="71">
        <f>IF(F155&lt;&gt;0,VLOOKUP($J155,'Table 1'!$B$13:$C$33,2,FALSE)/12*1000*Study_MW,0)</f>
        <v>0</v>
      </c>
      <c r="E155" s="71">
        <f t="shared" si="41"/>
        <v>1781643.981312409</v>
      </c>
      <c r="F155" s="75">
        <v>61200</v>
      </c>
      <c r="G155" s="76">
        <f t="shared" si="42"/>
        <v>29.111829760006685</v>
      </c>
      <c r="I155" s="77">
        <f t="shared" si="39"/>
        <v>24</v>
      </c>
      <c r="J155" s="73">
        <f t="shared" si="43"/>
        <v>2029</v>
      </c>
      <c r="K155" s="78">
        <f t="shared" si="44"/>
        <v>47423</v>
      </c>
    </row>
    <row r="156" spans="2:11" outlineLevel="1">
      <c r="B156" s="82">
        <f t="shared" si="40"/>
        <v>47453</v>
      </c>
      <c r="C156" s="79">
        <v>2168528.0825796127</v>
      </c>
      <c r="D156" s="80">
        <f>IF(F156&lt;&gt;0,VLOOKUP($J156,'Table 1'!$B$13:$C$33,2,FALSE)/12*1000*Study_MW,0)</f>
        <v>0</v>
      </c>
      <c r="E156" s="80">
        <f t="shared" si="41"/>
        <v>2168528.0825796127</v>
      </c>
      <c r="F156" s="79">
        <v>63240</v>
      </c>
      <c r="G156" s="81">
        <f t="shared" si="42"/>
        <v>34.290450388671928</v>
      </c>
      <c r="I156" s="64">
        <f t="shared" si="39"/>
        <v>25</v>
      </c>
      <c r="J156" s="73">
        <f t="shared" si="43"/>
        <v>2029</v>
      </c>
      <c r="K156" s="82">
        <f t="shared" si="44"/>
        <v>47453</v>
      </c>
    </row>
    <row r="157" spans="2:11" outlineLevel="1">
      <c r="B157" s="74">
        <f t="shared" si="40"/>
        <v>47484</v>
      </c>
      <c r="C157" s="69">
        <v>2076214.3472090364</v>
      </c>
      <c r="D157" s="70">
        <f>IF(F157&lt;&gt;0,VLOOKUP($J157,'Table 1'!$B$13:$C$33,2,FALSE)/12*1000*Study_MW,0)</f>
        <v>0</v>
      </c>
      <c r="E157" s="70">
        <f t="shared" si="41"/>
        <v>2076214.3472090364</v>
      </c>
      <c r="F157" s="69">
        <v>63240</v>
      </c>
      <c r="G157" s="72">
        <f t="shared" si="42"/>
        <v>32.830713902736186</v>
      </c>
      <c r="I157" s="60">
        <f>I37</f>
        <v>27</v>
      </c>
      <c r="J157" s="73">
        <f t="shared" si="43"/>
        <v>2030</v>
      </c>
      <c r="K157" s="74">
        <f t="shared" si="44"/>
        <v>47484</v>
      </c>
    </row>
    <row r="158" spans="2:11" outlineLevel="1">
      <c r="B158" s="78">
        <f t="shared" si="40"/>
        <v>47515</v>
      </c>
      <c r="C158" s="75">
        <v>1960066.4074848741</v>
      </c>
      <c r="D158" s="71">
        <f>IF(F158&lt;&gt;0,VLOOKUP($J158,'Table 1'!$B$13:$C$33,2,FALSE)/12*1000*Study_MW,0)</f>
        <v>0</v>
      </c>
      <c r="E158" s="71">
        <f t="shared" si="41"/>
        <v>1960066.4074848741</v>
      </c>
      <c r="F158" s="75">
        <v>57120</v>
      </c>
      <c r="G158" s="76">
        <f t="shared" si="42"/>
        <v>34.314888086219788</v>
      </c>
      <c r="I158" s="77">
        <f t="shared" si="39"/>
        <v>28</v>
      </c>
      <c r="J158" s="73">
        <f t="shared" si="43"/>
        <v>2030</v>
      </c>
      <c r="K158" s="78">
        <f t="shared" si="44"/>
        <v>47515</v>
      </c>
    </row>
    <row r="159" spans="2:11" outlineLevel="1">
      <c r="B159" s="78">
        <f t="shared" si="40"/>
        <v>47543</v>
      </c>
      <c r="C159" s="75">
        <v>2306565.6210859418</v>
      </c>
      <c r="D159" s="71">
        <f>IF(F159&lt;&gt;0,VLOOKUP($J159,'Table 1'!$B$13:$C$33,2,FALSE)/12*1000*Study_MW,0)</f>
        <v>0</v>
      </c>
      <c r="E159" s="71">
        <f t="shared" si="41"/>
        <v>2306565.6210859418</v>
      </c>
      <c r="F159" s="75">
        <v>63240</v>
      </c>
      <c r="G159" s="76">
        <f t="shared" si="42"/>
        <v>36.473207164546835</v>
      </c>
      <c r="I159" s="77">
        <f t="shared" si="39"/>
        <v>29</v>
      </c>
      <c r="J159" s="73">
        <f t="shared" si="43"/>
        <v>2030</v>
      </c>
      <c r="K159" s="78">
        <f t="shared" si="44"/>
        <v>47543</v>
      </c>
    </row>
    <row r="160" spans="2:11" outlineLevel="1">
      <c r="B160" s="78">
        <f t="shared" si="40"/>
        <v>47574</v>
      </c>
      <c r="C160" s="75">
        <v>1992837.2526072413</v>
      </c>
      <c r="D160" s="71">
        <f>IF(F160&lt;&gt;0,VLOOKUP($J160,'Table 1'!$B$13:$C$33,2,FALSE)/12*1000*Study_MW,0)</f>
        <v>0</v>
      </c>
      <c r="E160" s="71">
        <f t="shared" si="41"/>
        <v>1992837.2526072413</v>
      </c>
      <c r="F160" s="75">
        <v>61200</v>
      </c>
      <c r="G160" s="76">
        <f t="shared" si="42"/>
        <v>32.562700206000677</v>
      </c>
      <c r="I160" s="77">
        <f t="shared" si="39"/>
        <v>30</v>
      </c>
      <c r="J160" s="73">
        <f t="shared" si="43"/>
        <v>2030</v>
      </c>
      <c r="K160" s="78">
        <f t="shared" si="44"/>
        <v>47574</v>
      </c>
    </row>
    <row r="161" spans="2:11" outlineLevel="1">
      <c r="B161" s="78">
        <f t="shared" si="40"/>
        <v>47604</v>
      </c>
      <c r="C161" s="75">
        <v>1725914.6218455732</v>
      </c>
      <c r="D161" s="71">
        <f>IF(F161&lt;&gt;0,VLOOKUP($J161,'Table 1'!$B$13:$C$33,2,FALSE)/12*1000*Study_MW,0)</f>
        <v>0</v>
      </c>
      <c r="E161" s="71">
        <f t="shared" si="41"/>
        <v>1725914.6218455732</v>
      </c>
      <c r="F161" s="75">
        <v>63240</v>
      </c>
      <c r="G161" s="76">
        <f t="shared" si="42"/>
        <v>27.291502559227911</v>
      </c>
      <c r="I161" s="77">
        <f t="shared" si="39"/>
        <v>31</v>
      </c>
      <c r="J161" s="73">
        <f t="shared" si="43"/>
        <v>2030</v>
      </c>
      <c r="K161" s="78">
        <f t="shared" si="44"/>
        <v>47604</v>
      </c>
    </row>
    <row r="162" spans="2:11" outlineLevel="1">
      <c r="B162" s="78">
        <f t="shared" si="40"/>
        <v>47635</v>
      </c>
      <c r="C162" s="75">
        <v>1924546.1509969532</v>
      </c>
      <c r="D162" s="71">
        <f>IF(F162&lt;&gt;0,VLOOKUP($J162,'Table 1'!$B$13:$C$33,2,FALSE)/12*1000*Study_MW,0)</f>
        <v>0</v>
      </c>
      <c r="E162" s="71">
        <f t="shared" si="41"/>
        <v>1924546.1509969532</v>
      </c>
      <c r="F162" s="75">
        <v>61200</v>
      </c>
      <c r="G162" s="76">
        <f t="shared" si="42"/>
        <v>31.446832532629955</v>
      </c>
      <c r="I162" s="77">
        <f t="shared" si="39"/>
        <v>32</v>
      </c>
      <c r="J162" s="73">
        <f t="shared" si="43"/>
        <v>2030</v>
      </c>
      <c r="K162" s="78">
        <f t="shared" si="44"/>
        <v>47635</v>
      </c>
    </row>
    <row r="163" spans="2:11" outlineLevel="1">
      <c r="B163" s="78">
        <f t="shared" si="40"/>
        <v>47665</v>
      </c>
      <c r="C163" s="75">
        <v>2609078.5086770654</v>
      </c>
      <c r="D163" s="71">
        <f>IF(F163&lt;&gt;0,VLOOKUP($J163,'Table 1'!$B$13:$C$33,2,FALSE)/12*1000*Study_MW,0)</f>
        <v>0</v>
      </c>
      <c r="E163" s="71">
        <f t="shared" si="41"/>
        <v>2609078.5086770654</v>
      </c>
      <c r="F163" s="75">
        <v>63240</v>
      </c>
      <c r="G163" s="76">
        <f t="shared" si="42"/>
        <v>41.256775912034556</v>
      </c>
      <c r="I163" s="77">
        <f t="shared" si="39"/>
        <v>33</v>
      </c>
      <c r="J163" s="73">
        <f t="shared" si="43"/>
        <v>2030</v>
      </c>
      <c r="K163" s="78">
        <f t="shared" si="44"/>
        <v>47665</v>
      </c>
    </row>
    <row r="164" spans="2:11" outlineLevel="1">
      <c r="B164" s="78">
        <f t="shared" si="40"/>
        <v>47696</v>
      </c>
      <c r="C164" s="75">
        <v>2882140.5502081811</v>
      </c>
      <c r="D164" s="71">
        <f>IF(F164&lt;&gt;0,VLOOKUP($J164,'Table 1'!$B$13:$C$33,2,FALSE)/12*1000*Study_MW,0)</f>
        <v>0</v>
      </c>
      <c r="E164" s="71">
        <f t="shared" si="41"/>
        <v>2882140.5502081811</v>
      </c>
      <c r="F164" s="75">
        <v>63240</v>
      </c>
      <c r="G164" s="76">
        <f t="shared" si="42"/>
        <v>45.574645006454475</v>
      </c>
      <c r="I164" s="77">
        <f t="shared" si="39"/>
        <v>34</v>
      </c>
      <c r="J164" s="73">
        <f t="shared" si="43"/>
        <v>2030</v>
      </c>
      <c r="K164" s="78">
        <f t="shared" si="44"/>
        <v>47696</v>
      </c>
    </row>
    <row r="165" spans="2:11" outlineLevel="1">
      <c r="B165" s="78">
        <f t="shared" si="40"/>
        <v>47727</v>
      </c>
      <c r="C165" s="75">
        <v>2223479.5190585554</v>
      </c>
      <c r="D165" s="71">
        <f>IF(F165&lt;&gt;0,VLOOKUP($J165,'Table 1'!$B$13:$C$33,2,FALSE)/12*1000*Study_MW,0)</f>
        <v>0</v>
      </c>
      <c r="E165" s="71">
        <f t="shared" si="41"/>
        <v>2223479.5190585554</v>
      </c>
      <c r="F165" s="75">
        <v>61200</v>
      </c>
      <c r="G165" s="76">
        <f t="shared" si="42"/>
        <v>36.331364690499271</v>
      </c>
      <c r="I165" s="77">
        <f t="shared" si="39"/>
        <v>35</v>
      </c>
      <c r="J165" s="73">
        <f t="shared" si="43"/>
        <v>2030</v>
      </c>
      <c r="K165" s="78">
        <f t="shared" si="44"/>
        <v>47727</v>
      </c>
    </row>
    <row r="166" spans="2:11" outlineLevel="1">
      <c r="B166" s="78">
        <f t="shared" si="40"/>
        <v>47757</v>
      </c>
      <c r="C166" s="75">
        <v>2283440.4249226451</v>
      </c>
      <c r="D166" s="71">
        <f>IF(F166&lt;&gt;0,VLOOKUP($J166,'Table 1'!$B$13:$C$33,2,FALSE)/12*1000*Study_MW,0)</f>
        <v>0</v>
      </c>
      <c r="E166" s="71">
        <f t="shared" si="41"/>
        <v>2283440.4249226451</v>
      </c>
      <c r="F166" s="75">
        <v>63240</v>
      </c>
      <c r="G166" s="76">
        <f t="shared" si="42"/>
        <v>36.10753360092734</v>
      </c>
      <c r="I166" s="77">
        <f t="shared" si="39"/>
        <v>36</v>
      </c>
      <c r="J166" s="73">
        <f t="shared" si="43"/>
        <v>2030</v>
      </c>
      <c r="K166" s="78">
        <f t="shared" si="44"/>
        <v>47757</v>
      </c>
    </row>
    <row r="167" spans="2:11" outlineLevel="1">
      <c r="B167" s="78">
        <f t="shared" si="40"/>
        <v>47788</v>
      </c>
      <c r="C167" s="75">
        <v>2225097.4414509088</v>
      </c>
      <c r="D167" s="71">
        <f>IF(F167&lt;&gt;0,VLOOKUP($J167,'Table 1'!$B$13:$C$33,2,FALSE)/12*1000*Study_MW,0)</f>
        <v>0</v>
      </c>
      <c r="E167" s="71">
        <f t="shared" si="41"/>
        <v>2225097.4414509088</v>
      </c>
      <c r="F167" s="75">
        <v>61200</v>
      </c>
      <c r="G167" s="76">
        <f t="shared" si="42"/>
        <v>36.357801330897203</v>
      </c>
      <c r="I167" s="77">
        <f t="shared" si="39"/>
        <v>37</v>
      </c>
      <c r="J167" s="73">
        <f t="shared" si="43"/>
        <v>2030</v>
      </c>
      <c r="K167" s="78">
        <f t="shared" si="44"/>
        <v>47788</v>
      </c>
    </row>
    <row r="168" spans="2:11" outlineLevel="1">
      <c r="B168" s="82">
        <f t="shared" si="40"/>
        <v>47818</v>
      </c>
      <c r="C168" s="79">
        <v>2353012.200306356</v>
      </c>
      <c r="D168" s="80">
        <f>IF(F168&lt;&gt;0,VLOOKUP($J168,'Table 1'!$B$13:$C$33,2,FALSE)/12*1000*Study_MW,0)</f>
        <v>0</v>
      </c>
      <c r="E168" s="80">
        <f t="shared" si="41"/>
        <v>2353012.200306356</v>
      </c>
      <c r="F168" s="79">
        <v>63240</v>
      </c>
      <c r="G168" s="81">
        <f t="shared" si="42"/>
        <v>37.207656551333905</v>
      </c>
      <c r="I168" s="64">
        <f t="shared" si="39"/>
        <v>38</v>
      </c>
      <c r="J168" s="73">
        <f t="shared" si="43"/>
        <v>2030</v>
      </c>
      <c r="K168" s="82">
        <f t="shared" si="44"/>
        <v>47818</v>
      </c>
    </row>
    <row r="169" spans="2:11" outlineLevel="1">
      <c r="B169" s="74">
        <f t="shared" si="40"/>
        <v>47849</v>
      </c>
      <c r="C169" s="69">
        <v>2316904.5691503286</v>
      </c>
      <c r="D169" s="70">
        <f>IF(F169&lt;&gt;0,VLOOKUP($J169,'Table 1'!$B$13:$C$33,2,FALSE)/12*1000*Study_MW,0)</f>
        <v>0</v>
      </c>
      <c r="E169" s="70">
        <f t="shared" si="41"/>
        <v>2316904.5691503286</v>
      </c>
      <c r="F169" s="69">
        <v>63240</v>
      </c>
      <c r="G169" s="72">
        <f t="shared" si="42"/>
        <v>36.636694641845807</v>
      </c>
      <c r="I169" s="60">
        <f>I49</f>
        <v>40</v>
      </c>
      <c r="J169" s="73">
        <f t="shared" si="43"/>
        <v>2031</v>
      </c>
      <c r="K169" s="74">
        <f t="shared" si="44"/>
        <v>47849</v>
      </c>
    </row>
    <row r="170" spans="2:11" outlineLevel="1">
      <c r="B170" s="78">
        <f t="shared" si="40"/>
        <v>47880</v>
      </c>
      <c r="C170" s="75">
        <v>2160756.6190316677</v>
      </c>
      <c r="D170" s="71">
        <f>IF(F170&lt;&gt;0,VLOOKUP($J170,'Table 1'!$B$13:$C$33,2,FALSE)/12*1000*Study_MW,0)</f>
        <v>0</v>
      </c>
      <c r="E170" s="71">
        <f t="shared" si="41"/>
        <v>2160756.6190316677</v>
      </c>
      <c r="F170" s="75">
        <v>57120</v>
      </c>
      <c r="G170" s="76">
        <f t="shared" si="42"/>
        <v>37.828372181926959</v>
      </c>
      <c r="I170" s="77">
        <f t="shared" si="39"/>
        <v>41</v>
      </c>
      <c r="J170" s="73">
        <f t="shared" si="43"/>
        <v>2031</v>
      </c>
      <c r="K170" s="78">
        <f t="shared" si="44"/>
        <v>47880</v>
      </c>
    </row>
    <row r="171" spans="2:11" outlineLevel="1">
      <c r="B171" s="78">
        <f t="shared" si="40"/>
        <v>47908</v>
      </c>
      <c r="C171" s="75">
        <v>2347582.3445146978</v>
      </c>
      <c r="D171" s="71">
        <f>IF(F171&lt;&gt;0,VLOOKUP($J171,'Table 1'!$B$13:$C$33,2,FALSE)/12*1000*Study_MW,0)</f>
        <v>0</v>
      </c>
      <c r="E171" s="71">
        <f t="shared" si="41"/>
        <v>2347582.3445146978</v>
      </c>
      <c r="F171" s="75">
        <v>63240</v>
      </c>
      <c r="G171" s="76">
        <f t="shared" si="42"/>
        <v>37.121795454059104</v>
      </c>
      <c r="I171" s="77">
        <f t="shared" si="39"/>
        <v>42</v>
      </c>
      <c r="J171" s="73">
        <f t="shared" si="43"/>
        <v>2031</v>
      </c>
      <c r="K171" s="78">
        <f t="shared" si="44"/>
        <v>47908</v>
      </c>
    </row>
    <row r="172" spans="2:11" outlineLevel="1">
      <c r="B172" s="78">
        <f t="shared" si="40"/>
        <v>47939</v>
      </c>
      <c r="C172" s="75">
        <v>2116627.6183265597</v>
      </c>
      <c r="D172" s="71">
        <f>IF(F172&lt;&gt;0,VLOOKUP($J172,'Table 1'!$B$13:$C$33,2,FALSE)/12*1000*Study_MW,0)</f>
        <v>0</v>
      </c>
      <c r="E172" s="71">
        <f t="shared" si="41"/>
        <v>2116627.6183265597</v>
      </c>
      <c r="F172" s="75">
        <v>61200</v>
      </c>
      <c r="G172" s="76">
        <f t="shared" si="42"/>
        <v>34.585418600107182</v>
      </c>
      <c r="I172" s="77">
        <f t="shared" si="39"/>
        <v>43</v>
      </c>
      <c r="J172" s="73">
        <f t="shared" si="43"/>
        <v>2031</v>
      </c>
      <c r="K172" s="78">
        <f t="shared" si="44"/>
        <v>47939</v>
      </c>
    </row>
    <row r="173" spans="2:11" outlineLevel="1">
      <c r="B173" s="78">
        <f t="shared" si="40"/>
        <v>47969</v>
      </c>
      <c r="C173" s="75">
        <v>1860600.3277188241</v>
      </c>
      <c r="D173" s="71">
        <f>IF(F173&lt;&gt;0,VLOOKUP($J173,'Table 1'!$B$13:$C$33,2,FALSE)/12*1000*Study_MW,0)</f>
        <v>0</v>
      </c>
      <c r="E173" s="71">
        <f t="shared" si="41"/>
        <v>1860600.3277188241</v>
      </c>
      <c r="F173" s="75">
        <v>63240</v>
      </c>
      <c r="G173" s="76">
        <f t="shared" si="42"/>
        <v>29.421257554061103</v>
      </c>
      <c r="I173" s="77">
        <f t="shared" si="39"/>
        <v>44</v>
      </c>
      <c r="J173" s="73">
        <f t="shared" si="43"/>
        <v>2031</v>
      </c>
      <c r="K173" s="78">
        <f t="shared" si="44"/>
        <v>47969</v>
      </c>
    </row>
    <row r="174" spans="2:11" outlineLevel="1">
      <c r="B174" s="78">
        <f t="shared" si="40"/>
        <v>48000</v>
      </c>
      <c r="C174" s="75">
        <v>2030101.3835531473</v>
      </c>
      <c r="D174" s="71">
        <f>IF(F174&lt;&gt;0,VLOOKUP($J174,'Table 1'!$B$13:$C$33,2,FALSE)/12*1000*Study_MW,0)</f>
        <v>0</v>
      </c>
      <c r="E174" s="71">
        <f t="shared" si="41"/>
        <v>2030101.3835531473</v>
      </c>
      <c r="F174" s="75">
        <v>61200</v>
      </c>
      <c r="G174" s="76">
        <f t="shared" si="42"/>
        <v>33.171591234528549</v>
      </c>
      <c r="I174" s="77">
        <f t="shared" si="39"/>
        <v>45</v>
      </c>
      <c r="J174" s="73">
        <f t="shared" si="43"/>
        <v>2031</v>
      </c>
      <c r="K174" s="78">
        <f t="shared" si="44"/>
        <v>48000</v>
      </c>
    </row>
    <row r="175" spans="2:11" outlineLevel="1">
      <c r="B175" s="78">
        <f t="shared" si="40"/>
        <v>48030</v>
      </c>
      <c r="C175" s="75">
        <v>2641051.7539024353</v>
      </c>
      <c r="D175" s="71">
        <f>IF(F175&lt;&gt;0,VLOOKUP($J175,'Table 1'!$B$13:$C$33,2,FALSE)/12*1000*Study_MW,0)</f>
        <v>0</v>
      </c>
      <c r="E175" s="71">
        <f t="shared" si="41"/>
        <v>2641051.7539024353</v>
      </c>
      <c r="F175" s="75">
        <v>63240</v>
      </c>
      <c r="G175" s="76">
        <f t="shared" si="42"/>
        <v>41.762361699912006</v>
      </c>
      <c r="I175" s="77">
        <f t="shared" si="39"/>
        <v>46</v>
      </c>
      <c r="J175" s="73">
        <f t="shared" si="43"/>
        <v>2031</v>
      </c>
      <c r="K175" s="78">
        <f t="shared" si="44"/>
        <v>48030</v>
      </c>
    </row>
    <row r="176" spans="2:11" outlineLevel="1">
      <c r="B176" s="78">
        <f t="shared" si="40"/>
        <v>48061</v>
      </c>
      <c r="C176" s="75">
        <v>2984980.2003975213</v>
      </c>
      <c r="D176" s="71">
        <f>IF(F176&lt;&gt;0,VLOOKUP($J176,'Table 1'!$B$13:$C$33,2,FALSE)/12*1000*Study_MW,0)</f>
        <v>0</v>
      </c>
      <c r="E176" s="71">
        <f t="shared" si="41"/>
        <v>2984980.2003975213</v>
      </c>
      <c r="F176" s="75">
        <v>63240</v>
      </c>
      <c r="G176" s="76">
        <f t="shared" si="42"/>
        <v>47.200825433230889</v>
      </c>
      <c r="I176" s="77">
        <f t="shared" si="39"/>
        <v>47</v>
      </c>
      <c r="J176" s="73">
        <f t="shared" si="43"/>
        <v>2031</v>
      </c>
      <c r="K176" s="78">
        <f t="shared" si="44"/>
        <v>48061</v>
      </c>
    </row>
    <row r="177" spans="2:11" outlineLevel="1">
      <c r="B177" s="78">
        <f t="shared" si="40"/>
        <v>48092</v>
      </c>
      <c r="C177" s="75">
        <v>2369545.2025516033</v>
      </c>
      <c r="D177" s="71">
        <f>IF(F177&lt;&gt;0,VLOOKUP($J177,'Table 1'!$B$13:$C$33,2,FALSE)/12*1000*Study_MW,0)</f>
        <v>0</v>
      </c>
      <c r="E177" s="71">
        <f t="shared" si="41"/>
        <v>2369545.2025516033</v>
      </c>
      <c r="F177" s="75">
        <v>61200</v>
      </c>
      <c r="G177" s="76">
        <f t="shared" si="42"/>
        <v>38.718058865222275</v>
      </c>
      <c r="I177" s="77">
        <f t="shared" si="39"/>
        <v>48</v>
      </c>
      <c r="J177" s="73">
        <f t="shared" si="43"/>
        <v>2031</v>
      </c>
      <c r="K177" s="78">
        <f t="shared" si="44"/>
        <v>48092</v>
      </c>
    </row>
    <row r="178" spans="2:11" outlineLevel="1">
      <c r="B178" s="78">
        <f t="shared" si="40"/>
        <v>48122</v>
      </c>
      <c r="C178" s="75">
        <v>2267469.6600805521</v>
      </c>
      <c r="D178" s="71">
        <f>IF(F178&lt;&gt;0,VLOOKUP($J178,'Table 1'!$B$13:$C$33,2,FALSE)/12*1000*Study_MW,0)</f>
        <v>0</v>
      </c>
      <c r="E178" s="71">
        <f t="shared" si="41"/>
        <v>2267469.6600805521</v>
      </c>
      <c r="F178" s="75">
        <v>63240</v>
      </c>
      <c r="G178" s="76">
        <f t="shared" si="42"/>
        <v>35.854991462374322</v>
      </c>
      <c r="I178" s="77">
        <f t="shared" si="39"/>
        <v>49</v>
      </c>
      <c r="J178" s="73">
        <f t="shared" si="43"/>
        <v>2031</v>
      </c>
      <c r="K178" s="78">
        <f t="shared" si="44"/>
        <v>48122</v>
      </c>
    </row>
    <row r="179" spans="2:11" outlineLevel="1">
      <c r="B179" s="78">
        <f t="shared" si="40"/>
        <v>48153</v>
      </c>
      <c r="C179" s="75">
        <v>2234788.6018429995</v>
      </c>
      <c r="D179" s="71">
        <f>IF(F179&lt;&gt;0,VLOOKUP($J179,'Table 1'!$B$13:$C$33,2,FALSE)/12*1000*Study_MW,0)</f>
        <v>0</v>
      </c>
      <c r="E179" s="71">
        <f t="shared" si="41"/>
        <v>2234788.6018429995</v>
      </c>
      <c r="F179" s="75">
        <v>61200</v>
      </c>
      <c r="G179" s="76">
        <f t="shared" si="42"/>
        <v>36.516153624885611</v>
      </c>
      <c r="I179" s="77">
        <f t="shared" si="39"/>
        <v>50</v>
      </c>
      <c r="J179" s="73">
        <f t="shared" si="43"/>
        <v>2031</v>
      </c>
      <c r="K179" s="78">
        <f t="shared" si="44"/>
        <v>48153</v>
      </c>
    </row>
    <row r="180" spans="2:11" outlineLevel="1">
      <c r="B180" s="82">
        <f t="shared" si="40"/>
        <v>48183</v>
      </c>
      <c r="C180" s="79">
        <v>2420223.5270891786</v>
      </c>
      <c r="D180" s="80">
        <f>IF(F180&lt;&gt;0,VLOOKUP($J180,'Table 1'!$B$13:$C$33,2,FALSE)/12*1000*Study_MW,0)</f>
        <v>0</v>
      </c>
      <c r="E180" s="80">
        <f t="shared" si="41"/>
        <v>2420223.5270891786</v>
      </c>
      <c r="F180" s="79">
        <v>63240</v>
      </c>
      <c r="G180" s="81">
        <f t="shared" si="42"/>
        <v>38.270454255047099</v>
      </c>
      <c r="I180" s="64">
        <f t="shared" si="39"/>
        <v>51</v>
      </c>
      <c r="J180" s="73">
        <f t="shared" si="43"/>
        <v>2031</v>
      </c>
      <c r="K180" s="82">
        <f t="shared" si="44"/>
        <v>48183</v>
      </c>
    </row>
    <row r="181" spans="2:11" outlineLevel="1" collapsed="1">
      <c r="B181" s="74">
        <f t="shared" si="40"/>
        <v>48214</v>
      </c>
      <c r="C181" s="69">
        <v>2316309.1639946997</v>
      </c>
      <c r="D181" s="70">
        <f>IF(F181&lt;&gt;0,VLOOKUP($J181,'Table 1'!$B$13:$C$33,2,FALSE)/12*1000*Study_MW,0)</f>
        <v>0</v>
      </c>
      <c r="E181" s="70">
        <f t="shared" si="41"/>
        <v>2316309.1639946997</v>
      </c>
      <c r="F181" s="69">
        <v>63240</v>
      </c>
      <c r="G181" s="72">
        <f t="shared" si="42"/>
        <v>36.627279633059764</v>
      </c>
      <c r="I181" s="60">
        <f>I61</f>
        <v>53</v>
      </c>
      <c r="J181" s="73">
        <f t="shared" si="43"/>
        <v>2032</v>
      </c>
      <c r="K181" s="74">
        <f t="shared" si="44"/>
        <v>48214</v>
      </c>
    </row>
    <row r="182" spans="2:11" outlineLevel="1">
      <c r="B182" s="78">
        <f t="shared" si="40"/>
        <v>48245</v>
      </c>
      <c r="C182" s="75">
        <v>2394829.1900051534</v>
      </c>
      <c r="D182" s="71">
        <f>IF(F182&lt;&gt;0,VLOOKUP($J182,'Table 1'!$B$13:$C$33,2,FALSE)/12*1000*Study_MW,0)</f>
        <v>0</v>
      </c>
      <c r="E182" s="71">
        <f t="shared" si="41"/>
        <v>2394829.1900051534</v>
      </c>
      <c r="F182" s="75">
        <v>59160</v>
      </c>
      <c r="G182" s="76">
        <f t="shared" si="42"/>
        <v>40.480547498396781</v>
      </c>
      <c r="I182" s="77">
        <f t="shared" si="39"/>
        <v>54</v>
      </c>
      <c r="J182" s="73">
        <f t="shared" si="43"/>
        <v>2032</v>
      </c>
      <c r="K182" s="78">
        <f t="shared" si="44"/>
        <v>48245</v>
      </c>
    </row>
    <row r="183" spans="2:11" outlineLevel="1">
      <c r="B183" s="78">
        <f t="shared" si="40"/>
        <v>48274</v>
      </c>
      <c r="C183" s="75">
        <v>2587519.1427738667</v>
      </c>
      <c r="D183" s="71">
        <f>IF(F183&lt;&gt;0,VLOOKUP($J183,'Table 1'!$B$13:$C$33,2,FALSE)/12*1000*Study_MW,0)</f>
        <v>0</v>
      </c>
      <c r="E183" s="71">
        <f t="shared" si="41"/>
        <v>2587519.1427738667</v>
      </c>
      <c r="F183" s="75">
        <v>63240</v>
      </c>
      <c r="G183" s="76">
        <f t="shared" si="42"/>
        <v>40.915862472705037</v>
      </c>
      <c r="I183" s="77">
        <f t="shared" si="39"/>
        <v>55</v>
      </c>
      <c r="J183" s="73">
        <f t="shared" si="43"/>
        <v>2032</v>
      </c>
      <c r="K183" s="78">
        <f t="shared" si="44"/>
        <v>48274</v>
      </c>
    </row>
    <row r="184" spans="2:11" outlineLevel="1">
      <c r="B184" s="78">
        <f t="shared" si="40"/>
        <v>48305</v>
      </c>
      <c r="C184" s="75">
        <v>2420759.5867557675</v>
      </c>
      <c r="D184" s="71">
        <f>IF(F184&lt;&gt;0,VLOOKUP($J184,'Table 1'!$B$13:$C$33,2,FALSE)/12*1000*Study_MW,0)</f>
        <v>0</v>
      </c>
      <c r="E184" s="71">
        <f t="shared" si="41"/>
        <v>2420759.5867557675</v>
      </c>
      <c r="F184" s="75">
        <v>61200</v>
      </c>
      <c r="G184" s="76">
        <f t="shared" si="42"/>
        <v>39.554895208427574</v>
      </c>
      <c r="I184" s="77">
        <f t="shared" si="39"/>
        <v>56</v>
      </c>
      <c r="J184" s="73">
        <f t="shared" si="43"/>
        <v>2032</v>
      </c>
      <c r="K184" s="78">
        <f t="shared" si="44"/>
        <v>48305</v>
      </c>
    </row>
    <row r="185" spans="2:11" outlineLevel="1">
      <c r="B185" s="78">
        <f t="shared" si="40"/>
        <v>48335</v>
      </c>
      <c r="C185" s="75">
        <v>2025570.9041717947</v>
      </c>
      <c r="D185" s="71">
        <f>IF(F185&lt;&gt;0,VLOOKUP($J185,'Table 1'!$B$13:$C$33,2,FALSE)/12*1000*Study_MW,0)</f>
        <v>0</v>
      </c>
      <c r="E185" s="71">
        <f t="shared" si="41"/>
        <v>2025570.9041717947</v>
      </c>
      <c r="F185" s="75">
        <v>63240</v>
      </c>
      <c r="G185" s="76">
        <f t="shared" si="42"/>
        <v>32.029900445474297</v>
      </c>
      <c r="I185" s="77">
        <f t="shared" si="39"/>
        <v>57</v>
      </c>
      <c r="J185" s="73">
        <f t="shared" si="43"/>
        <v>2032</v>
      </c>
      <c r="K185" s="78">
        <f t="shared" si="44"/>
        <v>48335</v>
      </c>
    </row>
    <row r="186" spans="2:11" outlineLevel="1">
      <c r="B186" s="78">
        <f t="shared" si="40"/>
        <v>48366</v>
      </c>
      <c r="C186" s="75">
        <v>2178749.3106518388</v>
      </c>
      <c r="D186" s="71">
        <f>IF(F186&lt;&gt;0,VLOOKUP($J186,'Table 1'!$B$13:$C$33,2,FALSE)/12*1000*Study_MW,0)</f>
        <v>0</v>
      </c>
      <c r="E186" s="71">
        <f t="shared" si="41"/>
        <v>2178749.3106518388</v>
      </c>
      <c r="F186" s="75">
        <v>61200</v>
      </c>
      <c r="G186" s="76">
        <f t="shared" si="42"/>
        <v>35.600478932219588</v>
      </c>
      <c r="I186" s="77">
        <f t="shared" si="39"/>
        <v>58</v>
      </c>
      <c r="J186" s="73">
        <f t="shared" si="43"/>
        <v>2032</v>
      </c>
      <c r="K186" s="78">
        <f t="shared" si="44"/>
        <v>48366</v>
      </c>
    </row>
    <row r="187" spans="2:11" outlineLevel="1">
      <c r="B187" s="78">
        <f t="shared" si="40"/>
        <v>48396</v>
      </c>
      <c r="C187" s="75">
        <v>2930003.0385138392</v>
      </c>
      <c r="D187" s="71">
        <f>IF(F187&lt;&gt;0,VLOOKUP($J187,'Table 1'!$B$13:$C$33,2,FALSE)/12*1000*Study_MW,0)</f>
        <v>0</v>
      </c>
      <c r="E187" s="71">
        <f t="shared" si="41"/>
        <v>2930003.0385138392</v>
      </c>
      <c r="F187" s="75">
        <v>63240</v>
      </c>
      <c r="G187" s="76">
        <f t="shared" si="42"/>
        <v>46.33148384746741</v>
      </c>
      <c r="I187" s="77">
        <f t="shared" si="39"/>
        <v>59</v>
      </c>
      <c r="J187" s="73">
        <f t="shared" si="43"/>
        <v>2032</v>
      </c>
      <c r="K187" s="78">
        <f t="shared" si="44"/>
        <v>48396</v>
      </c>
    </row>
    <row r="188" spans="2:11" outlineLevel="1">
      <c r="B188" s="78">
        <f t="shared" si="40"/>
        <v>48427</v>
      </c>
      <c r="C188" s="75">
        <v>3140551.9266698062</v>
      </c>
      <c r="D188" s="71">
        <f>IF(F188&lt;&gt;0,VLOOKUP($J188,'Table 1'!$B$13:$C$33,2,FALSE)/12*1000*Study_MW,0)</f>
        <v>0</v>
      </c>
      <c r="E188" s="71">
        <f t="shared" si="41"/>
        <v>3140551.9266698062</v>
      </c>
      <c r="F188" s="75">
        <v>63240</v>
      </c>
      <c r="G188" s="76">
        <f t="shared" si="42"/>
        <v>49.660846405278406</v>
      </c>
      <c r="I188" s="77">
        <f t="shared" si="39"/>
        <v>60</v>
      </c>
      <c r="J188" s="73">
        <f t="shared" si="43"/>
        <v>2032</v>
      </c>
      <c r="K188" s="78">
        <f t="shared" si="44"/>
        <v>48427</v>
      </c>
    </row>
    <row r="189" spans="2:11" outlineLevel="1">
      <c r="B189" s="78">
        <f t="shared" si="40"/>
        <v>48458</v>
      </c>
      <c r="C189" s="75">
        <v>2510576.7794360816</v>
      </c>
      <c r="D189" s="71">
        <f>IF(F189&lt;&gt;0,VLOOKUP($J189,'Table 1'!$B$13:$C$33,2,FALSE)/12*1000*Study_MW,0)</f>
        <v>0</v>
      </c>
      <c r="E189" s="71">
        <f t="shared" si="41"/>
        <v>2510576.7794360816</v>
      </c>
      <c r="F189" s="75">
        <v>61200</v>
      </c>
      <c r="G189" s="76">
        <f t="shared" si="42"/>
        <v>41.022496396014404</v>
      </c>
      <c r="I189" s="77">
        <f t="shared" si="39"/>
        <v>61</v>
      </c>
      <c r="J189" s="73">
        <f t="shared" si="43"/>
        <v>2032</v>
      </c>
      <c r="K189" s="78">
        <f t="shared" si="44"/>
        <v>48458</v>
      </c>
    </row>
    <row r="190" spans="2:11" outlineLevel="1">
      <c r="B190" s="78">
        <f t="shared" si="40"/>
        <v>48488</v>
      </c>
      <c r="C190" s="75">
        <v>2437216.7135193944</v>
      </c>
      <c r="D190" s="71">
        <f>IF(F190&lt;&gt;0,VLOOKUP($J190,'Table 1'!$B$13:$C$33,2,FALSE)/12*1000*Study_MW,0)</f>
        <v>0</v>
      </c>
      <c r="E190" s="71">
        <f t="shared" si="41"/>
        <v>2437216.7135193944</v>
      </c>
      <c r="F190" s="75">
        <v>63240</v>
      </c>
      <c r="G190" s="76">
        <f t="shared" si="42"/>
        <v>38.539163717890489</v>
      </c>
      <c r="I190" s="77">
        <f t="shared" si="39"/>
        <v>62</v>
      </c>
      <c r="J190" s="73">
        <f t="shared" si="43"/>
        <v>2032</v>
      </c>
      <c r="K190" s="78">
        <f t="shared" si="44"/>
        <v>48488</v>
      </c>
    </row>
    <row r="191" spans="2:11" outlineLevel="1">
      <c r="B191" s="78">
        <f t="shared" si="40"/>
        <v>48519</v>
      </c>
      <c r="C191" s="75">
        <v>2292697.4150882363</v>
      </c>
      <c r="D191" s="71">
        <f>IF(F191&lt;&gt;0,VLOOKUP($J191,'Table 1'!$B$13:$C$33,2,FALSE)/12*1000*Study_MW,0)</f>
        <v>0</v>
      </c>
      <c r="E191" s="71">
        <f t="shared" si="41"/>
        <v>2292697.4150882363</v>
      </c>
      <c r="F191" s="75">
        <v>61200</v>
      </c>
      <c r="G191" s="76">
        <f t="shared" si="42"/>
        <v>37.46237606353327</v>
      </c>
      <c r="I191" s="77">
        <f t="shared" si="39"/>
        <v>63</v>
      </c>
      <c r="J191" s="73">
        <f t="shared" si="43"/>
        <v>2032</v>
      </c>
      <c r="K191" s="78">
        <f t="shared" si="44"/>
        <v>48519</v>
      </c>
    </row>
    <row r="192" spans="2:11" outlineLevel="1">
      <c r="B192" s="82">
        <f t="shared" si="40"/>
        <v>48549</v>
      </c>
      <c r="C192" s="79">
        <v>2605896.5340241194</v>
      </c>
      <c r="D192" s="80">
        <f>IF(F192&lt;&gt;0,VLOOKUP($J192,'Table 1'!$B$13:$C$33,2,FALSE)/12*1000*Study_MW,0)</f>
        <v>0</v>
      </c>
      <c r="E192" s="80">
        <f t="shared" si="41"/>
        <v>2605896.5340241194</v>
      </c>
      <c r="F192" s="79">
        <v>63240</v>
      </c>
      <c r="G192" s="81">
        <f t="shared" si="42"/>
        <v>41.206460057307389</v>
      </c>
      <c r="I192" s="64">
        <f t="shared" si="39"/>
        <v>64</v>
      </c>
      <c r="J192" s="73">
        <f t="shared" si="43"/>
        <v>2032</v>
      </c>
      <c r="K192" s="82">
        <f t="shared" si="44"/>
        <v>48549</v>
      </c>
    </row>
    <row r="193" spans="2:11">
      <c r="B193" s="74">
        <f t="shared" si="40"/>
        <v>48580</v>
      </c>
      <c r="C193" s="69">
        <v>2345005.9807721674</v>
      </c>
      <c r="D193" s="70">
        <f>IF(F193&lt;&gt;0,VLOOKUP($J193,'Table 1'!$B$13:$C$33,2,FALSE)/12*1000*Study_MW,0)</f>
        <v>0</v>
      </c>
      <c r="E193" s="70">
        <f t="shared" si="41"/>
        <v>2345005.9807721674</v>
      </c>
      <c r="F193" s="69">
        <v>63240</v>
      </c>
      <c r="G193" s="72">
        <f>IFERROR(E193/$F193,0)</f>
        <v>37.081055989439712</v>
      </c>
      <c r="I193" s="60">
        <f>I73</f>
        <v>66</v>
      </c>
      <c r="J193" s="73">
        <f t="shared" si="43"/>
        <v>2033</v>
      </c>
      <c r="K193" s="74">
        <f t="shared" si="44"/>
        <v>48580</v>
      </c>
    </row>
    <row r="194" spans="2:11">
      <c r="B194" s="78">
        <f t="shared" si="40"/>
        <v>48611</v>
      </c>
      <c r="C194" s="75">
        <v>2303275.9377216399</v>
      </c>
      <c r="D194" s="71">
        <f>IF(F194&lt;&gt;0,VLOOKUP($J194,'Table 1'!$B$13:$C$33,2,FALSE)/12*1000*Study_MW,0)</f>
        <v>0</v>
      </c>
      <c r="E194" s="71">
        <f t="shared" si="41"/>
        <v>2303275.9377216399</v>
      </c>
      <c r="F194" s="75">
        <v>57120</v>
      </c>
      <c r="G194" s="76">
        <f t="shared" ref="G194:G252" si="45">IFERROR(E194/$F194,0)</f>
        <v>40.323458293446073</v>
      </c>
      <c r="I194" s="77">
        <f t="shared" si="39"/>
        <v>67</v>
      </c>
      <c r="J194" s="73">
        <f t="shared" si="43"/>
        <v>2033</v>
      </c>
      <c r="K194" s="78">
        <f t="shared" si="44"/>
        <v>48611</v>
      </c>
    </row>
    <row r="195" spans="2:11">
      <c r="B195" s="78">
        <f t="shared" si="40"/>
        <v>48639</v>
      </c>
      <c r="C195" s="75">
        <v>2462588.7831977904</v>
      </c>
      <c r="D195" s="71">
        <f>IF(F195&lt;&gt;0,VLOOKUP($J195,'Table 1'!$B$13:$C$33,2,FALSE)/12*1000*Study_MW,0)</f>
        <v>0</v>
      </c>
      <c r="E195" s="71">
        <f t="shared" si="41"/>
        <v>2462588.7831977904</v>
      </c>
      <c r="F195" s="75">
        <v>63240</v>
      </c>
      <c r="G195" s="76">
        <f t="shared" si="45"/>
        <v>38.940366590730399</v>
      </c>
      <c r="I195" s="77">
        <f t="shared" si="39"/>
        <v>68</v>
      </c>
      <c r="J195" s="73">
        <f t="shared" si="43"/>
        <v>2033</v>
      </c>
      <c r="K195" s="78">
        <f t="shared" si="44"/>
        <v>48639</v>
      </c>
    </row>
    <row r="196" spans="2:11">
      <c r="B196" s="78">
        <f t="shared" si="40"/>
        <v>48670</v>
      </c>
      <c r="C196" s="75">
        <v>2365212.8296610713</v>
      </c>
      <c r="D196" s="71">
        <f>IF(F196&lt;&gt;0,VLOOKUP($J196,'Table 1'!$B$13:$C$33,2,FALSE)/12*1000*Study_MW,0)</f>
        <v>0</v>
      </c>
      <c r="E196" s="71">
        <f t="shared" si="41"/>
        <v>2365212.8296610713</v>
      </c>
      <c r="F196" s="75">
        <v>61200</v>
      </c>
      <c r="G196" s="76">
        <f t="shared" si="45"/>
        <v>38.64726845851424</v>
      </c>
      <c r="I196" s="77">
        <f t="shared" si="39"/>
        <v>69</v>
      </c>
      <c r="J196" s="73">
        <f t="shared" si="43"/>
        <v>2033</v>
      </c>
      <c r="K196" s="78">
        <f t="shared" si="44"/>
        <v>48670</v>
      </c>
    </row>
    <row r="197" spans="2:11">
      <c r="B197" s="78">
        <f t="shared" si="40"/>
        <v>48700</v>
      </c>
      <c r="C197" s="75">
        <v>2122128.8569622636</v>
      </c>
      <c r="D197" s="71">
        <f>IF(F197&lt;&gt;0,VLOOKUP($J197,'Table 1'!$B$13:$C$33,2,FALSE)/12*1000*Study_MW,0)</f>
        <v>0</v>
      </c>
      <c r="E197" s="71">
        <f t="shared" si="41"/>
        <v>2122128.8569622636</v>
      </c>
      <c r="F197" s="75">
        <v>63240</v>
      </c>
      <c r="G197" s="76">
        <f t="shared" si="45"/>
        <v>33.556749793837184</v>
      </c>
      <c r="I197" s="77">
        <f t="shared" si="39"/>
        <v>70</v>
      </c>
      <c r="J197" s="73">
        <f t="shared" si="43"/>
        <v>2033</v>
      </c>
      <c r="K197" s="78">
        <f t="shared" si="44"/>
        <v>48700</v>
      </c>
    </row>
    <row r="198" spans="2:11">
      <c r="B198" s="78">
        <f t="shared" si="40"/>
        <v>48731</v>
      </c>
      <c r="C198" s="75">
        <v>2328705.2714350224</v>
      </c>
      <c r="D198" s="71">
        <f>IF(F198&lt;&gt;0,VLOOKUP($J198,'Table 1'!$B$13:$C$33,2,FALSE)/12*1000*Study_MW,0)</f>
        <v>0</v>
      </c>
      <c r="E198" s="71">
        <f t="shared" si="41"/>
        <v>2328705.2714350224</v>
      </c>
      <c r="F198" s="75">
        <v>61200</v>
      </c>
      <c r="G198" s="76">
        <f t="shared" si="45"/>
        <v>38.050739729330431</v>
      </c>
      <c r="I198" s="77">
        <f t="shared" ref="I198:I204" si="46">I78</f>
        <v>71</v>
      </c>
      <c r="J198" s="73">
        <f t="shared" si="43"/>
        <v>2033</v>
      </c>
      <c r="K198" s="78">
        <f t="shared" si="44"/>
        <v>48731</v>
      </c>
    </row>
    <row r="199" spans="2:11">
      <c r="B199" s="78">
        <f t="shared" si="40"/>
        <v>48761</v>
      </c>
      <c r="C199" s="75">
        <v>3144741.2235866487</v>
      </c>
      <c r="D199" s="71">
        <f>IF(F199&lt;&gt;0,VLOOKUP($J199,'Table 1'!$B$13:$C$33,2,FALSE)/12*1000*Study_MW,0)</f>
        <v>0</v>
      </c>
      <c r="E199" s="71">
        <f t="shared" si="41"/>
        <v>3144741.2235866487</v>
      </c>
      <c r="F199" s="75">
        <v>63240</v>
      </c>
      <c r="G199" s="76">
        <f t="shared" si="45"/>
        <v>49.72709082205327</v>
      </c>
      <c r="I199" s="77">
        <f t="shared" si="46"/>
        <v>72</v>
      </c>
      <c r="J199" s="73">
        <f t="shared" si="43"/>
        <v>2033</v>
      </c>
      <c r="K199" s="78">
        <f t="shared" si="44"/>
        <v>48761</v>
      </c>
    </row>
    <row r="200" spans="2:11">
      <c r="B200" s="78">
        <f t="shared" si="40"/>
        <v>48792</v>
      </c>
      <c r="C200" s="75">
        <v>3357389.237278372</v>
      </c>
      <c r="D200" s="71">
        <f>IF(F200&lt;&gt;0,VLOOKUP($J200,'Table 1'!$B$13:$C$33,2,FALSE)/12*1000*Study_MW,0)</f>
        <v>0</v>
      </c>
      <c r="E200" s="71">
        <f t="shared" si="41"/>
        <v>3357389.237278372</v>
      </c>
      <c r="F200" s="75">
        <v>63240</v>
      </c>
      <c r="G200" s="76">
        <f t="shared" si="45"/>
        <v>53.089646383275962</v>
      </c>
      <c r="I200" s="77">
        <f t="shared" si="46"/>
        <v>73</v>
      </c>
      <c r="J200" s="73">
        <f t="shared" si="43"/>
        <v>2033</v>
      </c>
      <c r="K200" s="78">
        <f t="shared" si="44"/>
        <v>48792</v>
      </c>
    </row>
    <row r="201" spans="2:11">
      <c r="B201" s="78">
        <f t="shared" si="40"/>
        <v>48823</v>
      </c>
      <c r="C201" s="75">
        <v>2674937.7333729863</v>
      </c>
      <c r="D201" s="71">
        <f>IF(F201&lt;&gt;0,VLOOKUP($J201,'Table 1'!$B$13:$C$33,2,FALSE)/12*1000*Study_MW,0)</f>
        <v>0</v>
      </c>
      <c r="E201" s="71">
        <f t="shared" si="41"/>
        <v>2674937.7333729863</v>
      </c>
      <c r="F201" s="75">
        <v>61200</v>
      </c>
      <c r="G201" s="76">
        <f t="shared" si="45"/>
        <v>43.708132898251414</v>
      </c>
      <c r="I201" s="77">
        <f t="shared" si="46"/>
        <v>74</v>
      </c>
      <c r="J201" s="73">
        <f t="shared" si="43"/>
        <v>2033</v>
      </c>
      <c r="K201" s="78">
        <f t="shared" si="44"/>
        <v>48823</v>
      </c>
    </row>
    <row r="202" spans="2:11">
      <c r="B202" s="78">
        <f t="shared" si="40"/>
        <v>48853</v>
      </c>
      <c r="C202" s="75">
        <v>2488163.8049324155</v>
      </c>
      <c r="D202" s="71">
        <f>IF(F202&lt;&gt;0,VLOOKUP($J202,'Table 1'!$B$13:$C$33,2,FALSE)/12*1000*Study_MW,0)</f>
        <v>0</v>
      </c>
      <c r="E202" s="71">
        <f t="shared" si="41"/>
        <v>2488163.8049324155</v>
      </c>
      <c r="F202" s="75">
        <v>63240</v>
      </c>
      <c r="G202" s="76">
        <f t="shared" si="45"/>
        <v>39.344778699121058</v>
      </c>
      <c r="I202" s="77">
        <f t="shared" si="46"/>
        <v>75</v>
      </c>
      <c r="J202" s="73">
        <f t="shared" si="43"/>
        <v>2033</v>
      </c>
      <c r="K202" s="78">
        <f t="shared" si="44"/>
        <v>48853</v>
      </c>
    </row>
    <row r="203" spans="2:11">
      <c r="B203" s="78">
        <f t="shared" si="40"/>
        <v>48884</v>
      </c>
      <c r="C203" s="75">
        <v>2379013.7971099615</v>
      </c>
      <c r="D203" s="71">
        <f>IF(F203&lt;&gt;0,VLOOKUP($J203,'Table 1'!$B$13:$C$33,2,FALSE)/12*1000*Study_MW,0)</f>
        <v>0</v>
      </c>
      <c r="E203" s="71">
        <f t="shared" si="41"/>
        <v>2379013.7971099615</v>
      </c>
      <c r="F203" s="75">
        <v>61200</v>
      </c>
      <c r="G203" s="76">
        <f t="shared" si="45"/>
        <v>38.87277446258107</v>
      </c>
      <c r="I203" s="77">
        <f t="shared" si="46"/>
        <v>76</v>
      </c>
      <c r="J203" s="73">
        <f t="shared" si="43"/>
        <v>2033</v>
      </c>
      <c r="K203" s="78">
        <f t="shared" si="44"/>
        <v>48884</v>
      </c>
    </row>
    <row r="204" spans="2:11">
      <c r="B204" s="82">
        <f t="shared" si="40"/>
        <v>48914</v>
      </c>
      <c r="C204" s="79">
        <v>2761187.3670348525</v>
      </c>
      <c r="D204" s="80">
        <f>IF(F204&lt;&gt;0,VLOOKUP($J204,'Table 1'!$B$13:$C$33,2,FALSE)/12*1000*Study_MW,0)</f>
        <v>0</v>
      </c>
      <c r="E204" s="80">
        <f t="shared" si="41"/>
        <v>2761187.3670348525</v>
      </c>
      <c r="F204" s="79">
        <v>63240</v>
      </c>
      <c r="G204" s="81">
        <f t="shared" si="45"/>
        <v>43.662039326926823</v>
      </c>
      <c r="I204" s="64">
        <f t="shared" si="46"/>
        <v>77</v>
      </c>
      <c r="J204" s="73">
        <f t="shared" si="43"/>
        <v>2033</v>
      </c>
      <c r="K204" s="82">
        <f t="shared" si="44"/>
        <v>48914</v>
      </c>
    </row>
    <row r="205" spans="2:11" outlineLevel="1">
      <c r="B205" s="74">
        <f t="shared" si="40"/>
        <v>48945</v>
      </c>
      <c r="C205" s="69">
        <v>2558121.1663386226</v>
      </c>
      <c r="D205" s="70">
        <f>IF(ISNUMBER($F205)*SUM(F205:F216)&lt;&gt;0,VLOOKUP($J205,'Table 1'!$B$13:$C$33,2,FALSE)/12*1000*Study_MW,0)</f>
        <v>0</v>
      </c>
      <c r="E205" s="70">
        <f t="shared" si="41"/>
        <v>2558121.1663386226</v>
      </c>
      <c r="F205" s="69">
        <v>63240</v>
      </c>
      <c r="G205" s="72">
        <f t="shared" si="45"/>
        <v>40.450998835209084</v>
      </c>
      <c r="I205" s="60">
        <f>I85</f>
        <v>79</v>
      </c>
      <c r="J205" s="73">
        <f t="shared" si="43"/>
        <v>2034</v>
      </c>
      <c r="K205" s="74">
        <f t="shared" si="44"/>
        <v>48945</v>
      </c>
    </row>
    <row r="206" spans="2:11" outlineLevel="1">
      <c r="B206" s="78">
        <f t="shared" ref="B206:B264" si="47">EDATE(B205,1)</f>
        <v>48976</v>
      </c>
      <c r="C206" s="75">
        <v>2447761.6030291617</v>
      </c>
      <c r="D206" s="71">
        <f>IF(ISNUMBER($F206)*SUM(F206:F217)&lt;&gt;0,VLOOKUP($J206,'Table 1'!$B$13:$C$33,2,FALSE)/12*1000*Study_MW,0)</f>
        <v>0</v>
      </c>
      <c r="E206" s="71">
        <f t="shared" ref="E206:E252" si="48">C206+D206</f>
        <v>2447761.6030291617</v>
      </c>
      <c r="F206" s="75">
        <v>57120</v>
      </c>
      <c r="G206" s="76">
        <f t="shared" si="45"/>
        <v>42.852969240706614</v>
      </c>
      <c r="I206" s="77">
        <f t="shared" ref="I206:I240" si="49">I86</f>
        <v>80</v>
      </c>
      <c r="J206" s="73">
        <f t="shared" ref="J206:J252" si="50">YEAR(B206)</f>
        <v>2034</v>
      </c>
      <c r="K206" s="78">
        <f t="shared" si="44"/>
        <v>48976</v>
      </c>
    </row>
    <row r="207" spans="2:11" outlineLevel="1">
      <c r="B207" s="78">
        <f t="shared" si="47"/>
        <v>49004</v>
      </c>
      <c r="C207" s="75">
        <v>2591822.586823225</v>
      </c>
      <c r="D207" s="71">
        <f>IF(ISNUMBER($F207)*SUM(F207:F218)&lt;&gt;0,VLOOKUP($J207,'Table 1'!$B$13:$C$33,2,FALSE)/12*1000*Study_MW,0)</f>
        <v>0</v>
      </c>
      <c r="E207" s="71">
        <f t="shared" si="48"/>
        <v>2591822.586823225</v>
      </c>
      <c r="F207" s="75">
        <v>63240</v>
      </c>
      <c r="G207" s="76">
        <f t="shared" si="45"/>
        <v>40.983911872600018</v>
      </c>
      <c r="I207" s="77">
        <f t="shared" si="49"/>
        <v>81</v>
      </c>
      <c r="J207" s="73">
        <f t="shared" si="50"/>
        <v>2034</v>
      </c>
      <c r="K207" s="78">
        <f t="shared" si="44"/>
        <v>49004</v>
      </c>
    </row>
    <row r="208" spans="2:11" outlineLevel="1">
      <c r="B208" s="78">
        <f t="shared" si="47"/>
        <v>49035</v>
      </c>
      <c r="C208" s="75">
        <v>2315966.5851339549</v>
      </c>
      <c r="D208" s="71">
        <f>IF(ISNUMBER($F208)*SUM(F208:F219)&lt;&gt;0,VLOOKUP($J208,'Table 1'!$B$13:$C$33,2,FALSE)/12*1000*Study_MW,0)</f>
        <v>0</v>
      </c>
      <c r="E208" s="71">
        <f t="shared" si="48"/>
        <v>2315966.5851339549</v>
      </c>
      <c r="F208" s="75">
        <v>61200</v>
      </c>
      <c r="G208" s="76">
        <f t="shared" si="45"/>
        <v>37.842591260358738</v>
      </c>
      <c r="I208" s="77">
        <f t="shared" si="49"/>
        <v>82</v>
      </c>
      <c r="J208" s="73">
        <f t="shared" si="50"/>
        <v>2034</v>
      </c>
      <c r="K208" s="78">
        <f t="shared" si="44"/>
        <v>49035</v>
      </c>
    </row>
    <row r="209" spans="2:13" outlineLevel="1">
      <c r="B209" s="78">
        <f t="shared" si="47"/>
        <v>49065</v>
      </c>
      <c r="C209" s="75">
        <v>2202908.4916128516</v>
      </c>
      <c r="D209" s="71">
        <f>IF(ISNUMBER($F209)*SUM(F209:F220)&lt;&gt;0,VLOOKUP($J209,'Table 1'!$B$13:$C$33,2,FALSE)/12*1000*Study_MW,0)</f>
        <v>0</v>
      </c>
      <c r="E209" s="71">
        <f t="shared" si="48"/>
        <v>2202908.4916128516</v>
      </c>
      <c r="F209" s="75">
        <v>63240</v>
      </c>
      <c r="G209" s="76">
        <f t="shared" si="45"/>
        <v>34.83410012038032</v>
      </c>
      <c r="I209" s="77">
        <f t="shared" si="49"/>
        <v>83</v>
      </c>
      <c r="J209" s="73">
        <f t="shared" si="50"/>
        <v>2034</v>
      </c>
      <c r="K209" s="78">
        <f t="shared" si="44"/>
        <v>49065</v>
      </c>
    </row>
    <row r="210" spans="2:13" outlineLevel="1">
      <c r="B210" s="78">
        <f t="shared" si="47"/>
        <v>49096</v>
      </c>
      <c r="C210" s="75">
        <v>2214618.7150050998</v>
      </c>
      <c r="D210" s="71">
        <f>IF(ISNUMBER($F210)*SUM(F210:F221)&lt;&gt;0,VLOOKUP($J210,'Table 1'!$B$13:$C$33,2,FALSE)/12*1000*Study_MW,0)</f>
        <v>0</v>
      </c>
      <c r="E210" s="71">
        <f t="shared" si="48"/>
        <v>2214618.7150050998</v>
      </c>
      <c r="F210" s="75">
        <v>61200</v>
      </c>
      <c r="G210" s="76">
        <f t="shared" si="45"/>
        <v>36.186580310540847</v>
      </c>
      <c r="I210" s="77">
        <f t="shared" si="49"/>
        <v>84</v>
      </c>
      <c r="J210" s="73">
        <f t="shared" si="50"/>
        <v>2034</v>
      </c>
      <c r="K210" s="78">
        <f t="shared" si="44"/>
        <v>49096</v>
      </c>
    </row>
    <row r="211" spans="2:13" outlineLevel="1">
      <c r="B211" s="78">
        <f t="shared" si="47"/>
        <v>49126</v>
      </c>
      <c r="C211" s="75">
        <v>3255766.5846444666</v>
      </c>
      <c r="D211" s="71">
        <f>IF(ISNUMBER($F211)*SUM(F211:F222)&lt;&gt;0,VLOOKUP($J211,'Table 1'!$B$13:$C$33,2,FALSE)/12*1000*Study_MW,0)</f>
        <v>0</v>
      </c>
      <c r="E211" s="71">
        <f t="shared" si="48"/>
        <v>3255766.5846444666</v>
      </c>
      <c r="F211" s="75">
        <v>63240</v>
      </c>
      <c r="G211" s="76">
        <f t="shared" si="45"/>
        <v>51.482710067116805</v>
      </c>
      <c r="I211" s="77">
        <f t="shared" si="49"/>
        <v>85</v>
      </c>
      <c r="J211" s="73">
        <f t="shared" si="50"/>
        <v>2034</v>
      </c>
      <c r="K211" s="78">
        <f t="shared" si="44"/>
        <v>49126</v>
      </c>
    </row>
    <row r="212" spans="2:13" outlineLevel="1">
      <c r="B212" s="78">
        <f t="shared" si="47"/>
        <v>49157</v>
      </c>
      <c r="C212" s="75">
        <v>3383001.8820176721</v>
      </c>
      <c r="D212" s="71">
        <f>IF(ISNUMBER($F212)*SUM(F212:F223)&lt;&gt;0,VLOOKUP($J212,'Table 1'!$B$13:$C$33,2,FALSE)/12*1000*Study_MW,0)</f>
        <v>0</v>
      </c>
      <c r="E212" s="71">
        <f t="shared" si="48"/>
        <v>3383001.8820176721</v>
      </c>
      <c r="F212" s="75">
        <v>63240</v>
      </c>
      <c r="G212" s="76">
        <f t="shared" si="45"/>
        <v>53.494653415839217</v>
      </c>
      <c r="I212" s="77">
        <f t="shared" si="49"/>
        <v>86</v>
      </c>
      <c r="J212" s="73">
        <f t="shared" si="50"/>
        <v>2034</v>
      </c>
      <c r="K212" s="78">
        <f t="shared" si="44"/>
        <v>49157</v>
      </c>
    </row>
    <row r="213" spans="2:13" outlineLevel="1">
      <c r="B213" s="78">
        <f t="shared" si="47"/>
        <v>49188</v>
      </c>
      <c r="C213" s="75">
        <v>2719055.5500710309</v>
      </c>
      <c r="D213" s="71">
        <f>IF(ISNUMBER($F213)*SUM(F213:F224)&lt;&gt;0,VLOOKUP($J213,'Table 1'!$B$13:$C$33,2,FALSE)/12*1000*Study_MW,0)</f>
        <v>0</v>
      </c>
      <c r="E213" s="71">
        <f t="shared" si="48"/>
        <v>2719055.5500710309</v>
      </c>
      <c r="F213" s="75">
        <v>61200</v>
      </c>
      <c r="G213" s="76">
        <f t="shared" si="45"/>
        <v>44.429012256062599</v>
      </c>
      <c r="I213" s="77">
        <f t="shared" si="49"/>
        <v>87</v>
      </c>
      <c r="J213" s="73">
        <f t="shared" si="50"/>
        <v>2034</v>
      </c>
      <c r="K213" s="78">
        <f t="shared" si="44"/>
        <v>49188</v>
      </c>
    </row>
    <row r="214" spans="2:13" outlineLevel="1">
      <c r="B214" s="78">
        <f t="shared" si="47"/>
        <v>49218</v>
      </c>
      <c r="C214" s="75">
        <v>2516322.6246207356</v>
      </c>
      <c r="D214" s="71">
        <f>IF(ISNUMBER($F214)*SUM(F214:F225)&lt;&gt;0,VLOOKUP($J214,'Table 1'!$B$13:$C$33,2,FALSE)/12*1000*Study_MW,0)</f>
        <v>0</v>
      </c>
      <c r="E214" s="71">
        <f t="shared" si="48"/>
        <v>2516322.6246207356</v>
      </c>
      <c r="F214" s="75">
        <v>63240</v>
      </c>
      <c r="G214" s="76">
        <f t="shared" si="45"/>
        <v>39.790047827652366</v>
      </c>
      <c r="I214" s="77">
        <f t="shared" si="49"/>
        <v>88</v>
      </c>
      <c r="J214" s="73">
        <f t="shared" si="50"/>
        <v>2034</v>
      </c>
      <c r="K214" s="78">
        <f t="shared" si="44"/>
        <v>49218</v>
      </c>
    </row>
    <row r="215" spans="2:13" outlineLevel="1">
      <c r="B215" s="78">
        <f t="shared" si="47"/>
        <v>49249</v>
      </c>
      <c r="C215" s="75">
        <v>2455647.0120743811</v>
      </c>
      <c r="D215" s="71">
        <f>IF(ISNUMBER($F215)*SUM(F215:F226)&lt;&gt;0,VLOOKUP($J215,'Table 1'!$B$13:$C$33,2,FALSE)/12*1000*Study_MW,0)</f>
        <v>0</v>
      </c>
      <c r="E215" s="71">
        <f t="shared" si="48"/>
        <v>2455647.0120743811</v>
      </c>
      <c r="F215" s="75">
        <v>61200</v>
      </c>
      <c r="G215" s="76">
        <f t="shared" si="45"/>
        <v>40.124951177685965</v>
      </c>
      <c r="I215" s="77">
        <f t="shared" si="49"/>
        <v>89</v>
      </c>
      <c r="J215" s="73">
        <f t="shared" si="50"/>
        <v>2034</v>
      </c>
      <c r="K215" s="78">
        <f t="shared" si="44"/>
        <v>49249</v>
      </c>
    </row>
    <row r="216" spans="2:13" outlineLevel="1">
      <c r="B216" s="82">
        <f t="shared" si="47"/>
        <v>49279</v>
      </c>
      <c r="C216" s="79">
        <v>2788801.8121697009</v>
      </c>
      <c r="D216" s="80">
        <f>IF(ISNUMBER($F216)*SUM(F216:F227)&lt;&gt;0,VLOOKUP($J216,'Table 1'!$B$13:$C$33,2,FALSE)/12*1000*Study_MW,0)</f>
        <v>0</v>
      </c>
      <c r="E216" s="80">
        <f t="shared" si="48"/>
        <v>2788801.8121697009</v>
      </c>
      <c r="F216" s="79">
        <v>63240</v>
      </c>
      <c r="G216" s="81">
        <f t="shared" si="45"/>
        <v>44.098700382190081</v>
      </c>
      <c r="I216" s="64">
        <f t="shared" si="49"/>
        <v>90</v>
      </c>
      <c r="J216" s="73">
        <f t="shared" si="50"/>
        <v>2034</v>
      </c>
      <c r="K216" s="82">
        <f t="shared" si="44"/>
        <v>49279</v>
      </c>
    </row>
    <row r="217" spans="2:13" outlineLevel="1">
      <c r="B217" s="74">
        <f t="shared" si="47"/>
        <v>49310</v>
      </c>
      <c r="C217" s="69">
        <v>2570538.0634104013</v>
      </c>
      <c r="D217" s="70">
        <f>IF(ISNUMBER($F217)*SUM(F217:F228)&lt;&gt;0,VLOOKUP($J217,'Table 1'!$B$13:$C$33,2,FALSE)/12*1000*Study_MW,0)</f>
        <v>0</v>
      </c>
      <c r="E217" s="70">
        <f t="shared" si="48"/>
        <v>2570538.0634104013</v>
      </c>
      <c r="F217" s="69">
        <v>63240</v>
      </c>
      <c r="G217" s="72">
        <f t="shared" ref="G217:G240" si="51">IFERROR(E217/$F217,0)</f>
        <v>40.647344456204955</v>
      </c>
      <c r="I217" s="60">
        <f t="shared" si="49"/>
        <v>92</v>
      </c>
      <c r="J217" s="73">
        <f t="shared" si="50"/>
        <v>2035</v>
      </c>
      <c r="K217" s="74">
        <f t="shared" ref="K217:K240" si="52">IF(ISNUMBER(F217),IF(F217&lt;&gt;0,B217,""),"")</f>
        <v>49310</v>
      </c>
      <c r="M217" s="41">
        <v>2.0547727211939426E-2</v>
      </c>
    </row>
    <row r="218" spans="2:13" outlineLevel="1">
      <c r="B218" s="78">
        <f t="shared" si="47"/>
        <v>49341</v>
      </c>
      <c r="C218" s="75">
        <v>2539120.1778187156</v>
      </c>
      <c r="D218" s="71">
        <f>IF(ISNUMBER($F218)*SUM(F218:F229)&lt;&gt;0,VLOOKUP($J218,'Table 1'!$B$13:$C$33,2,FALSE)/12*1000*Study_MW,0)</f>
        <v>0</v>
      </c>
      <c r="E218" s="71">
        <f t="shared" ref="E218:E240" si="53">C218+D218</f>
        <v>2539120.1778187156</v>
      </c>
      <c r="F218" s="75">
        <v>57120</v>
      </c>
      <c r="G218" s="76">
        <f t="shared" si="51"/>
        <v>44.452384065453707</v>
      </c>
      <c r="I218" s="77">
        <f t="shared" si="49"/>
        <v>93</v>
      </c>
      <c r="J218" s="73">
        <f t="shared" ref="J218:J240" si="54">YEAR(B218)</f>
        <v>2035</v>
      </c>
      <c r="K218" s="78">
        <f t="shared" si="52"/>
        <v>49341</v>
      </c>
      <c r="M218" s="41">
        <v>2.0547727211939426E-2</v>
      </c>
    </row>
    <row r="219" spans="2:13" outlineLevel="1">
      <c r="B219" s="78">
        <f t="shared" si="47"/>
        <v>49369</v>
      </c>
      <c r="C219" s="75">
        <v>2805037.0018630624</v>
      </c>
      <c r="D219" s="71">
        <f>IF(ISNUMBER($F219)*SUM(F219:F230)&lt;&gt;0,VLOOKUP($J219,'Table 1'!$B$13:$C$33,2,FALSE)/12*1000*Study_MW,0)</f>
        <v>0</v>
      </c>
      <c r="E219" s="71">
        <f t="shared" si="53"/>
        <v>2805037.0018630624</v>
      </c>
      <c r="F219" s="75">
        <v>63240</v>
      </c>
      <c r="G219" s="76">
        <f t="shared" si="51"/>
        <v>44.355423811876385</v>
      </c>
      <c r="I219" s="77">
        <f t="shared" si="49"/>
        <v>94</v>
      </c>
      <c r="J219" s="73">
        <f t="shared" si="54"/>
        <v>2035</v>
      </c>
      <c r="K219" s="78">
        <f t="shared" si="52"/>
        <v>49369</v>
      </c>
      <c r="M219" s="41">
        <v>2.0547727211939426E-2</v>
      </c>
    </row>
    <row r="220" spans="2:13" outlineLevel="1">
      <c r="B220" s="78">
        <f t="shared" si="47"/>
        <v>49400</v>
      </c>
      <c r="C220" s="75">
        <v>2476578.8241868913</v>
      </c>
      <c r="D220" s="71">
        <f>IF(ISNUMBER($F220)*SUM(F220:F231)&lt;&gt;0,VLOOKUP($J220,'Table 1'!$B$13:$C$33,2,FALSE)/12*1000*Study_MW,0)</f>
        <v>0</v>
      </c>
      <c r="E220" s="71">
        <f t="shared" si="53"/>
        <v>2476578.8241868913</v>
      </c>
      <c r="F220" s="75">
        <v>61200</v>
      </c>
      <c r="G220" s="76">
        <f t="shared" si="51"/>
        <v>40.466974251419792</v>
      </c>
      <c r="I220" s="77">
        <f t="shared" si="49"/>
        <v>95</v>
      </c>
      <c r="J220" s="73">
        <f t="shared" si="54"/>
        <v>2035</v>
      </c>
      <c r="K220" s="78">
        <f t="shared" si="52"/>
        <v>49400</v>
      </c>
      <c r="M220" s="41">
        <v>2.0547727211939426E-2</v>
      </c>
    </row>
    <row r="221" spans="2:13" outlineLevel="1">
      <c r="B221" s="78">
        <f t="shared" si="47"/>
        <v>49430</v>
      </c>
      <c r="C221" s="75">
        <v>2419112.1425562054</v>
      </c>
      <c r="D221" s="71">
        <f>IF(ISNUMBER($F221)*SUM(F221:F232)&lt;&gt;0,VLOOKUP($J221,'Table 1'!$B$13:$C$33,2,FALSE)/12*1000*Study_MW,0)</f>
        <v>0</v>
      </c>
      <c r="E221" s="71">
        <f t="shared" si="53"/>
        <v>2419112.1425562054</v>
      </c>
      <c r="F221" s="75">
        <v>63240</v>
      </c>
      <c r="G221" s="76">
        <f t="shared" si="51"/>
        <v>38.25288017957314</v>
      </c>
      <c r="I221" s="77">
        <f t="shared" si="49"/>
        <v>96</v>
      </c>
      <c r="J221" s="73">
        <f t="shared" si="54"/>
        <v>2035</v>
      </c>
      <c r="K221" s="78">
        <f t="shared" si="52"/>
        <v>49430</v>
      </c>
      <c r="M221" s="41">
        <v>2.0547727211939426E-2</v>
      </c>
    </row>
    <row r="222" spans="2:13" outlineLevel="1">
      <c r="B222" s="78">
        <f t="shared" si="47"/>
        <v>49461</v>
      </c>
      <c r="C222" s="75">
        <v>2356012.6759437919</v>
      </c>
      <c r="D222" s="71">
        <f>IF(ISNUMBER($F222)*SUM(F222:F233)&lt;&gt;0,VLOOKUP($J222,'Table 1'!$B$13:$C$33,2,FALSE)/12*1000*Study_MW,0)</f>
        <v>0</v>
      </c>
      <c r="E222" s="71">
        <f t="shared" si="53"/>
        <v>2356012.6759437919</v>
      </c>
      <c r="F222" s="75">
        <v>61200</v>
      </c>
      <c r="G222" s="76">
        <f t="shared" si="51"/>
        <v>38.496939149408362</v>
      </c>
      <c r="I222" s="77">
        <f t="shared" si="49"/>
        <v>97</v>
      </c>
      <c r="J222" s="73">
        <f t="shared" si="54"/>
        <v>2035</v>
      </c>
      <c r="K222" s="78">
        <f t="shared" si="52"/>
        <v>49461</v>
      </c>
      <c r="M222" s="41">
        <v>2.0547727211939426E-2</v>
      </c>
    </row>
    <row r="223" spans="2:13" outlineLevel="1">
      <c r="B223" s="78">
        <f t="shared" si="47"/>
        <v>49491</v>
      </c>
      <c r="C223" s="75">
        <v>3488251.612755388</v>
      </c>
      <c r="D223" s="71">
        <f>IF(ISNUMBER($F223)*SUM(F223:F234)&lt;&gt;0,VLOOKUP($J223,'Table 1'!$B$13:$C$33,2,FALSE)/12*1000*Study_MW,0)</f>
        <v>0</v>
      </c>
      <c r="E223" s="71">
        <f t="shared" si="53"/>
        <v>3488251.612755388</v>
      </c>
      <c r="F223" s="75">
        <v>63240</v>
      </c>
      <c r="G223" s="76">
        <f t="shared" si="51"/>
        <v>55.158943908212969</v>
      </c>
      <c r="I223" s="77">
        <f t="shared" si="49"/>
        <v>98</v>
      </c>
      <c r="J223" s="73">
        <f t="shared" si="54"/>
        <v>2035</v>
      </c>
      <c r="K223" s="78">
        <f t="shared" si="52"/>
        <v>49491</v>
      </c>
      <c r="M223" s="41">
        <v>2.0547727211939426E-2</v>
      </c>
    </row>
    <row r="224" spans="2:13" outlineLevel="1">
      <c r="B224" s="78">
        <f t="shared" si="47"/>
        <v>49522</v>
      </c>
      <c r="C224" s="75">
        <v>3673631.3417207003</v>
      </c>
      <c r="D224" s="71">
        <f>IF(ISNUMBER($F224)*SUM(F224:F235)&lt;&gt;0,VLOOKUP($J224,'Table 1'!$B$13:$C$33,2,FALSE)/12*1000*Study_MW,0)</f>
        <v>0</v>
      </c>
      <c r="E224" s="71">
        <f t="shared" si="53"/>
        <v>3673631.3417207003</v>
      </c>
      <c r="F224" s="75">
        <v>63240</v>
      </c>
      <c r="G224" s="76">
        <f t="shared" si="51"/>
        <v>58.090312171421573</v>
      </c>
      <c r="I224" s="77">
        <f t="shared" si="49"/>
        <v>99</v>
      </c>
      <c r="J224" s="73">
        <f t="shared" si="54"/>
        <v>2035</v>
      </c>
      <c r="K224" s="78">
        <f t="shared" si="52"/>
        <v>49522</v>
      </c>
      <c r="M224" s="41">
        <v>2.0547727211939426E-2</v>
      </c>
    </row>
    <row r="225" spans="2:20" outlineLevel="1">
      <c r="B225" s="78">
        <f t="shared" si="47"/>
        <v>49553</v>
      </c>
      <c r="C225" s="75">
        <v>2920216.5623543561</v>
      </c>
      <c r="D225" s="71">
        <f>IF(ISNUMBER($F225)*SUM(F225:F236)&lt;&gt;0,VLOOKUP($J225,'Table 1'!$B$13:$C$33,2,FALSE)/12*1000*Study_MW,0)</f>
        <v>0</v>
      </c>
      <c r="E225" s="71">
        <f t="shared" si="53"/>
        <v>2920216.5623543561</v>
      </c>
      <c r="F225" s="75">
        <v>61200</v>
      </c>
      <c r="G225" s="76">
        <f t="shared" si="51"/>
        <v>47.715956901214966</v>
      </c>
      <c r="I225" s="77">
        <f t="shared" si="49"/>
        <v>100</v>
      </c>
      <c r="J225" s="73">
        <f t="shared" si="54"/>
        <v>2035</v>
      </c>
      <c r="K225" s="78">
        <f t="shared" si="52"/>
        <v>49553</v>
      </c>
      <c r="M225" s="41">
        <v>2.0547727211939426E-2</v>
      </c>
    </row>
    <row r="226" spans="2:20" outlineLevel="1">
      <c r="B226" s="78">
        <f t="shared" si="47"/>
        <v>49583</v>
      </c>
      <c r="C226" s="75">
        <v>2713955.5498746634</v>
      </c>
      <c r="D226" s="71">
        <f>IF(ISNUMBER($F226)*SUM(F226:F237)&lt;&gt;0,VLOOKUP($J226,'Table 1'!$B$13:$C$33,2,FALSE)/12*1000*Study_MW,0)</f>
        <v>0</v>
      </c>
      <c r="E226" s="71">
        <f t="shared" si="53"/>
        <v>2713955.5498746634</v>
      </c>
      <c r="F226" s="75">
        <v>63240</v>
      </c>
      <c r="G226" s="76">
        <f t="shared" si="51"/>
        <v>42.915173147923205</v>
      </c>
      <c r="I226" s="77">
        <f t="shared" si="49"/>
        <v>101</v>
      </c>
      <c r="J226" s="73">
        <f t="shared" si="54"/>
        <v>2035</v>
      </c>
      <c r="K226" s="78">
        <f t="shared" si="52"/>
        <v>49583</v>
      </c>
      <c r="M226" s="41">
        <v>2.0547727211939426E-2</v>
      </c>
    </row>
    <row r="227" spans="2:20" outlineLevel="1">
      <c r="B227" s="78">
        <f t="shared" si="47"/>
        <v>49614</v>
      </c>
      <c r="C227" s="75">
        <v>2548360.4124210775</v>
      </c>
      <c r="D227" s="71">
        <f>IF(ISNUMBER($F227)*SUM(F227:F238)&lt;&gt;0,VLOOKUP($J227,'Table 1'!$B$13:$C$33,2,FALSE)/12*1000*Study_MW,0)</f>
        <v>0</v>
      </c>
      <c r="E227" s="71">
        <f t="shared" si="53"/>
        <v>2548360.4124210775</v>
      </c>
      <c r="F227" s="75">
        <v>61200</v>
      </c>
      <c r="G227" s="76">
        <f t="shared" si="51"/>
        <v>41.639876019952247</v>
      </c>
      <c r="I227" s="77">
        <f t="shared" si="49"/>
        <v>102</v>
      </c>
      <c r="J227" s="73">
        <f t="shared" si="54"/>
        <v>2035</v>
      </c>
      <c r="K227" s="78">
        <f t="shared" si="52"/>
        <v>49614</v>
      </c>
      <c r="M227" s="41">
        <v>2.0547727211939426E-2</v>
      </c>
      <c r="T227" s="193"/>
    </row>
    <row r="228" spans="2:20" outlineLevel="1">
      <c r="B228" s="82">
        <f t="shared" si="47"/>
        <v>49644</v>
      </c>
      <c r="C228" s="79">
        <v>3014415.250700593</v>
      </c>
      <c r="D228" s="80">
        <f>IF(ISNUMBER($F228)*SUM(F228:F239)&lt;&gt;0,VLOOKUP($J228,'Table 1'!$B$13:$C$33,2,FALSE)/12*1000*Study_MW,0)</f>
        <v>0</v>
      </c>
      <c r="E228" s="80">
        <f t="shared" si="53"/>
        <v>3014415.250700593</v>
      </c>
      <c r="F228" s="79">
        <v>63240</v>
      </c>
      <c r="G228" s="81">
        <f t="shared" si="51"/>
        <v>47.666275311521076</v>
      </c>
      <c r="I228" s="64">
        <f t="shared" si="49"/>
        <v>103</v>
      </c>
      <c r="J228" s="73">
        <f t="shared" si="54"/>
        <v>2035</v>
      </c>
      <c r="K228" s="82">
        <f t="shared" si="52"/>
        <v>49644</v>
      </c>
      <c r="M228" s="41">
        <v>2.0547727211939426E-2</v>
      </c>
      <c r="T228" s="193"/>
    </row>
    <row r="229" spans="2:20" outlineLevel="1">
      <c r="B229" s="74">
        <f t="shared" si="47"/>
        <v>49675</v>
      </c>
      <c r="C229" s="69">
        <v>2782388.3312016129</v>
      </c>
      <c r="D229" s="70">
        <f>IF(ISNUMBER($F229)*SUM(F229:F240)&lt;&gt;0,VLOOKUP($J229,'Table 1'!$B$13:$C$33,2,FALSE)/12*1000*Study_MW,0)</f>
        <v>0</v>
      </c>
      <c r="E229" s="70">
        <f t="shared" si="53"/>
        <v>2782388.3312016129</v>
      </c>
      <c r="F229" s="69">
        <v>63240</v>
      </c>
      <c r="G229" s="72">
        <f t="shared" si="51"/>
        <v>43.997285439620697</v>
      </c>
      <c r="I229" s="60">
        <f t="shared" si="49"/>
        <v>105</v>
      </c>
      <c r="J229" s="73">
        <f t="shared" si="54"/>
        <v>2036</v>
      </c>
      <c r="K229" s="74">
        <f t="shared" si="52"/>
        <v>49675</v>
      </c>
      <c r="M229" s="41">
        <v>2.0338413275796441E-2</v>
      </c>
      <c r="T229" s="193"/>
    </row>
    <row r="230" spans="2:20" outlineLevel="1">
      <c r="B230" s="78">
        <f t="shared" si="47"/>
        <v>49706</v>
      </c>
      <c r="C230" s="75">
        <v>2760474.770047605</v>
      </c>
      <c r="D230" s="71">
        <f>IF(ISNUMBER($F230)*SUM(F230:F241)&lt;&gt;0,VLOOKUP($J230,'Table 1'!$B$13:$C$33,2,FALSE)/12*1000*Study_MW,0)</f>
        <v>0</v>
      </c>
      <c r="E230" s="71">
        <f t="shared" si="53"/>
        <v>2760474.770047605</v>
      </c>
      <c r="F230" s="75">
        <v>59160</v>
      </c>
      <c r="G230" s="76">
        <f t="shared" si="51"/>
        <v>46.66116920296831</v>
      </c>
      <c r="I230" s="77">
        <f t="shared" si="49"/>
        <v>106</v>
      </c>
      <c r="J230" s="73">
        <f t="shared" si="54"/>
        <v>2036</v>
      </c>
      <c r="K230" s="78">
        <f t="shared" si="52"/>
        <v>49706</v>
      </c>
      <c r="M230" s="41">
        <v>2.0338413275796441E-2</v>
      </c>
      <c r="T230" s="193"/>
    </row>
    <row r="231" spans="2:20" outlineLevel="1">
      <c r="B231" s="78">
        <f t="shared" si="47"/>
        <v>49735</v>
      </c>
      <c r="C231" s="75">
        <v>2773204.2447289377</v>
      </c>
      <c r="D231" s="71">
        <f>IF(ISNUMBER($F231)*SUM(F231:F242)&lt;&gt;0,VLOOKUP($J231,'Table 1'!$B$13:$C$33,2,FALSE)/12*1000*Study_MW,0)</f>
        <v>0</v>
      </c>
      <c r="E231" s="71">
        <f t="shared" si="53"/>
        <v>2773204.2447289377</v>
      </c>
      <c r="F231" s="75">
        <v>63240</v>
      </c>
      <c r="G231" s="76">
        <f t="shared" si="51"/>
        <v>43.852059530818117</v>
      </c>
      <c r="I231" s="77">
        <f t="shared" si="49"/>
        <v>107</v>
      </c>
      <c r="J231" s="73">
        <f t="shared" si="54"/>
        <v>2036</v>
      </c>
      <c r="K231" s="78">
        <f t="shared" si="52"/>
        <v>49735</v>
      </c>
      <c r="M231" s="41">
        <v>2.0338413275796441E-2</v>
      </c>
      <c r="T231" s="193"/>
    </row>
    <row r="232" spans="2:20" outlineLevel="1">
      <c r="B232" s="78">
        <f t="shared" si="47"/>
        <v>49766</v>
      </c>
      <c r="C232" s="75">
        <v>2521209.3496535569</v>
      </c>
      <c r="D232" s="71">
        <f>IF(ISNUMBER($F232)*SUM(F232:F243)&lt;&gt;0,VLOOKUP($J232,'Table 1'!$B$13:$C$33,2,FALSE)/12*1000*Study_MW,0)</f>
        <v>0</v>
      </c>
      <c r="E232" s="71">
        <f t="shared" si="53"/>
        <v>2521209.3496535569</v>
      </c>
      <c r="F232" s="75">
        <v>61200</v>
      </c>
      <c r="G232" s="76">
        <f t="shared" si="51"/>
        <v>41.196231203489489</v>
      </c>
      <c r="I232" s="77">
        <f t="shared" si="49"/>
        <v>108</v>
      </c>
      <c r="J232" s="73">
        <f t="shared" si="54"/>
        <v>2036</v>
      </c>
      <c r="K232" s="78">
        <f t="shared" si="52"/>
        <v>49766</v>
      </c>
      <c r="M232" s="41">
        <v>2.0338413275796441E-2</v>
      </c>
      <c r="T232" s="193"/>
    </row>
    <row r="233" spans="2:20" outlineLevel="1">
      <c r="B233" s="78">
        <f t="shared" si="47"/>
        <v>49796</v>
      </c>
      <c r="C233" s="75">
        <v>2643856.7764352262</v>
      </c>
      <c r="D233" s="71">
        <f>IF(ISNUMBER($F233)*SUM(F233:F244)&lt;&gt;0,VLOOKUP($J233,'Table 1'!$B$13:$C$33,2,FALSE)/12*1000*Study_MW,0)</f>
        <v>0</v>
      </c>
      <c r="E233" s="71">
        <f t="shared" si="53"/>
        <v>2643856.7764352262</v>
      </c>
      <c r="F233" s="75">
        <v>63240</v>
      </c>
      <c r="G233" s="76">
        <f t="shared" si="51"/>
        <v>41.806716894927675</v>
      </c>
      <c r="I233" s="77">
        <f t="shared" si="49"/>
        <v>109</v>
      </c>
      <c r="J233" s="73">
        <f t="shared" si="54"/>
        <v>2036</v>
      </c>
      <c r="K233" s="78">
        <f t="shared" si="52"/>
        <v>49796</v>
      </c>
      <c r="M233" s="41">
        <v>2.0338413275796441E-2</v>
      </c>
      <c r="T233" s="193"/>
    </row>
    <row r="234" spans="2:20" outlineLevel="1">
      <c r="B234" s="78">
        <f t="shared" si="47"/>
        <v>49827</v>
      </c>
      <c r="C234" s="75">
        <v>2578873.3232686222</v>
      </c>
      <c r="D234" s="71">
        <f>IF(ISNUMBER($F234)*SUM(F234:F245)&lt;&gt;0,VLOOKUP($J234,'Table 1'!$B$13:$C$33,2,FALSE)/12*1000*Study_MW,0)</f>
        <v>0</v>
      </c>
      <c r="E234" s="71">
        <f t="shared" si="53"/>
        <v>2578873.3232686222</v>
      </c>
      <c r="F234" s="75">
        <v>61200</v>
      </c>
      <c r="G234" s="76">
        <f t="shared" si="51"/>
        <v>42.138452994585329</v>
      </c>
      <c r="I234" s="77">
        <f t="shared" si="49"/>
        <v>110</v>
      </c>
      <c r="J234" s="73">
        <f t="shared" si="54"/>
        <v>2036</v>
      </c>
      <c r="K234" s="78">
        <f t="shared" si="52"/>
        <v>49827</v>
      </c>
      <c r="M234" s="41">
        <v>2.0338413275796441E-2</v>
      </c>
      <c r="T234" s="193"/>
    </row>
    <row r="235" spans="2:20" outlineLevel="1">
      <c r="B235" s="78">
        <f t="shared" si="47"/>
        <v>49857</v>
      </c>
      <c r="C235" s="75">
        <v>4580883.8854125738</v>
      </c>
      <c r="D235" s="71">
        <f>IF(ISNUMBER($F235)*SUM(F235:F246)&lt;&gt;0,VLOOKUP($J235,'Table 1'!$B$13:$C$33,2,FALSE)/12*1000*Study_MW,0)</f>
        <v>0</v>
      </c>
      <c r="E235" s="71">
        <f t="shared" si="53"/>
        <v>4580883.8854125738</v>
      </c>
      <c r="F235" s="75">
        <v>63240</v>
      </c>
      <c r="G235" s="76">
        <f t="shared" si="51"/>
        <v>72.436494076732671</v>
      </c>
      <c r="I235" s="77">
        <f t="shared" si="49"/>
        <v>111</v>
      </c>
      <c r="J235" s="73">
        <f t="shared" si="54"/>
        <v>2036</v>
      </c>
      <c r="K235" s="78">
        <f t="shared" si="52"/>
        <v>49857</v>
      </c>
      <c r="M235" s="41">
        <v>2.0338413275796441E-2</v>
      </c>
      <c r="T235" s="193"/>
    </row>
    <row r="236" spans="2:20" outlineLevel="1">
      <c r="B236" s="78">
        <f t="shared" si="47"/>
        <v>49888</v>
      </c>
      <c r="C236" s="75">
        <v>4393574.1820522547</v>
      </c>
      <c r="D236" s="71">
        <f>IF(ISNUMBER($F236)*SUM(F236:F247)&lt;&gt;0,VLOOKUP($J236,'Table 1'!$B$13:$C$33,2,FALSE)/12*1000*Study_MW,0)</f>
        <v>0</v>
      </c>
      <c r="E236" s="71">
        <f t="shared" si="53"/>
        <v>4393574.1820522547</v>
      </c>
      <c r="F236" s="75">
        <v>63240</v>
      </c>
      <c r="G236" s="76">
        <f t="shared" si="51"/>
        <v>69.474607559333563</v>
      </c>
      <c r="I236" s="77">
        <f t="shared" si="49"/>
        <v>112</v>
      </c>
      <c r="J236" s="73">
        <f t="shared" si="54"/>
        <v>2036</v>
      </c>
      <c r="K236" s="78">
        <f t="shared" si="52"/>
        <v>49888</v>
      </c>
      <c r="M236" s="41">
        <v>2.0338413275796441E-2</v>
      </c>
      <c r="T236" s="193"/>
    </row>
    <row r="237" spans="2:20" outlineLevel="1">
      <c r="B237" s="78">
        <f t="shared" si="47"/>
        <v>49919</v>
      </c>
      <c r="C237" s="75">
        <v>3727656.4295481443</v>
      </c>
      <c r="D237" s="71">
        <f>IF(ISNUMBER($F237)*SUM(F237:F248)&lt;&gt;0,VLOOKUP($J237,'Table 1'!$B$13:$C$33,2,FALSE)/12*1000*Study_MW,0)</f>
        <v>0</v>
      </c>
      <c r="E237" s="71">
        <f t="shared" si="53"/>
        <v>3727656.4295481443</v>
      </c>
      <c r="F237" s="75">
        <v>61200</v>
      </c>
      <c r="G237" s="76">
        <f t="shared" si="51"/>
        <v>60.909418783466414</v>
      </c>
      <c r="I237" s="77">
        <f t="shared" si="49"/>
        <v>113</v>
      </c>
      <c r="J237" s="73">
        <f t="shared" si="54"/>
        <v>2036</v>
      </c>
      <c r="K237" s="78">
        <f t="shared" si="52"/>
        <v>49919</v>
      </c>
      <c r="M237" s="41">
        <v>2.0338413275796441E-2</v>
      </c>
      <c r="T237" s="193"/>
    </row>
    <row r="238" spans="2:20" outlineLevel="1">
      <c r="B238" s="78">
        <f t="shared" si="47"/>
        <v>49949</v>
      </c>
      <c r="C238" s="75">
        <v>3224704.4872864485</v>
      </c>
      <c r="D238" s="71">
        <f>IF(ISNUMBER($F238)*SUM(F238:F249)&lt;&gt;0,VLOOKUP($J238,'Table 1'!$B$13:$C$33,2,FALSE)/12*1000*Study_MW,0)</f>
        <v>0</v>
      </c>
      <c r="E238" s="71">
        <f t="shared" si="53"/>
        <v>3224704.4872864485</v>
      </c>
      <c r="F238" s="75">
        <v>63240</v>
      </c>
      <c r="G238" s="76">
        <f t="shared" si="51"/>
        <v>50.991532057027968</v>
      </c>
      <c r="I238" s="77">
        <f t="shared" si="49"/>
        <v>114</v>
      </c>
      <c r="J238" s="73">
        <f t="shared" si="54"/>
        <v>2036</v>
      </c>
      <c r="K238" s="78">
        <f t="shared" si="52"/>
        <v>49949</v>
      </c>
      <c r="M238" s="41">
        <v>2.0338413275796441E-2</v>
      </c>
      <c r="T238" s="193"/>
    </row>
    <row r="239" spans="2:20" outlineLevel="1">
      <c r="B239" s="78">
        <f t="shared" si="47"/>
        <v>49980</v>
      </c>
      <c r="C239" s="75">
        <v>2861213.0037276298</v>
      </c>
      <c r="D239" s="71">
        <f>IF(ISNUMBER($F239)*SUM(F239:F250)&lt;&gt;0,VLOOKUP($J239,'Table 1'!$B$13:$C$33,2,FALSE)/12*1000*Study_MW,0)</f>
        <v>0</v>
      </c>
      <c r="E239" s="71">
        <f t="shared" si="53"/>
        <v>2861213.0037276298</v>
      </c>
      <c r="F239" s="75">
        <v>61200</v>
      </c>
      <c r="G239" s="76">
        <f t="shared" si="51"/>
        <v>46.751846466137742</v>
      </c>
      <c r="I239" s="77">
        <f t="shared" si="49"/>
        <v>115</v>
      </c>
      <c r="J239" s="73">
        <f t="shared" si="54"/>
        <v>2036</v>
      </c>
      <c r="K239" s="78">
        <f t="shared" si="52"/>
        <v>49980</v>
      </c>
      <c r="M239" s="41">
        <v>2.0338413275796441E-2</v>
      </c>
      <c r="T239" s="193"/>
    </row>
    <row r="240" spans="2:20" outlineLevel="1">
      <c r="B240" s="82">
        <f t="shared" si="47"/>
        <v>50010</v>
      </c>
      <c r="C240" s="79">
        <v>3234780.348957032</v>
      </c>
      <c r="D240" s="80">
        <f>IF(ISNUMBER($F240)*SUM(F240:F251)&lt;&gt;0,VLOOKUP($J240,'Table 1'!$B$13:$C$33,2,FALSE)/12*1000*Study_MW,0)</f>
        <v>0</v>
      </c>
      <c r="E240" s="80">
        <f t="shared" si="53"/>
        <v>3234780.348957032</v>
      </c>
      <c r="F240" s="79">
        <v>63240</v>
      </c>
      <c r="G240" s="81">
        <f t="shared" si="51"/>
        <v>51.150859407922709</v>
      </c>
      <c r="I240" s="64">
        <f t="shared" si="49"/>
        <v>116</v>
      </c>
      <c r="J240" s="73">
        <f t="shared" si="54"/>
        <v>2036</v>
      </c>
      <c r="K240" s="82">
        <f t="shared" si="52"/>
        <v>50010</v>
      </c>
      <c r="M240" s="41">
        <v>2.0338413275796441E-2</v>
      </c>
      <c r="T240" s="193"/>
    </row>
    <row r="241" spans="2:20" outlineLevel="1">
      <c r="B241" s="212">
        <f t="shared" si="47"/>
        <v>50041</v>
      </c>
      <c r="C241" s="201">
        <f t="shared" ref="C241:C252" si="55">(C229*(1+M241))*IF(AND(MONTH(K241)=2,OR(J229=2036,J229=2040)),28/29,1)</f>
        <v>2838448.1912380191</v>
      </c>
      <c r="D241" s="202">
        <f>IF(ISNUMBER($F241)*SUM(F241:F252)&lt;&gt;0,VLOOKUP($J241,'Table 1'!$B$13:$C$33,2,FALSE)/12*1000*Study_MW,0)</f>
        <v>0</v>
      </c>
      <c r="E241" s="202">
        <f t="shared" si="48"/>
        <v>2838448.1912380191</v>
      </c>
      <c r="F241" s="201">
        <v>63240</v>
      </c>
      <c r="G241" s="203">
        <f t="shared" si="45"/>
        <v>44.883747489532247</v>
      </c>
      <c r="I241" s="60">
        <f>I121</f>
        <v>118</v>
      </c>
      <c r="J241" s="73">
        <f t="shared" si="50"/>
        <v>2037</v>
      </c>
      <c r="K241" s="74">
        <f t="shared" ref="K241:K252" si="56">IF(ISNUMBER(F241),IF(F241&lt;&gt;0,B241,""),"")</f>
        <v>50041</v>
      </c>
      <c r="M241" s="41">
        <v>2.0148107799243142E-2</v>
      </c>
      <c r="T241" s="193"/>
    </row>
    <row r="242" spans="2:20" outlineLevel="1">
      <c r="B242" s="213">
        <f t="shared" si="47"/>
        <v>50072</v>
      </c>
      <c r="C242" s="195">
        <f t="shared" si="55"/>
        <v>2718986.4542125938</v>
      </c>
      <c r="D242" s="196">
        <f>IF(ISNUMBER($F242)*SUM(F242:F253)&lt;&gt;0,VLOOKUP($J242,'Table 1'!$B$13:$C$33,2,FALSE)/12*1000*Study_MW,0)</f>
        <v>0</v>
      </c>
      <c r="E242" s="196">
        <f t="shared" si="48"/>
        <v>2718986.4542125938</v>
      </c>
      <c r="F242" s="195">
        <v>57120</v>
      </c>
      <c r="G242" s="197">
        <f t="shared" si="45"/>
        <v>47.601303470108434</v>
      </c>
      <c r="I242" s="77">
        <f t="shared" ref="I242:I264" si="57">I122</f>
        <v>119</v>
      </c>
      <c r="J242" s="73">
        <f t="shared" si="50"/>
        <v>2037</v>
      </c>
      <c r="K242" s="78">
        <f t="shared" si="56"/>
        <v>50072</v>
      </c>
      <c r="M242" s="41">
        <v>2.0148107799243142E-2</v>
      </c>
      <c r="T242" s="193"/>
    </row>
    <row r="243" spans="2:20" outlineLevel="1">
      <c r="B243" s="213">
        <f t="shared" si="47"/>
        <v>50100</v>
      </c>
      <c r="C243" s="195">
        <f t="shared" si="55"/>
        <v>2829079.0628010551</v>
      </c>
      <c r="D243" s="196">
        <f>IF(ISNUMBER($F243)*SUM(F243:F254)&lt;&gt;0,VLOOKUP($J243,'Table 1'!$B$13:$C$33,2,FALSE)/12*1000*Study_MW,0)</f>
        <v>0</v>
      </c>
      <c r="E243" s="196">
        <f t="shared" si="48"/>
        <v>2829079.0628010551</v>
      </c>
      <c r="F243" s="195">
        <v>63240</v>
      </c>
      <c r="G243" s="197">
        <f t="shared" si="45"/>
        <v>44.735595553463867</v>
      </c>
      <c r="I243" s="77">
        <f t="shared" si="57"/>
        <v>120</v>
      </c>
      <c r="J243" s="73">
        <f t="shared" si="50"/>
        <v>2037</v>
      </c>
      <c r="K243" s="78">
        <f t="shared" si="56"/>
        <v>50100</v>
      </c>
      <c r="M243" s="41">
        <v>2.0148107799243142E-2</v>
      </c>
      <c r="T243" s="193"/>
    </row>
    <row r="244" spans="2:20" outlineLevel="1">
      <c r="B244" s="213">
        <f t="shared" si="47"/>
        <v>50131</v>
      </c>
      <c r="C244" s="195">
        <f t="shared" si="55"/>
        <v>2572006.9474148364</v>
      </c>
      <c r="D244" s="196">
        <f>IF(ISNUMBER($F244)*SUM(F244:F255)&lt;&gt;0,VLOOKUP($J244,'Table 1'!$B$13:$C$33,2,FALSE)/12*1000*Study_MW,0)</f>
        <v>0</v>
      </c>
      <c r="E244" s="196">
        <f t="shared" si="48"/>
        <v>2572006.9474148364</v>
      </c>
      <c r="F244" s="195">
        <v>61200</v>
      </c>
      <c r="G244" s="197">
        <f t="shared" si="45"/>
        <v>42.02625731069994</v>
      </c>
      <c r="I244" s="77">
        <f t="shared" si="57"/>
        <v>121</v>
      </c>
      <c r="J244" s="73">
        <f t="shared" si="50"/>
        <v>2037</v>
      </c>
      <c r="K244" s="78">
        <f t="shared" si="56"/>
        <v>50131</v>
      </c>
      <c r="M244" s="41">
        <v>2.0148107799243142E-2</v>
      </c>
      <c r="T244" s="193"/>
    </row>
    <row r="245" spans="2:20" outlineLevel="1">
      <c r="B245" s="213">
        <f t="shared" si="47"/>
        <v>50161</v>
      </c>
      <c r="C245" s="195">
        <f t="shared" si="55"/>
        <v>2697125.4877726026</v>
      </c>
      <c r="D245" s="196">
        <f>IF(ISNUMBER($F245)*SUM(F245:F256)&lt;&gt;0,VLOOKUP($J245,'Table 1'!$B$13:$C$33,2,FALSE)/12*1000*Study_MW,0)</f>
        <v>0</v>
      </c>
      <c r="E245" s="196">
        <f t="shared" si="48"/>
        <v>2697125.4877726026</v>
      </c>
      <c r="F245" s="195">
        <v>63240</v>
      </c>
      <c r="G245" s="197">
        <f t="shared" si="45"/>
        <v>42.64904313365912</v>
      </c>
      <c r="I245" s="77">
        <f t="shared" si="57"/>
        <v>122</v>
      </c>
      <c r="J245" s="73">
        <f t="shared" si="50"/>
        <v>2037</v>
      </c>
      <c r="K245" s="78">
        <f t="shared" si="56"/>
        <v>50161</v>
      </c>
      <c r="M245" s="41">
        <v>2.0148107799243142E-2</v>
      </c>
      <c r="T245" s="193"/>
    </row>
    <row r="246" spans="2:20" outlineLevel="1">
      <c r="B246" s="213">
        <f t="shared" si="47"/>
        <v>50192</v>
      </c>
      <c r="C246" s="195">
        <f t="shared" si="55"/>
        <v>2630832.7409864306</v>
      </c>
      <c r="D246" s="196">
        <f>IF(ISNUMBER($F246)*SUM(F246:F257)&lt;&gt;0,VLOOKUP($J246,'Table 1'!$B$13:$C$33,2,FALSE)/12*1000*Study_MW,0)</f>
        <v>0</v>
      </c>
      <c r="E246" s="196">
        <f t="shared" si="48"/>
        <v>2630832.7409864306</v>
      </c>
      <c r="F246" s="195">
        <v>61200</v>
      </c>
      <c r="G246" s="197">
        <f t="shared" si="45"/>
        <v>42.98746308801357</v>
      </c>
      <c r="I246" s="77">
        <f t="shared" si="57"/>
        <v>123</v>
      </c>
      <c r="J246" s="73">
        <f t="shared" si="50"/>
        <v>2037</v>
      </c>
      <c r="K246" s="78">
        <f t="shared" si="56"/>
        <v>50192</v>
      </c>
      <c r="M246" s="41">
        <v>2.0148107799243142E-2</v>
      </c>
      <c r="T246" s="193"/>
    </row>
    <row r="247" spans="2:20" outlineLevel="1">
      <c r="B247" s="213">
        <f t="shared" si="47"/>
        <v>50222</v>
      </c>
      <c r="C247" s="195">
        <f t="shared" si="55"/>
        <v>4673180.0277516823</v>
      </c>
      <c r="D247" s="196">
        <f>IF(ISNUMBER($F247)*SUM(F247:F258)&lt;&gt;0,VLOOKUP($J247,'Table 1'!$B$13:$C$33,2,FALSE)/12*1000*Study_MW,0)</f>
        <v>0</v>
      </c>
      <c r="E247" s="196">
        <f t="shared" si="48"/>
        <v>4673180.0277516823</v>
      </c>
      <c r="F247" s="195">
        <v>63240</v>
      </c>
      <c r="G247" s="197">
        <f t="shared" si="45"/>
        <v>73.895952367989921</v>
      </c>
      <c r="I247" s="77">
        <f t="shared" si="57"/>
        <v>124</v>
      </c>
      <c r="J247" s="73">
        <f t="shared" si="50"/>
        <v>2037</v>
      </c>
      <c r="K247" s="78">
        <f t="shared" si="56"/>
        <v>50222</v>
      </c>
      <c r="M247" s="41">
        <v>2.0148107799243142E-2</v>
      </c>
      <c r="T247" s="193"/>
    </row>
    <row r="248" spans="2:20" outlineLevel="1">
      <c r="B248" s="213">
        <f t="shared" si="47"/>
        <v>50253</v>
      </c>
      <c r="C248" s="195">
        <f t="shared" si="55"/>
        <v>4482096.3882962149</v>
      </c>
      <c r="D248" s="196">
        <f>IF(ISNUMBER($F248)*SUM(F248:F259)&lt;&gt;0,VLOOKUP($J248,'Table 1'!$B$13:$C$33,2,FALSE)/12*1000*Study_MW,0)</f>
        <v>0</v>
      </c>
      <c r="E248" s="196">
        <f t="shared" si="48"/>
        <v>4482096.3882962149</v>
      </c>
      <c r="F248" s="195">
        <v>63240</v>
      </c>
      <c r="G248" s="197">
        <f t="shared" si="45"/>
        <v>70.87438944174913</v>
      </c>
      <c r="I248" s="77">
        <f t="shared" si="57"/>
        <v>125</v>
      </c>
      <c r="J248" s="73">
        <f t="shared" si="50"/>
        <v>2037</v>
      </c>
      <c r="K248" s="78">
        <f t="shared" si="56"/>
        <v>50253</v>
      </c>
      <c r="M248" s="41">
        <v>2.0148107799243142E-2</v>
      </c>
      <c r="T248" s="193"/>
    </row>
    <row r="249" spans="2:20" outlineLevel="1">
      <c r="B249" s="213">
        <f t="shared" si="47"/>
        <v>50284</v>
      </c>
      <c r="C249" s="195">
        <f t="shared" si="55"/>
        <v>3802761.6531292223</v>
      </c>
      <c r="D249" s="196">
        <f>IF(ISNUMBER($F249)*SUM(F249:F260)&lt;&gt;0,VLOOKUP($J249,'Table 1'!$B$13:$C$33,2,FALSE)/12*1000*Study_MW,0)</f>
        <v>0</v>
      </c>
      <c r="E249" s="196">
        <f t="shared" si="48"/>
        <v>3802761.6531292223</v>
      </c>
      <c r="F249" s="195">
        <v>61200</v>
      </c>
      <c r="G249" s="197">
        <f t="shared" si="45"/>
        <v>62.136628319104943</v>
      </c>
      <c r="I249" s="77">
        <f t="shared" si="57"/>
        <v>126</v>
      </c>
      <c r="J249" s="73">
        <f t="shared" si="50"/>
        <v>2037</v>
      </c>
      <c r="K249" s="78">
        <f t="shared" si="56"/>
        <v>50284</v>
      </c>
      <c r="M249" s="41">
        <v>2.0148107799243142E-2</v>
      </c>
      <c r="T249" s="193"/>
    </row>
    <row r="250" spans="2:20" outlineLevel="1">
      <c r="B250" s="213">
        <f t="shared" si="47"/>
        <v>50314</v>
      </c>
      <c r="C250" s="195">
        <f t="shared" si="55"/>
        <v>3289676.180916999</v>
      </c>
      <c r="D250" s="196">
        <f>IF(ISNUMBER($F250)*SUM(F250:F261)&lt;&gt;0,VLOOKUP($J250,'Table 1'!$B$13:$C$33,2,FALSE)/12*1000*Study_MW,0)</f>
        <v>0</v>
      </c>
      <c r="E250" s="196">
        <f t="shared" si="48"/>
        <v>3289676.180916999</v>
      </c>
      <c r="F250" s="195">
        <v>63240</v>
      </c>
      <c r="G250" s="197">
        <f t="shared" si="45"/>
        <v>52.01891494176153</v>
      </c>
      <c r="I250" s="77">
        <f t="shared" si="57"/>
        <v>127</v>
      </c>
      <c r="J250" s="73">
        <f t="shared" si="50"/>
        <v>2037</v>
      </c>
      <c r="K250" s="78">
        <f t="shared" si="56"/>
        <v>50314</v>
      </c>
      <c r="M250" s="41">
        <v>2.0148107799243142E-2</v>
      </c>
      <c r="T250" s="193"/>
    </row>
    <row r="251" spans="2:20" outlineLevel="1">
      <c r="B251" s="213">
        <f t="shared" si="47"/>
        <v>50345</v>
      </c>
      <c r="C251" s="195">
        <f t="shared" si="55"/>
        <v>2918861.0317633306</v>
      </c>
      <c r="D251" s="196">
        <f>IF(ISNUMBER($F251)*SUM(F251:F262)&lt;&gt;0,VLOOKUP($J251,'Table 1'!$B$13:$C$33,2,FALSE)/12*1000*Study_MW,0)</f>
        <v>0</v>
      </c>
      <c r="E251" s="196">
        <f t="shared" si="48"/>
        <v>2918861.0317633306</v>
      </c>
      <c r="F251" s="195">
        <v>61200</v>
      </c>
      <c r="G251" s="197">
        <f t="shared" si="45"/>
        <v>47.693807708551155</v>
      </c>
      <c r="I251" s="77">
        <f t="shared" si="57"/>
        <v>128</v>
      </c>
      <c r="J251" s="73">
        <f t="shared" si="50"/>
        <v>2037</v>
      </c>
      <c r="K251" s="78">
        <f t="shared" si="56"/>
        <v>50345</v>
      </c>
      <c r="M251" s="41">
        <v>2.0148107799243142E-2</v>
      </c>
      <c r="O251" s="193"/>
      <c r="P251" s="193"/>
      <c r="T251" s="193"/>
    </row>
    <row r="252" spans="2:20" outlineLevel="1" collapsed="1">
      <c r="B252" s="214">
        <f t="shared" si="47"/>
        <v>50375</v>
      </c>
      <c r="C252" s="198">
        <f t="shared" si="55"/>
        <v>3299955.0521346917</v>
      </c>
      <c r="D252" s="199">
        <f>IF(ISNUMBER($F252)*SUM(F252:F263)&lt;&gt;0,VLOOKUP($J252,'Table 1'!$B$13:$C$33,2,FALSE)/12*1000*Study_MW,0)</f>
        <v>0</v>
      </c>
      <c r="E252" s="199">
        <f t="shared" si="48"/>
        <v>3299955.0521346917</v>
      </c>
      <c r="F252" s="198">
        <v>63240</v>
      </c>
      <c r="G252" s="200">
        <f t="shared" si="45"/>
        <v>52.181452437297466</v>
      </c>
      <c r="I252" s="64">
        <f t="shared" si="57"/>
        <v>129</v>
      </c>
      <c r="J252" s="73">
        <f t="shared" si="50"/>
        <v>2037</v>
      </c>
      <c r="K252" s="82">
        <f t="shared" si="56"/>
        <v>50375</v>
      </c>
      <c r="M252" s="41">
        <v>2.0148107799243142E-2</v>
      </c>
      <c r="O252" s="193"/>
      <c r="P252" s="193"/>
      <c r="T252" s="193"/>
    </row>
    <row r="253" spans="2:20" outlineLevel="1">
      <c r="B253" s="212">
        <f t="shared" si="47"/>
        <v>50406</v>
      </c>
      <c r="C253" s="201">
        <f t="shared" ref="C253:C264" si="58">(C241*(1+M253))*IF(AND(MONTH(K253)=2,OR(J241=2036,J241=2040)),28/29,1)</f>
        <v>2895166.0336640151</v>
      </c>
      <c r="D253" s="202">
        <f>IF(ISNUMBER($F253)*SUM(F253:F264)&lt;&gt;0,VLOOKUP($J253,'Table 1'!$B$13:$C$33,2,FALSE)/12*1000*Study_MW,0)</f>
        <v>0</v>
      </c>
      <c r="E253" s="202">
        <f t="shared" ref="E253:E264" si="59">C253+D253</f>
        <v>2895166.0336640151</v>
      </c>
      <c r="F253" s="201">
        <v>63240</v>
      </c>
      <c r="G253" s="203">
        <f t="shared" ref="G253:G264" si="60">IFERROR(E253/$F253,0)</f>
        <v>45.780614068058433</v>
      </c>
      <c r="I253" s="60">
        <f>I133</f>
        <v>1</v>
      </c>
      <c r="J253" s="73">
        <f t="shared" ref="J253:J264" si="61">YEAR(B253)</f>
        <v>2038</v>
      </c>
      <c r="K253" s="74">
        <f t="shared" ref="K253:K264" si="62">IF(ISNUMBER(F253),IF(F253&lt;&gt;0,B253,""),"")</f>
        <v>50406</v>
      </c>
      <c r="M253" s="41">
        <v>1.9981989666423283E-2</v>
      </c>
      <c r="O253" s="193"/>
      <c r="P253" s="193"/>
      <c r="T253" s="193"/>
    </row>
    <row r="254" spans="2:20" outlineLevel="1">
      <c r="B254" s="213">
        <f t="shared" si="47"/>
        <v>50437</v>
      </c>
      <c r="C254" s="195">
        <f t="shared" si="58"/>
        <v>2773317.2134438148</v>
      </c>
      <c r="D254" s="196">
        <f>IF(ISNUMBER($F254)*SUM(F254:F265)&lt;&gt;0,VLOOKUP($J254,'Table 1'!$B$13:$C$33,2,FALSE)/12*1000*Study_MW,0)</f>
        <v>0</v>
      </c>
      <c r="E254" s="196">
        <f t="shared" si="59"/>
        <v>2773317.2134438148</v>
      </c>
      <c r="F254" s="195">
        <v>57120</v>
      </c>
      <c r="G254" s="197">
        <f t="shared" si="60"/>
        <v>48.552472224156418</v>
      </c>
      <c r="I254" s="77">
        <f t="shared" si="57"/>
        <v>2</v>
      </c>
      <c r="J254" s="73">
        <f t="shared" si="61"/>
        <v>2038</v>
      </c>
      <c r="K254" s="78">
        <f t="shared" si="62"/>
        <v>50437</v>
      </c>
      <c r="M254" s="41">
        <v>1.9981989666423283E-2</v>
      </c>
      <c r="O254" s="193"/>
      <c r="P254" s="193"/>
      <c r="T254" s="193"/>
    </row>
    <row r="255" spans="2:20" outlineLevel="1">
      <c r="B255" s="213">
        <f t="shared" si="47"/>
        <v>50465</v>
      </c>
      <c r="C255" s="195">
        <f t="shared" si="58"/>
        <v>2885609.6913994402</v>
      </c>
      <c r="D255" s="196">
        <f>IF(ISNUMBER($F255)*SUM(F255:F266)&lt;&gt;0,VLOOKUP($J255,'Table 1'!$B$13:$C$33,2,FALSE)/12*1000*Study_MW,0)</f>
        <v>0</v>
      </c>
      <c r="E255" s="196">
        <f t="shared" si="59"/>
        <v>2885609.6913994402</v>
      </c>
      <c r="F255" s="195">
        <v>63240</v>
      </c>
      <c r="G255" s="197">
        <f t="shared" si="60"/>
        <v>45.629501761534478</v>
      </c>
      <c r="I255" s="77">
        <f t="shared" si="57"/>
        <v>3</v>
      </c>
      <c r="J255" s="73">
        <f t="shared" si="61"/>
        <v>2038</v>
      </c>
      <c r="K255" s="78">
        <f t="shared" si="62"/>
        <v>50465</v>
      </c>
      <c r="M255" s="41">
        <v>1.9981989666423283E-2</v>
      </c>
      <c r="O255" s="193"/>
      <c r="P255" s="193"/>
      <c r="T255" s="193"/>
    </row>
    <row r="256" spans="2:20" outlineLevel="1">
      <c r="B256" s="213">
        <f t="shared" si="47"/>
        <v>50496</v>
      </c>
      <c r="C256" s="195">
        <f t="shared" si="58"/>
        <v>2623400.7636600486</v>
      </c>
      <c r="D256" s="196">
        <f>IF(ISNUMBER($F256)*SUM(F256:F267)&lt;&gt;0,VLOOKUP($J256,'Table 1'!$B$13:$C$33,2,FALSE)/12*1000*Study_MW,0)</f>
        <v>0</v>
      </c>
      <c r="E256" s="196">
        <f t="shared" si="59"/>
        <v>2623400.7636600486</v>
      </c>
      <c r="F256" s="195">
        <v>61200</v>
      </c>
      <c r="G256" s="197">
        <f t="shared" si="60"/>
        <v>42.866025550000792</v>
      </c>
      <c r="I256" s="77">
        <f t="shared" si="57"/>
        <v>4</v>
      </c>
      <c r="J256" s="73">
        <f t="shared" si="61"/>
        <v>2038</v>
      </c>
      <c r="K256" s="78">
        <f t="shared" si="62"/>
        <v>50496</v>
      </c>
      <c r="M256" s="41">
        <v>1.9981989666423283E-2</v>
      </c>
      <c r="O256" s="193"/>
      <c r="P256" s="193"/>
      <c r="T256" s="193"/>
    </row>
    <row r="257" spans="2:20" outlineLevel="1">
      <c r="B257" s="213">
        <f t="shared" si="47"/>
        <v>50526</v>
      </c>
      <c r="C257" s="195">
        <f t="shared" si="58"/>
        <v>2751019.4213983216</v>
      </c>
      <c r="D257" s="196">
        <f>IF(ISNUMBER($F257)*SUM(F257:F268)&lt;&gt;0,VLOOKUP($J257,'Table 1'!$B$13:$C$33,2,FALSE)/12*1000*Study_MW,0)</f>
        <v>0</v>
      </c>
      <c r="E257" s="196">
        <f t="shared" si="59"/>
        <v>2751019.4213983216</v>
      </c>
      <c r="F257" s="195">
        <v>63240</v>
      </c>
      <c r="G257" s="197">
        <f t="shared" si="60"/>
        <v>43.501255872838733</v>
      </c>
      <c r="I257" s="77">
        <f t="shared" si="57"/>
        <v>5</v>
      </c>
      <c r="J257" s="73">
        <f t="shared" si="61"/>
        <v>2038</v>
      </c>
      <c r="K257" s="78">
        <f t="shared" si="62"/>
        <v>50526</v>
      </c>
      <c r="M257" s="41">
        <v>1.9981989666423283E-2</v>
      </c>
      <c r="O257" s="193"/>
      <c r="P257" s="193"/>
      <c r="T257" s="193"/>
    </row>
    <row r="258" spans="2:20" outlineLevel="1">
      <c r="B258" s="213">
        <f t="shared" si="47"/>
        <v>50557</v>
      </c>
      <c r="C258" s="195">
        <f t="shared" si="58"/>
        <v>2683402.0136309094</v>
      </c>
      <c r="D258" s="196">
        <f>IF(ISNUMBER($F258)*SUM(F258:F269)&lt;&gt;0,VLOOKUP($J258,'Table 1'!$B$13:$C$33,2,FALSE)/12*1000*Study_MW,0)</f>
        <v>0</v>
      </c>
      <c r="E258" s="196">
        <f t="shared" si="59"/>
        <v>2683402.0136309094</v>
      </c>
      <c r="F258" s="195">
        <v>61200</v>
      </c>
      <c r="G258" s="197">
        <f t="shared" si="60"/>
        <v>43.846438131224012</v>
      </c>
      <c r="I258" s="77">
        <f t="shared" si="57"/>
        <v>6</v>
      </c>
      <c r="J258" s="73">
        <f t="shared" si="61"/>
        <v>2038</v>
      </c>
      <c r="K258" s="78">
        <f t="shared" si="62"/>
        <v>50557</v>
      </c>
      <c r="M258" s="41">
        <v>1.9981989666423283E-2</v>
      </c>
      <c r="O258" s="193"/>
      <c r="P258" s="193"/>
      <c r="T258" s="193"/>
    </row>
    <row r="259" spans="2:20" outlineLevel="1">
      <c r="B259" s="213">
        <f t="shared" si="47"/>
        <v>50587</v>
      </c>
      <c r="C259" s="195">
        <f t="shared" si="58"/>
        <v>4766559.4627755517</v>
      </c>
      <c r="D259" s="196">
        <f>IF(ISNUMBER($F259)*SUM(F259:F270)&lt;&gt;0,VLOOKUP($J259,'Table 1'!$B$13:$C$33,2,FALSE)/12*1000*Study_MW,0)</f>
        <v>0</v>
      </c>
      <c r="E259" s="196">
        <f t="shared" si="59"/>
        <v>4766559.4627755517</v>
      </c>
      <c r="F259" s="195">
        <v>63240</v>
      </c>
      <c r="G259" s="197">
        <f t="shared" si="60"/>
        <v>75.372540524597596</v>
      </c>
      <c r="I259" s="77">
        <f t="shared" si="57"/>
        <v>7</v>
      </c>
      <c r="J259" s="73">
        <f t="shared" si="61"/>
        <v>2038</v>
      </c>
      <c r="K259" s="78">
        <f t="shared" si="62"/>
        <v>50587</v>
      </c>
      <c r="M259" s="41">
        <v>1.9981989666423283E-2</v>
      </c>
      <c r="O259" s="193"/>
      <c r="P259" s="193"/>
    </row>
    <row r="260" spans="2:20" outlineLevel="1">
      <c r="B260" s="213">
        <f t="shared" si="47"/>
        <v>50618</v>
      </c>
      <c r="C260" s="195">
        <f t="shared" si="58"/>
        <v>4571657.5920110634</v>
      </c>
      <c r="D260" s="196">
        <f>IF(ISNUMBER($F260)*SUM(F260:F271)&lt;&gt;0,VLOOKUP($J260,'Table 1'!$B$13:$C$33,2,FALSE)/12*1000*Study_MW,0)</f>
        <v>0</v>
      </c>
      <c r="E260" s="196">
        <f t="shared" si="59"/>
        <v>4571657.5920110634</v>
      </c>
      <c r="F260" s="195">
        <v>63240</v>
      </c>
      <c r="G260" s="197">
        <f t="shared" si="60"/>
        <v>72.290600759188223</v>
      </c>
      <c r="I260" s="77">
        <f t="shared" si="57"/>
        <v>8</v>
      </c>
      <c r="J260" s="73">
        <f t="shared" si="61"/>
        <v>2038</v>
      </c>
      <c r="K260" s="78">
        <f t="shared" si="62"/>
        <v>50618</v>
      </c>
      <c r="M260" s="41">
        <v>1.9981989666423283E-2</v>
      </c>
      <c r="O260" s="193"/>
      <c r="P260" s="193"/>
    </row>
    <row r="261" spans="2:20" outlineLevel="1">
      <c r="B261" s="213">
        <f t="shared" si="47"/>
        <v>50649</v>
      </c>
      <c r="C261" s="195">
        <f t="shared" si="58"/>
        <v>3878748.3971859212</v>
      </c>
      <c r="D261" s="196">
        <f>IF(ISNUMBER($F261)*SUM(F261:F272)&lt;&gt;0,VLOOKUP($J261,'Table 1'!$B$13:$C$33,2,FALSE)/12*1000*Study_MW,0)</f>
        <v>0</v>
      </c>
      <c r="E261" s="196">
        <f t="shared" si="59"/>
        <v>3878748.3971859212</v>
      </c>
      <c r="F261" s="195">
        <v>61200</v>
      </c>
      <c r="G261" s="197">
        <f t="shared" si="60"/>
        <v>63.378241784083677</v>
      </c>
      <c r="I261" s="77">
        <f t="shared" si="57"/>
        <v>9</v>
      </c>
      <c r="J261" s="73">
        <f t="shared" si="61"/>
        <v>2038</v>
      </c>
      <c r="K261" s="78">
        <f t="shared" si="62"/>
        <v>50649</v>
      </c>
      <c r="M261" s="41">
        <v>1.9981989666423283E-2</v>
      </c>
      <c r="O261" s="193"/>
      <c r="P261" s="193"/>
    </row>
    <row r="262" spans="2:20" outlineLevel="1">
      <c r="B262" s="213">
        <f t="shared" si="47"/>
        <v>50679</v>
      </c>
      <c r="C262" s="195">
        <f t="shared" si="58"/>
        <v>3355410.4563699611</v>
      </c>
      <c r="D262" s="196">
        <f>IF(ISNUMBER($F262)*SUM(F262:F273)&lt;&gt;0,VLOOKUP($J262,'Table 1'!$B$13:$C$33,2,FALSE)/12*1000*Study_MW,0)</f>
        <v>0</v>
      </c>
      <c r="E262" s="196">
        <f t="shared" si="59"/>
        <v>3355410.4563699611</v>
      </c>
      <c r="F262" s="195">
        <v>63240</v>
      </c>
      <c r="G262" s="197">
        <f t="shared" si="60"/>
        <v>53.058356362586359</v>
      </c>
      <c r="I262" s="77">
        <f t="shared" si="57"/>
        <v>10</v>
      </c>
      <c r="J262" s="73">
        <f t="shared" si="61"/>
        <v>2038</v>
      </c>
      <c r="K262" s="78">
        <f t="shared" si="62"/>
        <v>50679</v>
      </c>
      <c r="M262" s="41">
        <v>1.9981989666423283E-2</v>
      </c>
    </row>
    <row r="263" spans="2:20" outlineLevel="1">
      <c r="B263" s="213">
        <f t="shared" si="47"/>
        <v>50710</v>
      </c>
      <c r="C263" s="195">
        <f t="shared" si="58"/>
        <v>2977185.6827377509</v>
      </c>
      <c r="D263" s="196">
        <f>IF(ISNUMBER($F263)*SUM(F263:F274)&lt;&gt;0,VLOOKUP($J263,'Table 1'!$B$13:$C$33,2,FALSE)/12*1000*Study_MW,0)</f>
        <v>0</v>
      </c>
      <c r="E263" s="196">
        <f t="shared" si="59"/>
        <v>2977185.6827377509</v>
      </c>
      <c r="F263" s="195">
        <v>61200</v>
      </c>
      <c r="G263" s="197">
        <f t="shared" si="60"/>
        <v>48.646824881335803</v>
      </c>
      <c r="I263" s="77">
        <f t="shared" si="57"/>
        <v>11</v>
      </c>
      <c r="J263" s="73">
        <f t="shared" si="61"/>
        <v>2038</v>
      </c>
      <c r="K263" s="78">
        <f t="shared" si="62"/>
        <v>50710</v>
      </c>
      <c r="M263" s="41">
        <v>1.9981989666423283E-2</v>
      </c>
    </row>
    <row r="264" spans="2:20" outlineLevel="1">
      <c r="B264" s="214">
        <f t="shared" si="47"/>
        <v>50740</v>
      </c>
      <c r="C264" s="198">
        <f t="shared" si="58"/>
        <v>3365894.7198861083</v>
      </c>
      <c r="D264" s="199">
        <f>IF(ISNUMBER($F264)*SUM(F264:F275)&lt;&gt;0,VLOOKUP($J264,'Table 1'!$B$13:$C$33,2,FALSE)/12*1000*Study_MW,0)</f>
        <v>0</v>
      </c>
      <c r="E264" s="199">
        <f t="shared" si="59"/>
        <v>3365894.7198861083</v>
      </c>
      <c r="F264" s="198">
        <v>63240</v>
      </c>
      <c r="G264" s="200">
        <f t="shared" si="60"/>
        <v>53.2241416806785</v>
      </c>
      <c r="I264" s="64">
        <f t="shared" si="57"/>
        <v>12</v>
      </c>
      <c r="J264" s="73">
        <f t="shared" si="61"/>
        <v>2038</v>
      </c>
      <c r="K264" s="82">
        <f t="shared" si="62"/>
        <v>50740</v>
      </c>
      <c r="M264" s="41">
        <v>1.9981989666423283E-2</v>
      </c>
    </row>
    <row r="265" spans="2:20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7" fitToHeight="0"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view="pageBreakPreview" zoomScale="60" zoomScaleNormal="100"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103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112</v>
      </c>
      <c r="D5" s="126" t="s">
        <v>104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105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47.33</v>
      </c>
      <c r="D10" s="141">
        <v>2</v>
      </c>
      <c r="E10" s="135">
        <f t="shared" ref="E10:E32" si="0">SUM(C10:C10)*D10/12</f>
        <v>7.8883333333333328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49.82</v>
      </c>
      <c r="D12" s="141">
        <v>12</v>
      </c>
      <c r="E12" s="135">
        <f t="shared" si="0"/>
        <v>49.82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51.01</v>
      </c>
      <c r="D13" s="141">
        <v>12</v>
      </c>
      <c r="E13" s="135">
        <f t="shared" si="0"/>
        <v>51.01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52.2</v>
      </c>
      <c r="D14" s="141">
        <v>12</v>
      </c>
      <c r="E14" s="135">
        <f t="shared" si="0"/>
        <v>52.20000000000001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53.41</v>
      </c>
      <c r="D15" s="141">
        <v>12</v>
      </c>
      <c r="E15" s="135">
        <f t="shared" si="0"/>
        <v>53.41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54.63</v>
      </c>
      <c r="D16" s="141">
        <v>12</v>
      </c>
      <c r="E16" s="135">
        <f t="shared" si="0"/>
        <v>54.63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55.83</v>
      </c>
      <c r="D17" s="141">
        <v>12</v>
      </c>
      <c r="E17" s="135">
        <f t="shared" si="0"/>
        <v>55.830000000000005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57.04</v>
      </c>
      <c r="D18" s="141">
        <v>12</v>
      </c>
      <c r="E18" s="135">
        <f t="shared" si="0"/>
        <v>57.04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58.29</v>
      </c>
      <c r="D19" s="141">
        <v>12</v>
      </c>
      <c r="E19" s="135">
        <f t="shared" si="0"/>
        <v>58.29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59.56</v>
      </c>
      <c r="D20" s="141">
        <v>12</v>
      </c>
      <c r="E20" s="135">
        <f t="shared" si="0"/>
        <v>59.56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60.83</v>
      </c>
      <c r="D21" s="141">
        <v>12</v>
      </c>
      <c r="E21" s="135">
        <f t="shared" si="0"/>
        <v>60.830000000000005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62.1</v>
      </c>
      <c r="D22" s="141">
        <v>12</v>
      </c>
      <c r="E22" s="135">
        <f t="shared" si="0"/>
        <v>62.1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63.39</v>
      </c>
      <c r="D23" s="141">
        <v>12</v>
      </c>
      <c r="E23" s="135">
        <f t="shared" si="0"/>
        <v>63.390000000000008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64.7</v>
      </c>
      <c r="D24" s="141">
        <v>12</v>
      </c>
      <c r="E24" s="135">
        <f t="shared" si="0"/>
        <v>64.7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66.03</v>
      </c>
      <c r="D25" s="141">
        <v>12</v>
      </c>
      <c r="E25" s="135">
        <f t="shared" si="0"/>
        <v>66.03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67.37</v>
      </c>
      <c r="D26" s="141">
        <v>12</v>
      </c>
      <c r="E26" s="135">
        <f t="shared" si="0"/>
        <v>67.37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68.73</v>
      </c>
      <c r="D27" s="141">
        <v>12</v>
      </c>
      <c r="E27" s="135">
        <f t="shared" si="0"/>
        <v>68.73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70.099999999999994</v>
      </c>
      <c r="D28" s="141">
        <v>12</v>
      </c>
      <c r="E28" s="135">
        <f t="shared" si="0"/>
        <v>70.099999999999994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71.510000000000005</v>
      </c>
      <c r="D29" s="141">
        <v>12</v>
      </c>
      <c r="E29" s="135">
        <f t="shared" si="0"/>
        <v>71.510000000000005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72.95</v>
      </c>
      <c r="D30" s="141">
        <v>12</v>
      </c>
      <c r="E30" s="135">
        <f t="shared" si="0"/>
        <v>72.95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74.44</v>
      </c>
      <c r="D31" s="141">
        <v>12</v>
      </c>
      <c r="E31" s="135">
        <f t="shared" si="0"/>
        <v>74.44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75.98</v>
      </c>
      <c r="D32" s="141">
        <v>12</v>
      </c>
      <c r="E32" s="135">
        <f t="shared" si="0"/>
        <v>75.98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106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284" t="s">
        <v>113</v>
      </c>
      <c r="C36" s="285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March 30,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1.7997379262064683E-2</v>
      </c>
      <c r="E41" s="86"/>
      <c r="F41" s="88">
        <f>C49+1</f>
        <v>2026</v>
      </c>
      <c r="G41" s="41">
        <v>2.275275626401263E-2</v>
      </c>
      <c r="H41" s="86"/>
      <c r="I41" s="88">
        <f>F49+1</f>
        <v>2035</v>
      </c>
      <c r="J41" s="88"/>
      <c r="K41" s="41">
        <v>2.0547727211939426E-2</v>
      </c>
    </row>
    <row r="42" spans="2:14">
      <c r="C42" s="88">
        <f t="shared" ref="C42:C49" si="4">C41+1</f>
        <v>2018</v>
      </c>
      <c r="D42" s="41">
        <v>2.00162222805087E-2</v>
      </c>
      <c r="E42" s="86"/>
      <c r="F42" s="88">
        <f t="shared" ref="F42:F49" si="5">F41+1</f>
        <v>2027</v>
      </c>
      <c r="G42" s="41">
        <v>2.2017580891201094E-2</v>
      </c>
      <c r="H42" s="86"/>
      <c r="I42" s="88">
        <f t="shared" ref="I42:I49" si="6">I41+1</f>
        <v>2036</v>
      </c>
      <c r="J42" s="88"/>
      <c r="K42" s="41">
        <v>2.0338413275796441E-2</v>
      </c>
    </row>
    <row r="43" spans="2:14">
      <c r="C43" s="88">
        <f t="shared" si="4"/>
        <v>2019</v>
      </c>
      <c r="D43" s="41">
        <v>2.3023767536204609E-2</v>
      </c>
      <c r="E43" s="86"/>
      <c r="F43" s="88">
        <f t="shared" si="5"/>
        <v>2028</v>
      </c>
      <c r="G43" s="41">
        <v>2.1672038954803963E-2</v>
      </c>
      <c r="H43" s="86"/>
      <c r="I43" s="88">
        <f t="shared" si="6"/>
        <v>2037</v>
      </c>
      <c r="J43" s="88"/>
      <c r="K43" s="41">
        <v>2.0148107799243142E-2</v>
      </c>
    </row>
    <row r="44" spans="2:14">
      <c r="C44" s="88">
        <f t="shared" si="4"/>
        <v>2020</v>
      </c>
      <c r="D44" s="41">
        <v>2.6569957493475238E-2</v>
      </c>
      <c r="E44" s="86"/>
      <c r="F44" s="88">
        <f t="shared" si="5"/>
        <v>2029</v>
      </c>
      <c r="G44" s="41">
        <v>2.1882861611237647E-2</v>
      </c>
      <c r="H44" s="86"/>
      <c r="I44" s="88">
        <f t="shared" si="6"/>
        <v>2038</v>
      </c>
      <c r="J44" s="88"/>
      <c r="K44" s="41">
        <v>1.9981989666423283E-2</v>
      </c>
    </row>
    <row r="45" spans="2:14">
      <c r="C45" s="88">
        <f t="shared" si="4"/>
        <v>2021</v>
      </c>
      <c r="D45" s="41">
        <v>2.633678201148415E-2</v>
      </c>
      <c r="E45" s="86"/>
      <c r="F45" s="88">
        <f t="shared" si="5"/>
        <v>2030</v>
      </c>
      <c r="G45" s="41">
        <v>2.1716430930730724E-2</v>
      </c>
      <c r="H45" s="86"/>
      <c r="I45" s="88">
        <f t="shared" si="6"/>
        <v>2039</v>
      </c>
      <c r="J45" s="88"/>
      <c r="K45" s="41">
        <v>2.0091958569135482E-2</v>
      </c>
    </row>
    <row r="46" spans="2:14">
      <c r="C46" s="88">
        <f t="shared" si="4"/>
        <v>2022</v>
      </c>
      <c r="D46" s="41">
        <v>2.5190838317338926E-2</v>
      </c>
      <c r="E46" s="86"/>
      <c r="F46" s="88">
        <f t="shared" si="5"/>
        <v>2031</v>
      </c>
      <c r="G46" s="41">
        <v>2.1283257880358342E-2</v>
      </c>
      <c r="H46" s="86"/>
      <c r="I46" s="88">
        <f t="shared" si="6"/>
        <v>2040</v>
      </c>
      <c r="J46" s="88"/>
      <c r="K46" s="41">
        <v>2.016857640433245E-2</v>
      </c>
    </row>
    <row r="47" spans="2:14" s="124" customFormat="1">
      <c r="C47" s="88">
        <f t="shared" si="4"/>
        <v>2023</v>
      </c>
      <c r="D47" s="41">
        <v>2.3861027991437966E-2</v>
      </c>
      <c r="E47" s="87"/>
      <c r="F47" s="88">
        <f t="shared" si="5"/>
        <v>2032</v>
      </c>
      <c r="G47" s="41">
        <v>2.092650190640466E-2</v>
      </c>
      <c r="H47" s="87"/>
      <c r="I47" s="88">
        <f t="shared" si="6"/>
        <v>2041</v>
      </c>
      <c r="J47" s="88"/>
      <c r="K47" s="41">
        <v>2.0388834681983159E-2</v>
      </c>
      <c r="N47" s="176"/>
    </row>
    <row r="48" spans="2:14" s="124" customFormat="1">
      <c r="C48" s="88">
        <f t="shared" si="4"/>
        <v>2024</v>
      </c>
      <c r="D48" s="41">
        <v>2.3386119938164196E-2</v>
      </c>
      <c r="E48" s="87"/>
      <c r="F48" s="88">
        <f t="shared" si="5"/>
        <v>2033</v>
      </c>
      <c r="G48" s="41">
        <v>2.0801762320284523E-2</v>
      </c>
      <c r="H48" s="87"/>
      <c r="I48" s="88">
        <f t="shared" si="6"/>
        <v>2042</v>
      </c>
      <c r="J48" s="88"/>
      <c r="K48" s="41">
        <v>2.0623380610534037E-2</v>
      </c>
      <c r="N48" s="176"/>
    </row>
    <row r="49" spans="3:14" s="124" customFormat="1">
      <c r="C49" s="88">
        <f t="shared" si="4"/>
        <v>2025</v>
      </c>
      <c r="D49" s="41">
        <v>2.3124371179134462E-2</v>
      </c>
      <c r="E49" s="87"/>
      <c r="F49" s="88">
        <f t="shared" si="5"/>
        <v>2034</v>
      </c>
      <c r="G49" s="41">
        <v>2.065772177898717E-2</v>
      </c>
      <c r="H49" s="87"/>
      <c r="I49" s="88">
        <f t="shared" si="6"/>
        <v>2043</v>
      </c>
      <c r="J49" s="88"/>
      <c r="K49" s="41">
        <v>2.0893774761898909E-2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zoomScale="70" zoomScaleNormal="70" workbookViewId="0">
      <selection activeCell="M13" sqref="M13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7" t="s">
        <v>125</v>
      </c>
      <c r="I5" s="126" t="s">
        <v>72</v>
      </c>
      <c r="J5" s="126" t="s">
        <v>90</v>
      </c>
      <c r="K5" s="17" t="s">
        <v>55</v>
      </c>
      <c r="L5" s="126" t="s">
        <v>73</v>
      </c>
      <c r="N5" s="247" t="s">
        <v>167</v>
      </c>
      <c r="O5" s="247" t="s">
        <v>168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26.82</v>
      </c>
      <c r="F12" s="135">
        <f t="shared" si="1"/>
        <v>7.8917446825286506</v>
      </c>
      <c r="G12" s="133">
        <f t="shared" si="3"/>
        <v>1.21</v>
      </c>
      <c r="H12" s="133">
        <f t="shared" ref="H12" si="4">ROUND(H11*(1+$D67),2)</f>
        <v>1.83</v>
      </c>
      <c r="I12" s="133"/>
      <c r="J12" s="135">
        <f t="shared" ref="J12:J36" si="5">(F12+G12+H12)*N12/12+I12*O12/12</f>
        <v>10.931744682528651</v>
      </c>
      <c r="K12" s="135">
        <f t="shared" si="2"/>
        <v>37.15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27.44</v>
      </c>
      <c r="F13" s="135">
        <f t="shared" si="1"/>
        <v>8.0741787505065687</v>
      </c>
      <c r="G13" s="133">
        <f t="shared" si="3"/>
        <v>1.24</v>
      </c>
      <c r="H13" s="133">
        <f t="shared" ref="H13" si="7">ROUND(H12*(1+$D68),2)</f>
        <v>1.87</v>
      </c>
      <c r="I13" s="133"/>
      <c r="J13" s="135">
        <f t="shared" si="5"/>
        <v>11.184178750506568</v>
      </c>
      <c r="K13" s="135">
        <f t="shared" si="2"/>
        <v>38.01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28.17</v>
      </c>
      <c r="F14" s="135">
        <f t="shared" si="1"/>
        <v>28.403174704450088</v>
      </c>
      <c r="G14" s="133">
        <f t="shared" si="3"/>
        <v>1.27</v>
      </c>
      <c r="H14" s="133">
        <f t="shared" ref="H14" si="8">ROUND(H13*(1+$D69),2)</f>
        <v>1.92</v>
      </c>
      <c r="I14" s="133">
        <v>-33.15</v>
      </c>
      <c r="J14" s="135">
        <f t="shared" si="5"/>
        <v>-0.25947088259165163</v>
      </c>
      <c r="K14" s="135">
        <f t="shared" si="2"/>
        <v>-0.88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70.16</v>
      </c>
      <c r="E15" s="133">
        <f t="shared" si="3"/>
        <v>28.91</v>
      </c>
      <c r="F15" s="135">
        <f t="shared" si="1"/>
        <v>29.151198571890877</v>
      </c>
      <c r="G15" s="133">
        <f t="shared" si="3"/>
        <v>1.3</v>
      </c>
      <c r="H15" s="133">
        <f t="shared" ref="H15" si="9">ROUND(H14*(1+$D70),2)</f>
        <v>1.97</v>
      </c>
      <c r="I15" s="133">
        <v>-34.479999999999997</v>
      </c>
      <c r="J15" s="135">
        <f t="shared" si="5"/>
        <v>-2.0588014281091205</v>
      </c>
      <c r="K15" s="135">
        <f t="shared" si="2"/>
        <v>-7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71.930000000000007</v>
      </c>
      <c r="E16" s="133">
        <f t="shared" si="3"/>
        <v>29.64</v>
      </c>
      <c r="F16" s="135">
        <f t="shared" si="1"/>
        <v>29.886819813737326</v>
      </c>
      <c r="G16" s="133">
        <f t="shared" si="3"/>
        <v>1.33</v>
      </c>
      <c r="H16" s="133">
        <f t="shared" ref="H16" si="10">ROUND(H15*(1+$D71),2)</f>
        <v>2.02</v>
      </c>
      <c r="I16" s="133">
        <v>-34.479999999999997</v>
      </c>
      <c r="J16" s="135">
        <f t="shared" si="5"/>
        <v>-1.2431801862626699</v>
      </c>
      <c r="K16" s="135">
        <f t="shared" si="2"/>
        <v>-4.22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73.650000000000006</v>
      </c>
      <c r="E17" s="133">
        <f t="shared" si="3"/>
        <v>30.35</v>
      </c>
      <c r="F17" s="135">
        <f t="shared" si="1"/>
        <v>30.601843660812065</v>
      </c>
      <c r="G17" s="133">
        <f t="shared" si="3"/>
        <v>1.36</v>
      </c>
      <c r="H17" s="133">
        <f t="shared" ref="H17" si="11">ROUND(H16*(1+$D72),2)</f>
        <v>2.0699999999999998</v>
      </c>
      <c r="I17" s="133">
        <v>-35.799999999999997</v>
      </c>
      <c r="J17" s="135">
        <f t="shared" si="5"/>
        <v>-1.7681563391879322</v>
      </c>
      <c r="K17" s="135">
        <f t="shared" si="2"/>
        <v>-6.01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75.37</v>
      </c>
      <c r="E18" s="133">
        <f t="shared" si="3"/>
        <v>31.06</v>
      </c>
      <c r="F18" s="135">
        <f t="shared" si="1"/>
        <v>31.316867507886812</v>
      </c>
      <c r="G18" s="133">
        <f t="shared" si="3"/>
        <v>1.39</v>
      </c>
      <c r="H18" s="133">
        <f t="shared" ref="H18" si="12">ROUND(H17*(1+$D73),2)</f>
        <v>2.12</v>
      </c>
      <c r="I18" s="133">
        <v>-35.799999999999997</v>
      </c>
      <c r="J18" s="135">
        <f t="shared" si="5"/>
        <v>-0.9731324921131872</v>
      </c>
      <c r="K18" s="135">
        <f t="shared" si="2"/>
        <v>-3.31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77.11</v>
      </c>
      <c r="E19" s="133">
        <f t="shared" si="3"/>
        <v>31.78</v>
      </c>
      <c r="F19" s="135">
        <f t="shared" si="1"/>
        <v>32.040718809863712</v>
      </c>
      <c r="G19" s="133">
        <f t="shared" si="3"/>
        <v>1.42</v>
      </c>
      <c r="H19" s="133">
        <f t="shared" ref="H19" si="13">ROUND(H18*(1+$D74),2)</f>
        <v>2.17</v>
      </c>
      <c r="I19" s="133">
        <v>-37.130000000000003</v>
      </c>
      <c r="J19" s="135">
        <f t="shared" si="5"/>
        <v>-1.499281190136287</v>
      </c>
      <c r="K19" s="135">
        <f t="shared" si="2"/>
        <v>-5.0999999999999996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78.86</v>
      </c>
      <c r="E20" s="133">
        <f>ROUND(E19*(1+$G66),2)</f>
        <v>32.5</v>
      </c>
      <c r="F20" s="135">
        <f t="shared" si="1"/>
        <v>32.767512596807997</v>
      </c>
      <c r="G20" s="133">
        <f>ROUND(G19*(1+$G66),2)</f>
        <v>1.45</v>
      </c>
      <c r="H20" s="133">
        <f>ROUND(H19*(1+$G66),2)</f>
        <v>2.2200000000000002</v>
      </c>
      <c r="I20" s="133">
        <v>-37.130000000000003</v>
      </c>
      <c r="J20" s="135">
        <f t="shared" si="5"/>
        <v>-0.69248740319200408</v>
      </c>
      <c r="K20" s="135">
        <f t="shared" si="2"/>
        <v>-2.35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80.599999999999994</v>
      </c>
      <c r="E21" s="133">
        <f t="shared" si="14"/>
        <v>33.22</v>
      </c>
      <c r="F21" s="135">
        <f t="shared" si="1"/>
        <v>33.491363898784897</v>
      </c>
      <c r="G21" s="133">
        <f t="shared" si="14"/>
        <v>1.48</v>
      </c>
      <c r="H21" s="133">
        <f t="shared" ref="H21" si="15">ROUND(H20*(1+$G67),2)</f>
        <v>2.27</v>
      </c>
      <c r="I21" s="133">
        <v>-38.450000000000003</v>
      </c>
      <c r="J21" s="135">
        <f t="shared" si="5"/>
        <v>-1.2086361012151059</v>
      </c>
      <c r="K21" s="135">
        <f t="shared" si="2"/>
        <v>-4.1100000000000003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82.35</v>
      </c>
      <c r="E22" s="133">
        <f t="shared" si="14"/>
        <v>33.94</v>
      </c>
      <c r="F22" s="135">
        <f t="shared" si="1"/>
        <v>34.218157685729182</v>
      </c>
      <c r="G22" s="133">
        <f t="shared" si="14"/>
        <v>1.51</v>
      </c>
      <c r="H22" s="133">
        <f t="shared" ref="H22" si="17">ROUND(H21*(1+$G68),2)</f>
        <v>2.3199999999999998</v>
      </c>
      <c r="I22" s="133">
        <v>-38.450000000000003</v>
      </c>
      <c r="J22" s="135">
        <f t="shared" si="5"/>
        <v>-0.40184231427082295</v>
      </c>
      <c r="K22" s="135">
        <f t="shared" si="2"/>
        <v>-1.37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84.15</v>
      </c>
      <c r="E23" s="133">
        <f t="shared" si="14"/>
        <v>34.68</v>
      </c>
      <c r="F23" s="135">
        <f t="shared" si="1"/>
        <v>34.965548867445179</v>
      </c>
      <c r="G23" s="133">
        <f t="shared" si="14"/>
        <v>1.54</v>
      </c>
      <c r="H23" s="133">
        <f t="shared" ref="H23" si="18">ROUND(H22*(1+$G69),2)</f>
        <v>2.37</v>
      </c>
      <c r="I23" s="133">
        <v>-39.78</v>
      </c>
      <c r="J23" s="135">
        <f t="shared" si="5"/>
        <v>-0.90445113255482568</v>
      </c>
      <c r="K23" s="135">
        <f t="shared" si="2"/>
        <v>-3.07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85.98</v>
      </c>
      <c r="E24" s="133">
        <f t="shared" si="14"/>
        <v>35.43</v>
      </c>
      <c r="F24" s="135">
        <f t="shared" si="1"/>
        <v>35.7247099890307</v>
      </c>
      <c r="G24" s="133">
        <f t="shared" si="14"/>
        <v>1.57</v>
      </c>
      <c r="H24" s="133">
        <f t="shared" ref="H24" si="19">ROUND(H23*(1+$G70),2)</f>
        <v>2.42</v>
      </c>
      <c r="I24" s="133">
        <v>-41.11</v>
      </c>
      <c r="J24" s="135">
        <f t="shared" si="5"/>
        <v>5.456376655697369</v>
      </c>
      <c r="K24" s="135">
        <f t="shared" si="2"/>
        <v>18.54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87.81</v>
      </c>
      <c r="E25" s="133">
        <f t="shared" si="14"/>
        <v>36.18</v>
      </c>
      <c r="F25" s="135">
        <f t="shared" si="1"/>
        <v>36.483871110616235</v>
      </c>
      <c r="G25" s="133">
        <f t="shared" si="14"/>
        <v>1.6</v>
      </c>
      <c r="H25" s="133">
        <f t="shared" ref="H25" si="20">ROUND(H24*(1+$G71),2)</f>
        <v>2.4700000000000002</v>
      </c>
      <c r="I25" s="133"/>
      <c r="J25" s="135">
        <f t="shared" si="5"/>
        <v>40.553871110616235</v>
      </c>
      <c r="K25" s="135">
        <f t="shared" si="2"/>
        <v>137.82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89.65</v>
      </c>
      <c r="E26" s="133">
        <f t="shared" si="14"/>
        <v>36.94</v>
      </c>
      <c r="F26" s="135">
        <f t="shared" si="1"/>
        <v>37.248917202136532</v>
      </c>
      <c r="G26" s="133">
        <f t="shared" si="14"/>
        <v>1.63</v>
      </c>
      <c r="H26" s="133">
        <f t="shared" ref="H26" si="21">ROUND(H25*(1+$G72),2)</f>
        <v>2.52</v>
      </c>
      <c r="I26" s="133"/>
      <c r="J26" s="135">
        <f t="shared" si="5"/>
        <v>41.398917202136538</v>
      </c>
      <c r="K26" s="135">
        <f t="shared" si="2"/>
        <v>140.69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91.51</v>
      </c>
      <c r="E27" s="133">
        <f t="shared" si="14"/>
        <v>37.71</v>
      </c>
      <c r="F27" s="135">
        <f t="shared" si="1"/>
        <v>38.02279074855899</v>
      </c>
      <c r="G27" s="133">
        <f t="shared" si="14"/>
        <v>1.66</v>
      </c>
      <c r="H27" s="133">
        <f t="shared" ref="H27" si="22">ROUND(H26*(1+$G73),2)</f>
        <v>2.57</v>
      </c>
      <c r="I27" s="133"/>
      <c r="J27" s="135">
        <f t="shared" si="5"/>
        <v>42.252790748558986</v>
      </c>
      <c r="K27" s="135">
        <f t="shared" si="2"/>
        <v>143.6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93.4</v>
      </c>
      <c r="E28" s="133">
        <f t="shared" si="14"/>
        <v>38.49</v>
      </c>
      <c r="F28" s="135">
        <f t="shared" si="1"/>
        <v>38.808434234850999</v>
      </c>
      <c r="G28" s="133">
        <f t="shared" si="14"/>
        <v>1.69</v>
      </c>
      <c r="H28" s="133">
        <f t="shared" ref="H28" si="23">ROUND(H27*(1+$G74),2)</f>
        <v>2.62</v>
      </c>
      <c r="I28" s="133"/>
      <c r="J28" s="135">
        <f t="shared" si="5"/>
        <v>43.118434234850987</v>
      </c>
      <c r="K28" s="135">
        <f t="shared" si="2"/>
        <v>146.54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95.32</v>
      </c>
      <c r="E29" s="133">
        <f>ROUND(E28*(1+$L66),2)</f>
        <v>39.28</v>
      </c>
      <c r="F29" s="135">
        <f t="shared" si="1"/>
        <v>39.60584766101254</v>
      </c>
      <c r="G29" s="133">
        <f>ROUND(G28*(1+$L66),2)</f>
        <v>1.72</v>
      </c>
      <c r="H29" s="133">
        <f>ROUND(H28*(1+$L66),2)</f>
        <v>2.67</v>
      </c>
      <c r="I29" s="133"/>
      <c r="J29" s="135">
        <f t="shared" si="5"/>
        <v>43.99584766101254</v>
      </c>
      <c r="K29" s="135">
        <f t="shared" si="2"/>
        <v>149.52000000000001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97.26</v>
      </c>
      <c r="E30" s="133">
        <f t="shared" si="24"/>
        <v>40.08</v>
      </c>
      <c r="F30" s="135">
        <f t="shared" si="1"/>
        <v>40.412088542076241</v>
      </c>
      <c r="G30" s="133">
        <f t="shared" si="24"/>
        <v>1.75</v>
      </c>
      <c r="H30" s="133">
        <f t="shared" ref="H30" si="25">ROUND(H29*(1+$L67),2)</f>
        <v>2.72</v>
      </c>
      <c r="I30" s="133"/>
      <c r="J30" s="135">
        <f t="shared" si="5"/>
        <v>44.882088542076239</v>
      </c>
      <c r="K30" s="135">
        <f t="shared" si="2"/>
        <v>152.53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99.22</v>
      </c>
      <c r="E31" s="133">
        <f t="shared" si="24"/>
        <v>40.89</v>
      </c>
      <c r="F31" s="135">
        <f t="shared" si="1"/>
        <v>41.227156878042109</v>
      </c>
      <c r="G31" s="133">
        <f t="shared" si="24"/>
        <v>1.79</v>
      </c>
      <c r="H31" s="133">
        <f t="shared" ref="H31" si="27">ROUND(H30*(1+$L68),2)</f>
        <v>2.77</v>
      </c>
      <c r="I31" s="133"/>
      <c r="J31" s="135">
        <f t="shared" si="5"/>
        <v>45.787156878042111</v>
      </c>
      <c r="K31" s="135">
        <f t="shared" si="2"/>
        <v>155.61000000000001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101.2</v>
      </c>
      <c r="E32" s="133">
        <f t="shared" si="24"/>
        <v>41.71</v>
      </c>
      <c r="F32" s="135">
        <f t="shared" si="1"/>
        <v>42.051052668910117</v>
      </c>
      <c r="G32" s="133">
        <f t="shared" si="24"/>
        <v>1.83</v>
      </c>
      <c r="H32" s="133">
        <f t="shared" ref="H32" si="28">ROUND(H31*(1+$L69),2)</f>
        <v>2.83</v>
      </c>
      <c r="I32" s="133"/>
      <c r="J32" s="135">
        <f t="shared" si="5"/>
        <v>46.711052668910121</v>
      </c>
      <c r="K32" s="135">
        <f t="shared" si="2"/>
        <v>158.75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103.23</v>
      </c>
      <c r="E33" s="133">
        <f t="shared" si="24"/>
        <v>42.55</v>
      </c>
      <c r="F33" s="135">
        <f t="shared" si="1"/>
        <v>42.895545854549837</v>
      </c>
      <c r="G33" s="133">
        <f t="shared" si="24"/>
        <v>1.87</v>
      </c>
      <c r="H33" s="133">
        <f t="shared" ref="H33" si="29">ROUND(H32*(1+$L70),2)</f>
        <v>2.89</v>
      </c>
      <c r="I33" s="133"/>
      <c r="J33" s="135">
        <f t="shared" si="5"/>
        <v>47.655545854549835</v>
      </c>
      <c r="K33" s="135">
        <f t="shared" si="2"/>
        <v>161.96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105.31</v>
      </c>
      <c r="E34" s="133">
        <f t="shared" si="24"/>
        <v>43.41</v>
      </c>
      <c r="F34" s="135">
        <f t="shared" si="1"/>
        <v>43.760636434961256</v>
      </c>
      <c r="G34" s="133">
        <f t="shared" si="24"/>
        <v>1.91</v>
      </c>
      <c r="H34" s="133">
        <f t="shared" ref="H34" si="30">ROUND(H33*(1+$L71),2)</f>
        <v>2.95</v>
      </c>
      <c r="I34" s="133"/>
      <c r="J34" s="135">
        <f t="shared" si="5"/>
        <v>48.620636434961256</v>
      </c>
      <c r="K34" s="135">
        <f t="shared" si="2"/>
        <v>165.24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107.46</v>
      </c>
      <c r="E35" s="133">
        <f t="shared" si="24"/>
        <v>44.3</v>
      </c>
      <c r="F35" s="135">
        <f t="shared" si="1"/>
        <v>44.655151865046527</v>
      </c>
      <c r="G35" s="133">
        <f t="shared" si="24"/>
        <v>1.95</v>
      </c>
      <c r="H35" s="133">
        <f t="shared" ref="H35" si="31">ROUND(H34*(1+$L72),2)</f>
        <v>3.01</v>
      </c>
      <c r="I35" s="133"/>
      <c r="J35" s="135">
        <f t="shared" si="5"/>
        <v>49.615151865046528</v>
      </c>
      <c r="K35" s="135">
        <f t="shared" si="2"/>
        <v>168.62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109.68</v>
      </c>
      <c r="E36" s="133">
        <f t="shared" si="24"/>
        <v>45.21</v>
      </c>
      <c r="F36" s="135">
        <f t="shared" si="1"/>
        <v>45.576149659838286</v>
      </c>
      <c r="G36" s="133">
        <f t="shared" si="24"/>
        <v>1.99</v>
      </c>
      <c r="H36" s="133">
        <f t="shared" ref="H36" si="32">ROUND(H35*(1+$L73),2)</f>
        <v>3.07</v>
      </c>
      <c r="I36" s="133"/>
      <c r="J36" s="135">
        <f t="shared" si="5"/>
        <v>50.636149659838289</v>
      </c>
      <c r="K36" s="135">
        <f t="shared" si="2"/>
        <v>172.09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74</v>
      </c>
      <c r="C44" s="147" t="s">
        <v>75</v>
      </c>
      <c r="D44" s="148" t="s">
        <v>122</v>
      </c>
    </row>
    <row r="45" spans="2:15">
      <c r="C45" s="147" t="str">
        <f>C7</f>
        <v>(a)</v>
      </c>
      <c r="D45" s="122" t="s">
        <v>76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117</v>
      </c>
      <c r="C55" s="186">
        <v>1293.6882754756971</v>
      </c>
      <c r="D55" s="122" t="s">
        <v>76</v>
      </c>
      <c r="I55" s="122" t="s">
        <v>9</v>
      </c>
    </row>
    <row r="56" spans="2:24">
      <c r="B56" s="86" t="s">
        <v>116</v>
      </c>
      <c r="C56" s="155">
        <v>26.293898611068769</v>
      </c>
      <c r="D56" s="122" t="s">
        <v>79</v>
      </c>
      <c r="I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I57" s="122" t="s">
        <v>81</v>
      </c>
    </row>
    <row r="58" spans="2:24">
      <c r="B58" s="86" t="s">
        <v>116</v>
      </c>
      <c r="C58" s="155">
        <v>1.1816399331260157</v>
      </c>
      <c r="D58" s="122" t="s">
        <v>80</v>
      </c>
      <c r="I58" s="122" t="s">
        <v>81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>
        <v>-12.501261943267853</v>
      </c>
      <c r="D59" s="122" t="s">
        <v>82</v>
      </c>
      <c r="I59" s="122" t="s">
        <v>81</v>
      </c>
      <c r="J59" s="221" t="s">
        <v>120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116</v>
      </c>
      <c r="C60" s="160">
        <v>1.7950732843896238</v>
      </c>
      <c r="D60" s="122" t="s">
        <v>119</v>
      </c>
      <c r="I60" s="122" t="s">
        <v>81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41"/>
      <c r="I66" s="86"/>
      <c r="J66" s="88">
        <f>F74+1</f>
        <v>2035</v>
      </c>
      <c r="K66" s="88"/>
      <c r="L66" s="41">
        <v>2.0547727211939426E-2</v>
      </c>
    </row>
    <row r="67" spans="3:15">
      <c r="C67" s="88">
        <f t="shared" ref="C67:C74" si="33">C66+1</f>
        <v>2018</v>
      </c>
      <c r="D67" s="41">
        <v>2.00162222805087E-2</v>
      </c>
      <c r="E67" s="86"/>
      <c r="F67" s="88">
        <f t="shared" ref="F67:F74" si="34">F66+1</f>
        <v>2027</v>
      </c>
      <c r="G67" s="41">
        <v>2.2017580891201094E-2</v>
      </c>
      <c r="H67" s="41"/>
      <c r="I67" s="86"/>
      <c r="J67" s="88">
        <f t="shared" ref="J67:J74" si="35">J66+1</f>
        <v>2036</v>
      </c>
      <c r="K67" s="88"/>
      <c r="L67" s="41">
        <v>2.0338413275796441E-2</v>
      </c>
    </row>
    <row r="68" spans="3:15">
      <c r="C68" s="88">
        <f t="shared" si="33"/>
        <v>2019</v>
      </c>
      <c r="D68" s="41">
        <v>2.3023767536204609E-2</v>
      </c>
      <c r="E68" s="86"/>
      <c r="F68" s="88">
        <f t="shared" si="34"/>
        <v>2028</v>
      </c>
      <c r="G68" s="41">
        <v>2.1672038954803963E-2</v>
      </c>
      <c r="H68" s="41"/>
      <c r="I68" s="86"/>
      <c r="J68" s="88">
        <f t="shared" si="35"/>
        <v>2037</v>
      </c>
      <c r="K68" s="88"/>
      <c r="L68" s="41">
        <v>2.0148107799243142E-2</v>
      </c>
    </row>
    <row r="69" spans="3:15">
      <c r="C69" s="88">
        <f t="shared" si="33"/>
        <v>2020</v>
      </c>
      <c r="D69" s="41">
        <v>2.6569957493475238E-2</v>
      </c>
      <c r="E69" s="86"/>
      <c r="F69" s="88">
        <f t="shared" si="34"/>
        <v>2029</v>
      </c>
      <c r="G69" s="41">
        <v>2.1882861611237647E-2</v>
      </c>
      <c r="H69" s="41"/>
      <c r="I69" s="86"/>
      <c r="J69" s="88">
        <f t="shared" si="35"/>
        <v>2038</v>
      </c>
      <c r="K69" s="88"/>
      <c r="L69" s="41">
        <v>1.9981989666423283E-2</v>
      </c>
    </row>
    <row r="70" spans="3:15">
      <c r="C70" s="88">
        <f t="shared" si="33"/>
        <v>2021</v>
      </c>
      <c r="D70" s="41">
        <v>2.633678201148415E-2</v>
      </c>
      <c r="E70" s="86"/>
      <c r="F70" s="88">
        <f t="shared" si="34"/>
        <v>2030</v>
      </c>
      <c r="G70" s="41">
        <v>2.1716430930730724E-2</v>
      </c>
      <c r="H70" s="41"/>
      <c r="I70" s="86"/>
      <c r="J70" s="88">
        <f t="shared" si="35"/>
        <v>2039</v>
      </c>
      <c r="K70" s="88"/>
      <c r="L70" s="41">
        <v>2.0091958569135482E-2</v>
      </c>
    </row>
    <row r="71" spans="3:15">
      <c r="C71" s="88">
        <f t="shared" si="33"/>
        <v>2022</v>
      </c>
      <c r="D71" s="41">
        <v>2.5190838317338926E-2</v>
      </c>
      <c r="E71" s="86"/>
      <c r="F71" s="88">
        <f t="shared" si="34"/>
        <v>2031</v>
      </c>
      <c r="G71" s="41">
        <v>2.1283257880358342E-2</v>
      </c>
      <c r="H71" s="41"/>
      <c r="I71" s="86"/>
      <c r="J71" s="88">
        <f t="shared" si="35"/>
        <v>2040</v>
      </c>
      <c r="K71" s="88"/>
      <c r="L71" s="41">
        <v>2.016857640433245E-2</v>
      </c>
    </row>
    <row r="72" spans="3:15" s="124" customFormat="1">
      <c r="C72" s="88">
        <f t="shared" si="33"/>
        <v>2023</v>
      </c>
      <c r="D72" s="41">
        <v>2.3861027991437966E-2</v>
      </c>
      <c r="E72" s="87"/>
      <c r="F72" s="88">
        <f t="shared" si="34"/>
        <v>2032</v>
      </c>
      <c r="G72" s="41">
        <v>2.092650190640466E-2</v>
      </c>
      <c r="H72" s="41"/>
      <c r="I72" s="87"/>
      <c r="J72" s="88">
        <f t="shared" si="35"/>
        <v>2041</v>
      </c>
      <c r="K72" s="88"/>
      <c r="L72" s="41">
        <v>2.0388834681983159E-2</v>
      </c>
      <c r="O72" s="176"/>
    </row>
    <row r="73" spans="3:15" s="124" customFormat="1">
      <c r="C73" s="88">
        <f t="shared" si="33"/>
        <v>2024</v>
      </c>
      <c r="D73" s="41">
        <v>2.3386119938164196E-2</v>
      </c>
      <c r="E73" s="87"/>
      <c r="F73" s="88">
        <f t="shared" si="34"/>
        <v>2033</v>
      </c>
      <c r="G73" s="41">
        <v>2.0801762320284523E-2</v>
      </c>
      <c r="H73" s="41"/>
      <c r="I73" s="87"/>
      <c r="J73" s="88">
        <f t="shared" si="35"/>
        <v>2042</v>
      </c>
      <c r="K73" s="88"/>
      <c r="L73" s="41">
        <v>2.0623380610534037E-2</v>
      </c>
      <c r="O73" s="176"/>
    </row>
    <row r="74" spans="3:15" s="124" customFormat="1">
      <c r="C74" s="88">
        <f t="shared" si="33"/>
        <v>2025</v>
      </c>
      <c r="D74" s="41">
        <v>2.3124371179134462E-2</v>
      </c>
      <c r="E74" s="87"/>
      <c r="F74" s="88">
        <f t="shared" si="34"/>
        <v>2034</v>
      </c>
      <c r="G74" s="41">
        <v>2.065772177898717E-2</v>
      </c>
      <c r="H74" s="41"/>
      <c r="I74" s="87"/>
      <c r="J74" s="88">
        <f t="shared" si="35"/>
        <v>2043</v>
      </c>
      <c r="K74" s="88"/>
      <c r="L74" s="41">
        <v>2.0893774761898909E-2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zoomScale="70" zoomScaleNormal="70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7" t="s">
        <v>125</v>
      </c>
      <c r="I5" s="126" t="s">
        <v>72</v>
      </c>
      <c r="J5" s="126" t="s">
        <v>90</v>
      </c>
      <c r="K5" s="17" t="s">
        <v>55</v>
      </c>
      <c r="L5" s="126" t="s">
        <v>73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26.82</v>
      </c>
      <c r="F12" s="135">
        <f t="shared" si="1"/>
        <v>7.8917446825286506</v>
      </c>
      <c r="G12" s="133">
        <f t="shared" si="3"/>
        <v>1.21</v>
      </c>
      <c r="H12" s="133">
        <f t="shared" si="3"/>
        <v>1.83</v>
      </c>
      <c r="I12" s="133"/>
      <c r="J12" s="135">
        <f t="shared" ref="J12:J36" si="4">F12+I12+G12+H12</f>
        <v>10.931744682528651</v>
      </c>
      <c r="K12" s="135">
        <f t="shared" si="2"/>
        <v>37.15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27.44</v>
      </c>
      <c r="F13" s="135">
        <f t="shared" si="1"/>
        <v>8.0741787505065687</v>
      </c>
      <c r="G13" s="133">
        <f t="shared" si="3"/>
        <v>1.24</v>
      </c>
      <c r="H13" s="133">
        <f t="shared" si="3"/>
        <v>1.87</v>
      </c>
      <c r="I13" s="133"/>
      <c r="J13" s="135">
        <f t="shared" si="4"/>
        <v>11.184178750506568</v>
      </c>
      <c r="K13" s="135">
        <f t="shared" si="2"/>
        <v>38.01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28.17</v>
      </c>
      <c r="F14" s="135">
        <f t="shared" si="1"/>
        <v>8.2889801531257312</v>
      </c>
      <c r="G14" s="133">
        <f t="shared" si="3"/>
        <v>1.27</v>
      </c>
      <c r="H14" s="133">
        <f t="shared" si="3"/>
        <v>1.92</v>
      </c>
      <c r="I14" s="133"/>
      <c r="J14" s="135">
        <f t="shared" si="4"/>
        <v>11.478980153125731</v>
      </c>
      <c r="K14" s="135">
        <f t="shared" si="2"/>
        <v>39.01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28.91</v>
      </c>
      <c r="F15" s="135">
        <f t="shared" si="1"/>
        <v>28.544484652741602</v>
      </c>
      <c r="G15" s="133">
        <f t="shared" si="3"/>
        <v>1.3</v>
      </c>
      <c r="H15" s="133">
        <f t="shared" si="3"/>
        <v>1.97</v>
      </c>
      <c r="I15" s="133">
        <v>-34.479999999999997</v>
      </c>
      <c r="J15" s="135">
        <f t="shared" si="4"/>
        <v>-2.6655153472583955</v>
      </c>
      <c r="K15" s="135">
        <f t="shared" si="2"/>
        <v>-9.06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69.81</v>
      </c>
      <c r="E16" s="133">
        <f t="shared" si="3"/>
        <v>29.64</v>
      </c>
      <c r="F16" s="135">
        <f t="shared" si="1"/>
        <v>29.26301300065154</v>
      </c>
      <c r="G16" s="133">
        <f t="shared" si="3"/>
        <v>1.33</v>
      </c>
      <c r="H16" s="133">
        <f t="shared" si="3"/>
        <v>2.02</v>
      </c>
      <c r="I16" s="133">
        <v>-34.479999999999997</v>
      </c>
      <c r="J16" s="135">
        <f t="shared" si="4"/>
        <v>-1.8669869993484567</v>
      </c>
      <c r="K16" s="135">
        <f t="shared" si="2"/>
        <v>-6.34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71.48</v>
      </c>
      <c r="E17" s="133">
        <f t="shared" si="3"/>
        <v>30.35</v>
      </c>
      <c r="F17" s="135">
        <f t="shared" si="1"/>
        <v>29.963324422889357</v>
      </c>
      <c r="G17" s="133">
        <f t="shared" si="3"/>
        <v>1.36</v>
      </c>
      <c r="H17" s="133">
        <f t="shared" si="3"/>
        <v>2.0699999999999998</v>
      </c>
      <c r="I17" s="133">
        <v>-35.799999999999997</v>
      </c>
      <c r="J17" s="135">
        <f t="shared" si="4"/>
        <v>-2.4066755771106396</v>
      </c>
      <c r="K17" s="135">
        <f t="shared" si="2"/>
        <v>-8.18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73.150000000000006</v>
      </c>
      <c r="E18" s="133">
        <f t="shared" si="3"/>
        <v>31.06</v>
      </c>
      <c r="F18" s="135">
        <f t="shared" si="1"/>
        <v>30.663635845127171</v>
      </c>
      <c r="G18" s="133">
        <f t="shared" si="3"/>
        <v>1.39</v>
      </c>
      <c r="H18" s="133">
        <f t="shared" si="3"/>
        <v>2.12</v>
      </c>
      <c r="I18" s="133">
        <v>-35.799999999999997</v>
      </c>
      <c r="J18" s="135">
        <f t="shared" si="4"/>
        <v>-1.6263641548728263</v>
      </c>
      <c r="K18" s="135">
        <f t="shared" si="2"/>
        <v>-5.53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74.84</v>
      </c>
      <c r="E19" s="133">
        <f t="shared" si="3"/>
        <v>31.78</v>
      </c>
      <c r="F19" s="135">
        <f t="shared" si="1"/>
        <v>31.372774722267142</v>
      </c>
      <c r="G19" s="133">
        <f t="shared" si="3"/>
        <v>1.42</v>
      </c>
      <c r="H19" s="133">
        <f t="shared" si="3"/>
        <v>2.17</v>
      </c>
      <c r="I19" s="133">
        <v>-37.130000000000003</v>
      </c>
      <c r="J19" s="135">
        <f t="shared" si="4"/>
        <v>-2.1672252777328609</v>
      </c>
      <c r="K19" s="135">
        <f t="shared" si="2"/>
        <v>-7.37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76.540000000000006</v>
      </c>
      <c r="E20" s="133">
        <f>ROUND(E19*(1+$G66),2)</f>
        <v>32.5</v>
      </c>
      <c r="F20" s="135">
        <f t="shared" si="1"/>
        <v>32.084856084374501</v>
      </c>
      <c r="G20" s="133">
        <f>ROUND(G19*(1+$G66),2)</f>
        <v>1.45</v>
      </c>
      <c r="H20" s="133">
        <f>ROUND(H19*(1+$G66),2)</f>
        <v>2.2200000000000002</v>
      </c>
      <c r="I20" s="133">
        <v>-37.130000000000003</v>
      </c>
      <c r="J20" s="135">
        <f t="shared" si="4"/>
        <v>-1.3751439156255016</v>
      </c>
      <c r="K20" s="135">
        <f t="shared" si="2"/>
        <v>-4.67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78.23</v>
      </c>
      <c r="E21" s="133">
        <f t="shared" si="6"/>
        <v>33.22</v>
      </c>
      <c r="F21" s="135">
        <f t="shared" si="1"/>
        <v>32.793994961514471</v>
      </c>
      <c r="G21" s="133">
        <f t="shared" si="6"/>
        <v>1.48</v>
      </c>
      <c r="H21" s="133">
        <f t="shared" si="6"/>
        <v>2.27</v>
      </c>
      <c r="I21" s="133">
        <v>-38.450000000000003</v>
      </c>
      <c r="J21" s="135">
        <f t="shared" si="4"/>
        <v>-1.9060050384855312</v>
      </c>
      <c r="K21" s="135">
        <f t="shared" si="2"/>
        <v>-6.48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79.930000000000007</v>
      </c>
      <c r="E22" s="133">
        <f t="shared" si="6"/>
        <v>33.94</v>
      </c>
      <c r="F22" s="135">
        <f t="shared" si="1"/>
        <v>33.506076323621826</v>
      </c>
      <c r="G22" s="133">
        <f t="shared" si="6"/>
        <v>1.51</v>
      </c>
      <c r="H22" s="133">
        <f t="shared" si="6"/>
        <v>2.3199999999999998</v>
      </c>
      <c r="I22" s="133">
        <v>-38.450000000000003</v>
      </c>
      <c r="J22" s="135">
        <f t="shared" si="4"/>
        <v>-1.1139236763781768</v>
      </c>
      <c r="K22" s="135">
        <f t="shared" si="2"/>
        <v>-3.79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81.680000000000007</v>
      </c>
      <c r="E23" s="133">
        <f t="shared" si="6"/>
        <v>34.68</v>
      </c>
      <c r="F23" s="135">
        <f t="shared" si="1"/>
        <v>34.238755080500887</v>
      </c>
      <c r="G23" s="133">
        <f t="shared" si="6"/>
        <v>1.54</v>
      </c>
      <c r="H23" s="133">
        <f t="shared" si="6"/>
        <v>2.37</v>
      </c>
      <c r="I23" s="133">
        <v>-39.78</v>
      </c>
      <c r="J23" s="135">
        <f t="shared" si="4"/>
        <v>-1.6312449194991139</v>
      </c>
      <c r="K23" s="135">
        <f t="shared" si="2"/>
        <v>-5.54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83.45</v>
      </c>
      <c r="E24" s="133">
        <f t="shared" si="6"/>
        <v>35.43</v>
      </c>
      <c r="F24" s="135">
        <f t="shared" si="1"/>
        <v>34.980261292282101</v>
      </c>
      <c r="G24" s="133">
        <f t="shared" si="6"/>
        <v>1.57</v>
      </c>
      <c r="H24" s="133">
        <f t="shared" si="6"/>
        <v>2.42</v>
      </c>
      <c r="I24" s="133">
        <v>-41.11</v>
      </c>
      <c r="J24" s="135">
        <f t="shared" si="4"/>
        <v>-2.139738707717898</v>
      </c>
      <c r="K24" s="135">
        <f t="shared" si="2"/>
        <v>-7.27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85.23</v>
      </c>
      <c r="E25" s="133">
        <f t="shared" si="6"/>
        <v>36.18</v>
      </c>
      <c r="F25" s="135">
        <f t="shared" si="1"/>
        <v>35.7247099890307</v>
      </c>
      <c r="G25" s="133">
        <f t="shared" si="6"/>
        <v>1.6</v>
      </c>
      <c r="H25" s="133">
        <f t="shared" si="6"/>
        <v>2.4700000000000002</v>
      </c>
      <c r="I25" s="133"/>
      <c r="J25" s="135">
        <f t="shared" si="4"/>
        <v>39.7947099890307</v>
      </c>
      <c r="K25" s="135">
        <f t="shared" si="2"/>
        <v>135.24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87.01</v>
      </c>
      <c r="E26" s="133">
        <f t="shared" si="6"/>
        <v>36.94</v>
      </c>
      <c r="F26" s="135">
        <f t="shared" si="1"/>
        <v>36.47210117074669</v>
      </c>
      <c r="G26" s="133">
        <f t="shared" si="6"/>
        <v>1.63</v>
      </c>
      <c r="H26" s="133">
        <f t="shared" si="6"/>
        <v>2.52</v>
      </c>
      <c r="I26" s="133"/>
      <c r="J26" s="135">
        <f t="shared" si="4"/>
        <v>40.622101170746696</v>
      </c>
      <c r="K26" s="135">
        <f t="shared" si="2"/>
        <v>138.05000000000001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88.82</v>
      </c>
      <c r="E27" s="133">
        <f t="shared" si="6"/>
        <v>37.71</v>
      </c>
      <c r="F27" s="135">
        <f t="shared" si="1"/>
        <v>37.231262292332218</v>
      </c>
      <c r="G27" s="133">
        <f t="shared" si="6"/>
        <v>1.66</v>
      </c>
      <c r="H27" s="133">
        <f t="shared" si="6"/>
        <v>2.57</v>
      </c>
      <c r="I27" s="133"/>
      <c r="J27" s="135">
        <f t="shared" si="4"/>
        <v>41.461262292332215</v>
      </c>
      <c r="K27" s="135">
        <f t="shared" si="2"/>
        <v>140.91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90.65</v>
      </c>
      <c r="E28" s="133">
        <f t="shared" si="6"/>
        <v>38.49</v>
      </c>
      <c r="F28" s="135">
        <f t="shared" si="1"/>
        <v>37.999250868819914</v>
      </c>
      <c r="G28" s="133">
        <f t="shared" si="6"/>
        <v>1.69</v>
      </c>
      <c r="H28" s="133">
        <f t="shared" si="6"/>
        <v>2.62</v>
      </c>
      <c r="I28" s="133"/>
      <c r="J28" s="135">
        <f t="shared" si="4"/>
        <v>42.309250868819909</v>
      </c>
      <c r="K28" s="135">
        <f t="shared" si="2"/>
        <v>143.79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92.51</v>
      </c>
      <c r="E29" s="133">
        <f>ROUND(E28*(1+$L66),2)</f>
        <v>39.28</v>
      </c>
      <c r="F29" s="135">
        <f t="shared" si="1"/>
        <v>38.77900938517714</v>
      </c>
      <c r="G29" s="133">
        <f>ROUND(G28*(1+$L66),2)</f>
        <v>1.72</v>
      </c>
      <c r="H29" s="133">
        <f>ROUND(H28*(1+$L66),2)</f>
        <v>2.67</v>
      </c>
      <c r="I29" s="133"/>
      <c r="J29" s="135">
        <f t="shared" si="4"/>
        <v>43.169009385177141</v>
      </c>
      <c r="K29" s="135">
        <f t="shared" si="2"/>
        <v>146.71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94.39</v>
      </c>
      <c r="E30" s="133">
        <f t="shared" si="8"/>
        <v>40.08</v>
      </c>
      <c r="F30" s="135">
        <f t="shared" si="1"/>
        <v>39.567595356436527</v>
      </c>
      <c r="G30" s="133">
        <f t="shared" si="8"/>
        <v>1.75</v>
      </c>
      <c r="H30" s="133">
        <f t="shared" si="8"/>
        <v>2.72</v>
      </c>
      <c r="I30" s="133"/>
      <c r="J30" s="135">
        <f t="shared" si="4"/>
        <v>44.037595356436526</v>
      </c>
      <c r="K30" s="135">
        <f t="shared" si="2"/>
        <v>149.66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96.29</v>
      </c>
      <c r="E31" s="133">
        <f t="shared" si="8"/>
        <v>40.89</v>
      </c>
      <c r="F31" s="135">
        <f t="shared" si="1"/>
        <v>40.365008782598075</v>
      </c>
      <c r="G31" s="133">
        <f t="shared" si="8"/>
        <v>1.79</v>
      </c>
      <c r="H31" s="133">
        <f t="shared" si="8"/>
        <v>2.77</v>
      </c>
      <c r="I31" s="133"/>
      <c r="J31" s="135">
        <f t="shared" si="4"/>
        <v>44.925008782598077</v>
      </c>
      <c r="K31" s="135">
        <f t="shared" si="2"/>
        <v>152.68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98.21</v>
      </c>
      <c r="E32" s="133">
        <f t="shared" si="8"/>
        <v>41.71</v>
      </c>
      <c r="F32" s="135">
        <f t="shared" si="1"/>
        <v>41.171249663661769</v>
      </c>
      <c r="G32" s="133">
        <f t="shared" si="8"/>
        <v>1.83</v>
      </c>
      <c r="H32" s="133">
        <f t="shared" si="8"/>
        <v>2.83</v>
      </c>
      <c r="I32" s="133"/>
      <c r="J32" s="135">
        <f t="shared" si="4"/>
        <v>45.831249663661765</v>
      </c>
      <c r="K32" s="135">
        <f t="shared" si="2"/>
        <v>155.76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100.18</v>
      </c>
      <c r="E33" s="133">
        <f t="shared" si="8"/>
        <v>42.55</v>
      </c>
      <c r="F33" s="135">
        <f t="shared" si="1"/>
        <v>41.998087939497182</v>
      </c>
      <c r="G33" s="133">
        <f t="shared" si="8"/>
        <v>1.87</v>
      </c>
      <c r="H33" s="133">
        <f t="shared" si="8"/>
        <v>2.89</v>
      </c>
      <c r="I33" s="133"/>
      <c r="J33" s="135">
        <f t="shared" si="4"/>
        <v>46.75808793949718</v>
      </c>
      <c r="K33" s="135">
        <f t="shared" si="2"/>
        <v>158.91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102.2</v>
      </c>
      <c r="E34" s="133">
        <f t="shared" si="8"/>
        <v>43.41</v>
      </c>
      <c r="F34" s="135">
        <f t="shared" si="1"/>
        <v>42.84552361010428</v>
      </c>
      <c r="G34" s="133">
        <f t="shared" si="8"/>
        <v>1.91</v>
      </c>
      <c r="H34" s="133">
        <f t="shared" si="8"/>
        <v>2.95</v>
      </c>
      <c r="I34" s="133"/>
      <c r="J34" s="135">
        <f t="shared" si="4"/>
        <v>47.705523610104279</v>
      </c>
      <c r="K34" s="135">
        <f t="shared" si="2"/>
        <v>162.13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104.28</v>
      </c>
      <c r="E35" s="133">
        <f t="shared" si="8"/>
        <v>44.3</v>
      </c>
      <c r="F35" s="135">
        <f t="shared" si="1"/>
        <v>43.719441645417852</v>
      </c>
      <c r="G35" s="133">
        <f t="shared" si="8"/>
        <v>1.95</v>
      </c>
      <c r="H35" s="133">
        <f t="shared" si="8"/>
        <v>3.01</v>
      </c>
      <c r="I35" s="133"/>
      <c r="J35" s="135">
        <f t="shared" si="4"/>
        <v>48.679441645417853</v>
      </c>
      <c r="K35" s="135">
        <f t="shared" si="2"/>
        <v>165.44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106.43</v>
      </c>
      <c r="E36" s="133">
        <f t="shared" si="8"/>
        <v>45.21</v>
      </c>
      <c r="F36" s="135">
        <f t="shared" si="1"/>
        <v>44.619842045437906</v>
      </c>
      <c r="G36" s="133">
        <f t="shared" si="8"/>
        <v>1.99</v>
      </c>
      <c r="H36" s="133">
        <f t="shared" si="8"/>
        <v>3.07</v>
      </c>
      <c r="I36" s="133"/>
      <c r="J36" s="135">
        <f t="shared" si="4"/>
        <v>49.679842045437908</v>
      </c>
      <c r="K36" s="135">
        <f t="shared" si="2"/>
        <v>168.84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76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123</v>
      </c>
      <c r="C55" s="186">
        <v>1288.7722600288894</v>
      </c>
      <c r="D55" s="122" t="s">
        <v>76</v>
      </c>
      <c r="I55" s="122" t="s">
        <v>9</v>
      </c>
    </row>
    <row r="56" spans="2:24">
      <c r="B56" s="86" t="s">
        <v>116</v>
      </c>
      <c r="C56" s="155">
        <v>26.293898611068769</v>
      </c>
      <c r="D56" s="122" t="s">
        <v>79</v>
      </c>
      <c r="I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I57" s="122" t="s">
        <v>81</v>
      </c>
    </row>
    <row r="58" spans="2:24">
      <c r="B58" s="86" t="s">
        <v>116</v>
      </c>
      <c r="C58" s="155">
        <v>1.1816399331260157</v>
      </c>
      <c r="D58" s="122" t="s">
        <v>80</v>
      </c>
      <c r="I58" s="122" t="s">
        <v>81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>
        <v>-12.501261943267853</v>
      </c>
      <c r="D59" s="122" t="s">
        <v>82</v>
      </c>
      <c r="I59" s="122" t="s">
        <v>81</v>
      </c>
      <c r="J59" s="221" t="s">
        <v>120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116</v>
      </c>
      <c r="C60" s="160">
        <v>1.7950732843896238</v>
      </c>
      <c r="D60" s="122" t="s">
        <v>119</v>
      </c>
      <c r="I60" s="122" t="s">
        <v>81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41"/>
      <c r="I66" s="86"/>
      <c r="J66" s="88">
        <f>F74+1</f>
        <v>2035</v>
      </c>
      <c r="K66" s="88"/>
      <c r="L66" s="41">
        <v>2.0547727211939426E-2</v>
      </c>
    </row>
    <row r="67" spans="3:15">
      <c r="C67" s="88">
        <f t="shared" ref="C67:C74" si="10">C66+1</f>
        <v>2018</v>
      </c>
      <c r="D67" s="41">
        <v>2.00162222805087E-2</v>
      </c>
      <c r="E67" s="86"/>
      <c r="F67" s="88">
        <f t="shared" ref="F67:F74" si="11">F66+1</f>
        <v>2027</v>
      </c>
      <c r="G67" s="41">
        <v>2.2017580891201094E-2</v>
      </c>
      <c r="H67" s="41"/>
      <c r="I67" s="86"/>
      <c r="J67" s="88">
        <f t="shared" ref="J67:J74" si="12">J66+1</f>
        <v>2036</v>
      </c>
      <c r="K67" s="88"/>
      <c r="L67" s="41">
        <v>2.0338413275796441E-2</v>
      </c>
    </row>
    <row r="68" spans="3:15">
      <c r="C68" s="88">
        <f t="shared" si="10"/>
        <v>2019</v>
      </c>
      <c r="D68" s="41">
        <v>2.3023767536204609E-2</v>
      </c>
      <c r="E68" s="86"/>
      <c r="F68" s="88">
        <f t="shared" si="11"/>
        <v>2028</v>
      </c>
      <c r="G68" s="41">
        <v>2.1672038954803963E-2</v>
      </c>
      <c r="H68" s="41"/>
      <c r="I68" s="86"/>
      <c r="J68" s="88">
        <f t="shared" si="12"/>
        <v>2037</v>
      </c>
      <c r="K68" s="88"/>
      <c r="L68" s="41">
        <v>2.0148107799243142E-2</v>
      </c>
    </row>
    <row r="69" spans="3:15">
      <c r="C69" s="88">
        <f t="shared" si="10"/>
        <v>2020</v>
      </c>
      <c r="D69" s="41">
        <v>2.6569957493475238E-2</v>
      </c>
      <c r="E69" s="86"/>
      <c r="F69" s="88">
        <f t="shared" si="11"/>
        <v>2029</v>
      </c>
      <c r="G69" s="41">
        <v>2.1882861611237647E-2</v>
      </c>
      <c r="H69" s="41"/>
      <c r="I69" s="86"/>
      <c r="J69" s="88">
        <f t="shared" si="12"/>
        <v>2038</v>
      </c>
      <c r="K69" s="88"/>
      <c r="L69" s="41">
        <v>1.9981989666423283E-2</v>
      </c>
    </row>
    <row r="70" spans="3:15">
      <c r="C70" s="88">
        <f t="shared" si="10"/>
        <v>2021</v>
      </c>
      <c r="D70" s="41">
        <v>2.633678201148415E-2</v>
      </c>
      <c r="E70" s="86"/>
      <c r="F70" s="88">
        <f t="shared" si="11"/>
        <v>2030</v>
      </c>
      <c r="G70" s="41">
        <v>2.1716430930730724E-2</v>
      </c>
      <c r="H70" s="41"/>
      <c r="I70" s="86"/>
      <c r="J70" s="88">
        <f t="shared" si="12"/>
        <v>2039</v>
      </c>
      <c r="K70" s="88"/>
      <c r="L70" s="41">
        <v>2.0091958569135482E-2</v>
      </c>
    </row>
    <row r="71" spans="3:15">
      <c r="C71" s="88">
        <f t="shared" si="10"/>
        <v>2022</v>
      </c>
      <c r="D71" s="41">
        <v>2.5190838317338926E-2</v>
      </c>
      <c r="E71" s="86"/>
      <c r="F71" s="88">
        <f t="shared" si="11"/>
        <v>2031</v>
      </c>
      <c r="G71" s="41">
        <v>2.1283257880358342E-2</v>
      </c>
      <c r="H71" s="41"/>
      <c r="I71" s="86"/>
      <c r="J71" s="88">
        <f t="shared" si="12"/>
        <v>2040</v>
      </c>
      <c r="K71" s="88"/>
      <c r="L71" s="41">
        <v>2.016857640433245E-2</v>
      </c>
    </row>
    <row r="72" spans="3:15" s="124" customFormat="1">
      <c r="C72" s="88">
        <f t="shared" si="10"/>
        <v>2023</v>
      </c>
      <c r="D72" s="41">
        <v>2.3861027991437966E-2</v>
      </c>
      <c r="E72" s="87"/>
      <c r="F72" s="88">
        <f t="shared" si="11"/>
        <v>2032</v>
      </c>
      <c r="G72" s="41">
        <v>2.092650190640466E-2</v>
      </c>
      <c r="H72" s="41"/>
      <c r="I72" s="87"/>
      <c r="J72" s="88">
        <f t="shared" si="12"/>
        <v>2041</v>
      </c>
      <c r="K72" s="88"/>
      <c r="L72" s="41">
        <v>2.0388834681983159E-2</v>
      </c>
      <c r="O72" s="176"/>
    </row>
    <row r="73" spans="3:15" s="124" customFormat="1">
      <c r="C73" s="88">
        <f t="shared" si="10"/>
        <v>2024</v>
      </c>
      <c r="D73" s="41">
        <v>2.3386119938164196E-2</v>
      </c>
      <c r="E73" s="87"/>
      <c r="F73" s="88">
        <f t="shared" si="11"/>
        <v>2033</v>
      </c>
      <c r="G73" s="41">
        <v>2.0801762320284523E-2</v>
      </c>
      <c r="H73" s="41"/>
      <c r="I73" s="87"/>
      <c r="J73" s="88">
        <f t="shared" si="12"/>
        <v>2042</v>
      </c>
      <c r="K73" s="88"/>
      <c r="L73" s="41">
        <v>2.0623380610534037E-2</v>
      </c>
      <c r="O73" s="176"/>
    </row>
    <row r="74" spans="3:15" s="124" customFormat="1">
      <c r="C74" s="88">
        <f t="shared" si="10"/>
        <v>2025</v>
      </c>
      <c r="D74" s="41">
        <v>2.3124371179134462E-2</v>
      </c>
      <c r="E74" s="87"/>
      <c r="F74" s="88">
        <f t="shared" si="11"/>
        <v>2034</v>
      </c>
      <c r="G74" s="41">
        <v>2.065772177898717E-2</v>
      </c>
      <c r="H74" s="41"/>
      <c r="I74" s="87"/>
      <c r="J74" s="88">
        <f t="shared" si="12"/>
        <v>2043</v>
      </c>
      <c r="K74" s="88"/>
      <c r="L74" s="41">
        <v>2.0893774761898909E-2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zoomScale="70" zoomScaleNormal="70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90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38.32</v>
      </c>
      <c r="F12" s="135">
        <f t="shared" si="1"/>
        <v>10.591838314150831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11.251838314150831</v>
      </c>
      <c r="J12" s="135">
        <f t="shared" si="3"/>
        <v>40.71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39.200000000000003</v>
      </c>
      <c r="F13" s="135">
        <f t="shared" si="1"/>
        <v>10.835074684621935</v>
      </c>
      <c r="G13" s="133">
        <f t="shared" si="5"/>
        <v>0.68</v>
      </c>
      <c r="H13" s="143">
        <f t="shared" ref="H13" si="9">ROUND(H12*(1+$D68),2)</f>
        <v>0</v>
      </c>
      <c r="I13" s="135">
        <f t="shared" si="2"/>
        <v>11.515074684621935</v>
      </c>
      <c r="J13" s="135">
        <f t="shared" si="3"/>
        <v>41.66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40.24</v>
      </c>
      <c r="F14" s="135">
        <f t="shared" si="1"/>
        <v>11.12253584972415</v>
      </c>
      <c r="G14" s="133">
        <f t="shared" si="5"/>
        <v>0.7</v>
      </c>
      <c r="H14" s="143">
        <f t="shared" ref="H14" si="10">ROUND(H13*(1+$D69),2)</f>
        <v>0</v>
      </c>
      <c r="I14" s="135">
        <f t="shared" si="2"/>
        <v>11.822535849724149</v>
      </c>
      <c r="J14" s="135">
        <f t="shared" si="3"/>
        <v>42.77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41.3</v>
      </c>
      <c r="F15" s="135">
        <f t="shared" si="1"/>
        <v>11.415525114155251</v>
      </c>
      <c r="G15" s="133">
        <f t="shared" si="5"/>
        <v>0.72</v>
      </c>
      <c r="H15" s="143">
        <f t="shared" ref="H15" si="11">ROUND(H14*(1+$D70),2)</f>
        <v>0</v>
      </c>
      <c r="I15" s="135">
        <f t="shared" si="2"/>
        <v>12.135525114155252</v>
      </c>
      <c r="J15" s="135">
        <f t="shared" si="3"/>
        <v>43.9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42.34</v>
      </c>
      <c r="F16" s="135">
        <f t="shared" si="1"/>
        <v>11.702986279257468</v>
      </c>
      <c r="G16" s="133">
        <f t="shared" si="5"/>
        <v>0.74</v>
      </c>
      <c r="H16" s="143">
        <f t="shared" ref="H16" si="12">ROUND(H15*(1+$D71),2)</f>
        <v>0</v>
      </c>
      <c r="I16" s="135">
        <f t="shared" si="2"/>
        <v>12.442986279257468</v>
      </c>
      <c r="J16" s="135">
        <f t="shared" si="3"/>
        <v>45.02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43.35</v>
      </c>
      <c r="F17" s="135">
        <f t="shared" si="1"/>
        <v>11.982155295366349</v>
      </c>
      <c r="G17" s="133">
        <f t="shared" si="5"/>
        <v>0.76</v>
      </c>
      <c r="H17" s="143">
        <f t="shared" ref="H17" si="13">ROUND(H16*(1+$D72),2)</f>
        <v>0</v>
      </c>
      <c r="I17" s="135">
        <f t="shared" si="2"/>
        <v>12.742155295366349</v>
      </c>
      <c r="J17" s="135">
        <f t="shared" si="3"/>
        <v>46.1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44.36</v>
      </c>
      <c r="F18" s="135">
        <f t="shared" si="1"/>
        <v>12.26132431147523</v>
      </c>
      <c r="G18" s="133">
        <f t="shared" si="5"/>
        <v>0.78</v>
      </c>
      <c r="H18" s="143">
        <f t="shared" ref="H18" si="14">ROUND(H17*(1+$D73),2)</f>
        <v>0</v>
      </c>
      <c r="I18" s="135">
        <f t="shared" si="2"/>
        <v>13.041324311475229</v>
      </c>
      <c r="J18" s="135">
        <f t="shared" si="3"/>
        <v>47.18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45.39</v>
      </c>
      <c r="F19" s="135">
        <f t="shared" si="1"/>
        <v>12.546021426913001</v>
      </c>
      <c r="G19" s="133">
        <f t="shared" si="5"/>
        <v>0.8</v>
      </c>
      <c r="H19" s="143">
        <f t="shared" ref="H19" si="15">ROUND(H18*(1+$D74),2)</f>
        <v>0</v>
      </c>
      <c r="I19" s="135">
        <f t="shared" si="2"/>
        <v>13.346021426913001</v>
      </c>
      <c r="J19" s="135">
        <f t="shared" si="3"/>
        <v>48.28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46.42</v>
      </c>
      <c r="F20" s="135">
        <f t="shared" si="1"/>
        <v>12.830718542350771</v>
      </c>
      <c r="G20" s="133">
        <f t="shared" ref="G20:G28" si="17">ROUND(G19*(1+$G66),2)</f>
        <v>0.82</v>
      </c>
      <c r="H20" s="143">
        <f t="shared" ref="H20:H28" si="18">ROUND(H19*(1+$G66),2)</f>
        <v>0</v>
      </c>
      <c r="I20" s="135">
        <f t="shared" si="2"/>
        <v>13.650718542350772</v>
      </c>
      <c r="J20" s="135">
        <f t="shared" si="3"/>
        <v>49.39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47.44</v>
      </c>
      <c r="F21" s="135">
        <f t="shared" si="1"/>
        <v>13.112651608124096</v>
      </c>
      <c r="G21" s="133">
        <f t="shared" si="17"/>
        <v>0.84</v>
      </c>
      <c r="H21" s="143">
        <f t="shared" si="18"/>
        <v>0</v>
      </c>
      <c r="I21" s="135">
        <f t="shared" si="2"/>
        <v>13.952651608124096</v>
      </c>
      <c r="J21" s="135">
        <f t="shared" si="3"/>
        <v>50.48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48.47</v>
      </c>
      <c r="F22" s="135">
        <f t="shared" si="1"/>
        <v>13.397348723561866</v>
      </c>
      <c r="G22" s="133">
        <f t="shared" si="17"/>
        <v>0.86</v>
      </c>
      <c r="H22" s="143">
        <f t="shared" si="18"/>
        <v>0</v>
      </c>
      <c r="I22" s="135">
        <f t="shared" si="2"/>
        <v>14.257348723561865</v>
      </c>
      <c r="J22" s="135">
        <f t="shared" si="3"/>
        <v>51.58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49.53</v>
      </c>
      <c r="F23" s="135">
        <f t="shared" si="1"/>
        <v>13.690337987992971</v>
      </c>
      <c r="G23" s="133">
        <f t="shared" si="17"/>
        <v>0.88</v>
      </c>
      <c r="H23" s="143">
        <f t="shared" si="18"/>
        <v>0</v>
      </c>
      <c r="I23" s="135">
        <f t="shared" si="2"/>
        <v>14.570337987992971</v>
      </c>
      <c r="J23" s="135">
        <f t="shared" si="3"/>
        <v>52.71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50.61</v>
      </c>
      <c r="F24" s="135">
        <f t="shared" si="1"/>
        <v>40.56893173378198</v>
      </c>
      <c r="G24" s="133">
        <f t="shared" si="17"/>
        <v>0.9</v>
      </c>
      <c r="H24" s="143">
        <f t="shared" si="18"/>
        <v>0</v>
      </c>
      <c r="I24" s="135">
        <f t="shared" si="2"/>
        <v>41.468931733781979</v>
      </c>
      <c r="J24" s="135">
        <f t="shared" si="3"/>
        <v>150.03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98.21</v>
      </c>
      <c r="E25" s="133">
        <f t="shared" si="16"/>
        <v>51.69</v>
      </c>
      <c r="F25" s="135">
        <f t="shared" si="1"/>
        <v>41.433104470021114</v>
      </c>
      <c r="G25" s="133">
        <f t="shared" si="17"/>
        <v>0.92</v>
      </c>
      <c r="H25" s="143">
        <f t="shared" si="18"/>
        <v>0</v>
      </c>
      <c r="I25" s="135">
        <f t="shared" si="2"/>
        <v>42.353104470021115</v>
      </c>
      <c r="J25" s="135">
        <f t="shared" si="3"/>
        <v>153.22999999999999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100.27</v>
      </c>
      <c r="E26" s="133">
        <f t="shared" si="16"/>
        <v>52.77</v>
      </c>
      <c r="F26" s="135">
        <f t="shared" si="1"/>
        <v>42.30101606465665</v>
      </c>
      <c r="G26" s="133">
        <f t="shared" si="17"/>
        <v>0.94</v>
      </c>
      <c r="H26" s="143">
        <f t="shared" si="18"/>
        <v>0</v>
      </c>
      <c r="I26" s="135">
        <f t="shared" si="2"/>
        <v>43.241016064656648</v>
      </c>
      <c r="J26" s="135">
        <f t="shared" si="3"/>
        <v>156.44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102.36</v>
      </c>
      <c r="E27" s="133">
        <f t="shared" si="16"/>
        <v>53.87</v>
      </c>
      <c r="F27" s="135">
        <f t="shared" si="1"/>
        <v>43.182747907614406</v>
      </c>
      <c r="G27" s="133">
        <f t="shared" si="17"/>
        <v>0.96</v>
      </c>
      <c r="H27" s="143">
        <f t="shared" si="18"/>
        <v>0</v>
      </c>
      <c r="I27" s="135">
        <f t="shared" si="2"/>
        <v>44.142747907614407</v>
      </c>
      <c r="J27" s="135">
        <f t="shared" si="3"/>
        <v>159.69999999999999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104.47</v>
      </c>
      <c r="E28" s="133">
        <f t="shared" si="16"/>
        <v>54.98</v>
      </c>
      <c r="F28" s="135">
        <f t="shared" si="1"/>
        <v>44.072771899565495</v>
      </c>
      <c r="G28" s="133">
        <f t="shared" si="17"/>
        <v>0.98</v>
      </c>
      <c r="H28" s="143">
        <f t="shared" si="18"/>
        <v>0</v>
      </c>
      <c r="I28" s="135">
        <f t="shared" si="2"/>
        <v>45.052771899565492</v>
      </c>
      <c r="J28" s="135">
        <f t="shared" si="3"/>
        <v>163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106.62</v>
      </c>
      <c r="E29" s="133">
        <f t="shared" si="22"/>
        <v>56.11</v>
      </c>
      <c r="F29" s="135">
        <f t="shared" si="1"/>
        <v>44.979380189503253</v>
      </c>
      <c r="G29" s="133">
        <f>ROUND(G28*(1+$K66),2)</f>
        <v>1</v>
      </c>
      <c r="H29" s="143">
        <f>ROUND(H28*(1+$K66),2)</f>
        <v>0</v>
      </c>
      <c r="I29" s="135">
        <f t="shared" si="2"/>
        <v>45.979380189503253</v>
      </c>
      <c r="J29" s="135">
        <f t="shared" si="3"/>
        <v>166.35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108.79</v>
      </c>
      <c r="E30" s="133">
        <f t="shared" si="22"/>
        <v>57.25</v>
      </c>
      <c r="F30" s="135">
        <f t="shared" si="1"/>
        <v>45.894280628434345</v>
      </c>
      <c r="G30" s="133">
        <f t="shared" ref="G30:G36" si="23">ROUND(G29*(1+$K67),2)</f>
        <v>1.02</v>
      </c>
      <c r="H30" s="143">
        <f t="shared" ref="H30" si="24">ROUND(H29*(1+$K67),2)</f>
        <v>0</v>
      </c>
      <c r="I30" s="135">
        <f t="shared" si="2"/>
        <v>46.914280628434348</v>
      </c>
      <c r="J30" s="135">
        <f t="shared" si="3"/>
        <v>169.73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110.98</v>
      </c>
      <c r="E31" s="133">
        <f t="shared" si="22"/>
        <v>58.4</v>
      </c>
      <c r="F31" s="135">
        <f t="shared" si="1"/>
        <v>46.817473216358756</v>
      </c>
      <c r="G31" s="133">
        <f t="shared" si="23"/>
        <v>1.04</v>
      </c>
      <c r="H31" s="143">
        <f t="shared" ref="H31" si="27">ROUND(H30*(1+$K68),2)</f>
        <v>0</v>
      </c>
      <c r="I31" s="135">
        <f t="shared" si="2"/>
        <v>47.857473216358756</v>
      </c>
      <c r="J31" s="135">
        <f t="shared" si="3"/>
        <v>173.14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113.2</v>
      </c>
      <c r="E32" s="133">
        <f t="shared" si="22"/>
        <v>59.57</v>
      </c>
      <c r="F32" s="135">
        <f t="shared" si="1"/>
        <v>47.754486052605401</v>
      </c>
      <c r="G32" s="133">
        <f t="shared" si="23"/>
        <v>1.06</v>
      </c>
      <c r="H32" s="143">
        <f t="shared" ref="H32" si="28">ROUND(H31*(1+$K69),2)</f>
        <v>0</v>
      </c>
      <c r="I32" s="135">
        <f t="shared" si="2"/>
        <v>48.814486052605403</v>
      </c>
      <c r="J32" s="135">
        <f t="shared" si="3"/>
        <v>176.6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115.47</v>
      </c>
      <c r="E33" s="133">
        <f t="shared" si="22"/>
        <v>60.77</v>
      </c>
      <c r="F33" s="135">
        <f t="shared" si="1"/>
        <v>48.713611286167598</v>
      </c>
      <c r="G33" s="133">
        <f t="shared" si="23"/>
        <v>1.08</v>
      </c>
      <c r="H33" s="143">
        <f t="shared" ref="H33" si="29">ROUND(H32*(1+$K70),2)</f>
        <v>0</v>
      </c>
      <c r="I33" s="135">
        <f t="shared" si="2"/>
        <v>49.793611286167597</v>
      </c>
      <c r="J33" s="135">
        <f t="shared" si="3"/>
        <v>180.15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117.8</v>
      </c>
      <c r="E34" s="133">
        <f t="shared" si="22"/>
        <v>62</v>
      </c>
      <c r="F34" s="135">
        <f t="shared" si="1"/>
        <v>49.697612966709798</v>
      </c>
      <c r="G34" s="133">
        <f t="shared" si="23"/>
        <v>1.1000000000000001</v>
      </c>
      <c r="H34" s="143">
        <f t="shared" ref="H34" si="30">ROUND(H33*(1+$K71),2)</f>
        <v>0</v>
      </c>
      <c r="I34" s="135">
        <f t="shared" si="2"/>
        <v>50.797612966709799</v>
      </c>
      <c r="J34" s="135">
        <f t="shared" si="3"/>
        <v>183.78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</v>
      </c>
      <c r="E35" s="133">
        <f t="shared" si="22"/>
        <v>63.26</v>
      </c>
      <c r="F35" s="135">
        <f t="shared" si="1"/>
        <v>50.709255143896435</v>
      </c>
      <c r="G35" s="133">
        <f t="shared" si="23"/>
        <v>1.1200000000000001</v>
      </c>
      <c r="H35" s="143">
        <f t="shared" ref="H35" si="31">ROUND(H34*(1+$K72),2)</f>
        <v>0</v>
      </c>
      <c r="I35" s="135">
        <f t="shared" si="2"/>
        <v>51.829255143896432</v>
      </c>
      <c r="J35" s="135">
        <f t="shared" si="3"/>
        <v>187.51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122.68</v>
      </c>
      <c r="E36" s="133">
        <f t="shared" si="22"/>
        <v>64.56</v>
      </c>
      <c r="F36" s="135">
        <f t="shared" si="1"/>
        <v>51.754065917056408</v>
      </c>
      <c r="G36" s="133">
        <f t="shared" si="23"/>
        <v>1.1399999999999999</v>
      </c>
      <c r="H36" s="143">
        <f t="shared" ref="H36" si="32">ROUND(H35*(1+$K73),2)</f>
        <v>0</v>
      </c>
      <c r="I36" s="135">
        <f t="shared" si="2"/>
        <v>52.894065917056409</v>
      </c>
      <c r="J36" s="135">
        <f t="shared" si="3"/>
        <v>191.36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1353.2739183554006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37.565582271006477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0.65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150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33">C66+1</f>
        <v>2018</v>
      </c>
      <c r="D67" s="41">
        <v>2.00162222805087E-2</v>
      </c>
      <c r="E67" s="86"/>
      <c r="F67" s="88">
        <f t="shared" ref="F67:F74" si="34">F66+1</f>
        <v>2027</v>
      </c>
      <c r="G67" s="41">
        <v>2.2017580891201094E-2</v>
      </c>
      <c r="H67" s="86"/>
      <c r="I67" s="88">
        <f t="shared" ref="I67:I74" si="35">I66+1</f>
        <v>2036</v>
      </c>
      <c r="J67" s="88"/>
      <c r="K67" s="41">
        <v>2.0338413275796441E-2</v>
      </c>
    </row>
    <row r="68" spans="3:11">
      <c r="C68" s="88">
        <f t="shared" si="33"/>
        <v>2019</v>
      </c>
      <c r="D68" s="41">
        <v>2.3023767536204609E-2</v>
      </c>
      <c r="E68" s="86"/>
      <c r="F68" s="88">
        <f t="shared" si="34"/>
        <v>2028</v>
      </c>
      <c r="G68" s="41">
        <v>2.1672038954803963E-2</v>
      </c>
      <c r="H68" s="86"/>
      <c r="I68" s="88">
        <f t="shared" si="35"/>
        <v>2037</v>
      </c>
      <c r="J68" s="88"/>
      <c r="K68" s="41">
        <v>2.0148107799243142E-2</v>
      </c>
    </row>
    <row r="69" spans="3:11">
      <c r="C69" s="88">
        <f t="shared" si="33"/>
        <v>2020</v>
      </c>
      <c r="D69" s="41">
        <v>2.6569957493475238E-2</v>
      </c>
      <c r="E69" s="86"/>
      <c r="F69" s="88">
        <f t="shared" si="34"/>
        <v>2029</v>
      </c>
      <c r="G69" s="41">
        <v>2.1882861611237647E-2</v>
      </c>
      <c r="H69" s="86"/>
      <c r="I69" s="88">
        <f t="shared" si="35"/>
        <v>2038</v>
      </c>
      <c r="J69" s="88"/>
      <c r="K69" s="41">
        <v>1.9981989666423283E-2</v>
      </c>
    </row>
    <row r="70" spans="3:11">
      <c r="C70" s="88">
        <f t="shared" si="33"/>
        <v>2021</v>
      </c>
      <c r="D70" s="41">
        <v>2.633678201148415E-2</v>
      </c>
      <c r="E70" s="86"/>
      <c r="F70" s="88">
        <f t="shared" si="34"/>
        <v>2030</v>
      </c>
      <c r="G70" s="41">
        <v>2.1716430930730724E-2</v>
      </c>
      <c r="H70" s="86"/>
      <c r="I70" s="88">
        <f t="shared" si="35"/>
        <v>2039</v>
      </c>
      <c r="J70" s="88"/>
      <c r="K70" s="41">
        <v>2.0091958569135482E-2</v>
      </c>
    </row>
    <row r="71" spans="3:11">
      <c r="C71" s="88">
        <f t="shared" si="33"/>
        <v>2022</v>
      </c>
      <c r="D71" s="41">
        <v>2.5190838317338926E-2</v>
      </c>
      <c r="E71" s="86"/>
      <c r="F71" s="88">
        <f t="shared" si="34"/>
        <v>2031</v>
      </c>
      <c r="G71" s="41">
        <v>2.1283257880358342E-2</v>
      </c>
      <c r="H71" s="86"/>
      <c r="I71" s="88">
        <f t="shared" si="35"/>
        <v>2040</v>
      </c>
      <c r="J71" s="88"/>
      <c r="K71" s="41">
        <v>2.016857640433245E-2</v>
      </c>
    </row>
    <row r="72" spans="3:11" s="124" customFormat="1">
      <c r="C72" s="88">
        <f t="shared" si="33"/>
        <v>2023</v>
      </c>
      <c r="D72" s="41">
        <v>2.3861027991437966E-2</v>
      </c>
      <c r="E72" s="87"/>
      <c r="F72" s="88">
        <f t="shared" si="34"/>
        <v>2032</v>
      </c>
      <c r="G72" s="41">
        <v>2.092650190640466E-2</v>
      </c>
      <c r="H72" s="87"/>
      <c r="I72" s="88">
        <f t="shared" si="35"/>
        <v>2041</v>
      </c>
      <c r="J72" s="88"/>
      <c r="K72" s="41">
        <v>2.0388834681983159E-2</v>
      </c>
    </row>
    <row r="73" spans="3:11" s="124" customFormat="1">
      <c r="C73" s="88">
        <f t="shared" si="33"/>
        <v>2024</v>
      </c>
      <c r="D73" s="41">
        <v>2.3386119938164196E-2</v>
      </c>
      <c r="E73" s="87"/>
      <c r="F73" s="88">
        <f t="shared" si="34"/>
        <v>2033</v>
      </c>
      <c r="G73" s="41">
        <v>2.0801762320284523E-2</v>
      </c>
      <c r="H73" s="87"/>
      <c r="I73" s="88">
        <f t="shared" si="35"/>
        <v>2042</v>
      </c>
      <c r="J73" s="88"/>
      <c r="K73" s="41">
        <v>2.0623380610534037E-2</v>
      </c>
    </row>
    <row r="74" spans="3:11" s="124" customFormat="1">
      <c r="C74" s="88">
        <f t="shared" si="33"/>
        <v>2025</v>
      </c>
      <c r="D74" s="41">
        <v>2.3124371179134462E-2</v>
      </c>
      <c r="E74" s="87"/>
      <c r="F74" s="88">
        <f t="shared" si="34"/>
        <v>2034</v>
      </c>
      <c r="G74" s="41">
        <v>2.065772177898717E-2</v>
      </c>
      <c r="H74" s="87"/>
      <c r="I74" s="88">
        <f t="shared" si="35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topLeftCell="A34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11.511655851958665</v>
      </c>
      <c r="J12" s="135">
        <f t="shared" si="2"/>
        <v>38.32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11.77601538091805</v>
      </c>
      <c r="J13" s="135">
        <f t="shared" si="2"/>
        <v>39.200000000000003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12.088440278779141</v>
      </c>
      <c r="J14" s="135">
        <f t="shared" si="2"/>
        <v>40.24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12.406873347752944</v>
      </c>
      <c r="J15" s="135">
        <f t="shared" si="2"/>
        <v>41.3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12.719298245614038</v>
      </c>
      <c r="J16" s="135">
        <f t="shared" si="2"/>
        <v>42.34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13.022710886806058</v>
      </c>
      <c r="J17" s="135">
        <f t="shared" si="2"/>
        <v>43.35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13.326123527998078</v>
      </c>
      <c r="J18" s="135">
        <f t="shared" si="2"/>
        <v>44.36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13.635544340302813</v>
      </c>
      <c r="J19" s="135">
        <f t="shared" si="2"/>
        <v>45.39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5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47.44</v>
      </c>
      <c r="F21" s="135">
        <f t="shared" si="1"/>
        <v>14.251381879355925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14.251381879355925</v>
      </c>
      <c r="J21" s="135">
        <f t="shared" si="2"/>
        <v>47.44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48.47</v>
      </c>
      <c r="F22" s="135">
        <f t="shared" si="1"/>
        <v>14.560802691660658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14.560802691660658</v>
      </c>
      <c r="J22" s="135">
        <f t="shared" si="2"/>
        <v>48.47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49.53</v>
      </c>
      <c r="F23" s="135">
        <f t="shared" si="1"/>
        <v>14.879235760634463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14.879235760634463</v>
      </c>
      <c r="J23" s="135">
        <f t="shared" si="2"/>
        <v>49.53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50.61</v>
      </c>
      <c r="F24" s="135">
        <f t="shared" si="1"/>
        <v>15.203677000720981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15.203677000720981</v>
      </c>
      <c r="J24" s="135">
        <f t="shared" si="2"/>
        <v>50.61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51.69</v>
      </c>
      <c r="F25" s="135">
        <f t="shared" si="1"/>
        <v>15.528118240807499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15.528118240807499</v>
      </c>
      <c r="J25" s="135">
        <f t="shared" si="2"/>
        <v>51.69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52.77</v>
      </c>
      <c r="F26" s="135">
        <f t="shared" si="1"/>
        <v>15.852559480894017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15.852559480894017</v>
      </c>
      <c r="J26" s="135">
        <f t="shared" si="2"/>
        <v>52.77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53.87</v>
      </c>
      <c r="F27" s="135">
        <f t="shared" si="1"/>
        <v>46.496628505012822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46.496628505012822</v>
      </c>
      <c r="J27" s="135">
        <f t="shared" si="2"/>
        <v>154.78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102.99</v>
      </c>
      <c r="E28" s="133">
        <f t="shared" si="15"/>
        <v>54.98</v>
      </c>
      <c r="F28" s="135">
        <f t="shared" si="1"/>
        <v>47.455539533765922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47.455539533765922</v>
      </c>
      <c r="J28" s="135">
        <f t="shared" si="2"/>
        <v>157.97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105.11</v>
      </c>
      <c r="E29" s="133">
        <f t="shared" si="26"/>
        <v>56.11</v>
      </c>
      <c r="F29" s="135">
        <f t="shared" si="1"/>
        <v>48.431867339581835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48.431867339581835</v>
      </c>
      <c r="J29" s="135">
        <f t="shared" si="2"/>
        <v>161.22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107.25</v>
      </c>
      <c r="E30" s="133">
        <f t="shared" si="26"/>
        <v>57.25</v>
      </c>
      <c r="F30" s="135">
        <f t="shared" si="1"/>
        <v>49.417207402066815</v>
      </c>
      <c r="G30" s="133">
        <f t="shared" si="27"/>
        <v>0</v>
      </c>
      <c r="H30" s="133">
        <f t="shared" si="27"/>
        <v>0</v>
      </c>
      <c r="I30" s="135">
        <f t="shared" si="5"/>
        <v>49.417207402066815</v>
      </c>
      <c r="J30" s="135">
        <f t="shared" si="2"/>
        <v>164.5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109.41</v>
      </c>
      <c r="E31" s="133">
        <f t="shared" si="26"/>
        <v>58.4</v>
      </c>
      <c r="F31" s="135">
        <f t="shared" si="1"/>
        <v>50.411559721220861</v>
      </c>
      <c r="G31" s="133">
        <f t="shared" si="27"/>
        <v>0</v>
      </c>
      <c r="H31" s="133">
        <f t="shared" si="27"/>
        <v>0</v>
      </c>
      <c r="I31" s="135">
        <f t="shared" si="5"/>
        <v>50.411559721220861</v>
      </c>
      <c r="J31" s="135">
        <f t="shared" si="2"/>
        <v>167.81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</v>
      </c>
      <c r="E32" s="133">
        <f t="shared" si="26"/>
        <v>59.57</v>
      </c>
      <c r="F32" s="135">
        <f t="shared" si="1"/>
        <v>51.420932468156693</v>
      </c>
      <c r="G32" s="133">
        <f t="shared" si="27"/>
        <v>0</v>
      </c>
      <c r="H32" s="133">
        <f t="shared" si="27"/>
        <v>0</v>
      </c>
      <c r="I32" s="135">
        <f t="shared" si="5"/>
        <v>51.420932468156693</v>
      </c>
      <c r="J32" s="135">
        <f t="shared" si="2"/>
        <v>171.17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113.84</v>
      </c>
      <c r="E33" s="133">
        <f t="shared" si="26"/>
        <v>60.77</v>
      </c>
      <c r="F33" s="135">
        <f t="shared" si="1"/>
        <v>52.45433789954339</v>
      </c>
      <c r="G33" s="133">
        <f t="shared" si="27"/>
        <v>0</v>
      </c>
      <c r="H33" s="133">
        <f t="shared" si="27"/>
        <v>0</v>
      </c>
      <c r="I33" s="135">
        <f t="shared" si="5"/>
        <v>52.45433789954339</v>
      </c>
      <c r="J33" s="135">
        <f t="shared" si="2"/>
        <v>174.61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116.14</v>
      </c>
      <c r="E34" s="133">
        <f t="shared" si="26"/>
        <v>62</v>
      </c>
      <c r="F34" s="135">
        <f t="shared" si="1"/>
        <v>53.514780100937273</v>
      </c>
      <c r="G34" s="133">
        <f t="shared" si="27"/>
        <v>0</v>
      </c>
      <c r="H34" s="133">
        <f t="shared" si="27"/>
        <v>0</v>
      </c>
      <c r="I34" s="135">
        <f t="shared" si="5"/>
        <v>53.514780100937273</v>
      </c>
      <c r="J34" s="135">
        <f t="shared" si="2"/>
        <v>178.14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118.51</v>
      </c>
      <c r="E35" s="133">
        <f t="shared" si="26"/>
        <v>63.26</v>
      </c>
      <c r="F35" s="135">
        <f t="shared" si="1"/>
        <v>54.605263157894747</v>
      </c>
      <c r="G35" s="133">
        <f t="shared" si="27"/>
        <v>0</v>
      </c>
      <c r="H35" s="133">
        <f t="shared" si="27"/>
        <v>0</v>
      </c>
      <c r="I35" s="135">
        <f t="shared" si="5"/>
        <v>54.605263157894747</v>
      </c>
      <c r="J35" s="135">
        <f t="shared" si="2"/>
        <v>181.77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120.95</v>
      </c>
      <c r="E36" s="133">
        <f t="shared" si="26"/>
        <v>64.56</v>
      </c>
      <c r="F36" s="135">
        <f t="shared" si="1"/>
        <v>55.728791155972125</v>
      </c>
      <c r="G36" s="133">
        <f t="shared" si="27"/>
        <v>0</v>
      </c>
      <c r="H36" s="133">
        <f t="shared" si="27"/>
        <v>0</v>
      </c>
      <c r="I36" s="135">
        <f t="shared" si="5"/>
        <v>55.728791155972125</v>
      </c>
      <c r="J36" s="135">
        <f t="shared" si="2"/>
        <v>185.51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1420.0408201737057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30">C66+1</f>
        <v>2018</v>
      </c>
      <c r="D67" s="41">
        <v>2.00162222805087E-2</v>
      </c>
      <c r="E67" s="86"/>
      <c r="F67" s="88">
        <f t="shared" ref="F67:F74" si="31">F66+1</f>
        <v>2027</v>
      </c>
      <c r="G67" s="41">
        <v>2.2017580891201094E-2</v>
      </c>
      <c r="H67" s="86"/>
      <c r="I67" s="88">
        <f t="shared" ref="I67:I74" si="32">I66+1</f>
        <v>2036</v>
      </c>
      <c r="J67" s="88"/>
      <c r="K67" s="41">
        <v>2.0338413275796441E-2</v>
      </c>
    </row>
    <row r="68" spans="3:11">
      <c r="C68" s="88">
        <f t="shared" si="30"/>
        <v>2019</v>
      </c>
      <c r="D68" s="41">
        <v>2.3023767536204609E-2</v>
      </c>
      <c r="E68" s="86"/>
      <c r="F68" s="88">
        <f t="shared" si="31"/>
        <v>2028</v>
      </c>
      <c r="G68" s="41">
        <v>2.1672038954803963E-2</v>
      </c>
      <c r="H68" s="86"/>
      <c r="I68" s="88">
        <f t="shared" si="32"/>
        <v>2037</v>
      </c>
      <c r="J68" s="88"/>
      <c r="K68" s="41">
        <v>2.0148107799243142E-2</v>
      </c>
    </row>
    <row r="69" spans="3:11">
      <c r="C69" s="88">
        <f t="shared" si="30"/>
        <v>2020</v>
      </c>
      <c r="D69" s="41">
        <v>2.6569957493475238E-2</v>
      </c>
      <c r="E69" s="86"/>
      <c r="F69" s="88">
        <f t="shared" si="31"/>
        <v>2029</v>
      </c>
      <c r="G69" s="41">
        <v>2.1882861611237647E-2</v>
      </c>
      <c r="H69" s="86"/>
      <c r="I69" s="88">
        <f t="shared" si="32"/>
        <v>2038</v>
      </c>
      <c r="J69" s="88"/>
      <c r="K69" s="41">
        <v>1.9981989666423283E-2</v>
      </c>
    </row>
    <row r="70" spans="3:11">
      <c r="C70" s="88">
        <f t="shared" si="30"/>
        <v>2021</v>
      </c>
      <c r="D70" s="41">
        <v>2.633678201148415E-2</v>
      </c>
      <c r="E70" s="86"/>
      <c r="F70" s="88">
        <f t="shared" si="31"/>
        <v>2030</v>
      </c>
      <c r="G70" s="41">
        <v>2.1716430930730724E-2</v>
      </c>
      <c r="H70" s="86"/>
      <c r="I70" s="88">
        <f t="shared" si="32"/>
        <v>2039</v>
      </c>
      <c r="J70" s="88"/>
      <c r="K70" s="41">
        <v>2.0091958569135482E-2</v>
      </c>
    </row>
    <row r="71" spans="3:11">
      <c r="C71" s="88">
        <f t="shared" si="30"/>
        <v>2022</v>
      </c>
      <c r="D71" s="41">
        <v>2.5190838317338926E-2</v>
      </c>
      <c r="E71" s="86"/>
      <c r="F71" s="88">
        <f t="shared" si="31"/>
        <v>2031</v>
      </c>
      <c r="G71" s="41">
        <v>2.1283257880358342E-2</v>
      </c>
      <c r="H71" s="86"/>
      <c r="I71" s="88">
        <f t="shared" si="32"/>
        <v>2040</v>
      </c>
      <c r="J71" s="88"/>
      <c r="K71" s="41">
        <v>2.016857640433245E-2</v>
      </c>
    </row>
    <row r="72" spans="3:11" s="124" customFormat="1">
      <c r="C72" s="88">
        <f t="shared" si="30"/>
        <v>2023</v>
      </c>
      <c r="D72" s="41">
        <v>2.3861027991437966E-2</v>
      </c>
      <c r="E72" s="87"/>
      <c r="F72" s="88">
        <f t="shared" si="31"/>
        <v>2032</v>
      </c>
      <c r="G72" s="41">
        <v>2.092650190640466E-2</v>
      </c>
      <c r="H72" s="87"/>
      <c r="I72" s="88">
        <f t="shared" si="32"/>
        <v>2041</v>
      </c>
      <c r="J72" s="88"/>
      <c r="K72" s="41">
        <v>2.0388834681983159E-2</v>
      </c>
    </row>
    <row r="73" spans="3:11" s="124" customFormat="1">
      <c r="C73" s="88">
        <f t="shared" si="30"/>
        <v>2024</v>
      </c>
      <c r="D73" s="41">
        <v>2.3386119938164196E-2</v>
      </c>
      <c r="E73" s="87"/>
      <c r="F73" s="88">
        <f t="shared" si="31"/>
        <v>2033</v>
      </c>
      <c r="G73" s="41">
        <v>2.0801762320284523E-2</v>
      </c>
      <c r="H73" s="87"/>
      <c r="I73" s="88">
        <f t="shared" si="32"/>
        <v>2042</v>
      </c>
      <c r="J73" s="88"/>
      <c r="K73" s="41">
        <v>2.0623380610534037E-2</v>
      </c>
    </row>
    <row r="74" spans="3:11" s="124" customFormat="1">
      <c r="C74" s="88">
        <f t="shared" si="30"/>
        <v>2025</v>
      </c>
      <c r="D74" s="41">
        <v>2.3124371179134462E-2</v>
      </c>
      <c r="E74" s="87"/>
      <c r="F74" s="88">
        <f t="shared" si="31"/>
        <v>2034</v>
      </c>
      <c r="G74" s="41">
        <v>2.065772177898717E-2</v>
      </c>
      <c r="H74" s="87"/>
      <c r="I74" s="88">
        <f t="shared" si="32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49</vt:i4>
      </vt:variant>
    </vt:vector>
  </HeadingPairs>
  <TitlesOfParts>
    <vt:vector size="72" baseType="lpstr">
      <vt:lpstr>Appendix B.1</vt:lpstr>
      <vt:lpstr>Table 1</vt:lpstr>
      <vt:lpstr>Table 4</vt:lpstr>
      <vt:lpstr>Table 5</vt:lpstr>
      <vt:lpstr>Table 3 TransCost D2 </vt:lpstr>
      <vt:lpstr>Table 3 EV2020 Wind_2020</vt:lpstr>
      <vt:lpstr>Table 3 EV2020 Wind_2021</vt:lpstr>
      <vt:lpstr>Table 3 DJ Wind 2030</vt:lpstr>
      <vt:lpstr>Table 3 ID Wind 2033</vt:lpstr>
      <vt:lpstr>Table 3 WW Wind 2035</vt:lpstr>
      <vt:lpstr>Table 3 YK Wind 2035</vt:lpstr>
      <vt:lpstr>Table 3 OR Wind 2035</vt:lpstr>
      <vt:lpstr>Table 3 UT Wind 2036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B.1'!Print_Area</vt:lpstr>
      <vt:lpstr>'Table 1'!Print_Area</vt:lpstr>
      <vt:lpstr>'Table 3 DJ Wind 2030'!Print_Area</vt:lpstr>
      <vt:lpstr>'Table 3 EV2020 Wind_2020'!Print_Area</vt:lpstr>
      <vt:lpstr>'Table 3 EV2020 Wind_2021'!Print_Area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2018-05-31T20:14:38Z</dcterms:created>
  <dcterms:modified xsi:type="dcterms:W3CDTF">2018-06-01T17:45:35Z</dcterms:modified>
  <cp:contentStatus/>
</cp:coreProperties>
</file>