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defaultThemeVersion="124226"/>
  <bookViews>
    <workbookView xWindow="0" yWindow="0" windowWidth="21570" windowHeight="10935"/>
  </bookViews>
  <sheets>
    <sheet name="Appendix B.2" sheetId="65" r:id="rId1"/>
    <sheet name="Table 1" sheetId="25" r:id="rId2"/>
    <sheet name="Table 2" sheetId="66" r:id="rId3"/>
    <sheet name="Table 3 ID Wind 2033" sheetId="44" r:id="rId4"/>
    <sheet name="Table 4" sheetId="28" r:id="rId5"/>
    <sheet name="Table 5" sheetId="31" r:id="rId6"/>
    <sheet name="Table 3 TransCost D2 " sheetId="47" state="hidden" r:id="rId7"/>
    <sheet name="Table 3 UT Wind 2030" sheetId="63" state="hidden" r:id="rId8"/>
    <sheet name="Table 3 DJ Wind 2030" sheetId="42" state="hidden" r:id="rId9"/>
    <sheet name="Table 3 ID Wind 2030" sheetId="64" state="hidden" r:id="rId10"/>
    <sheet name="Table 3 UT Wind 2036" sheetId="50" state="hidden" r:id="rId11"/>
    <sheet name="Table 3 WW Wind 2035" sheetId="52" state="hidden" r:id="rId12"/>
    <sheet name="Table 3 YK Wind 2035" sheetId="53" state="hidden" r:id="rId13"/>
    <sheet name="Table 3 OR Wind 2035" sheetId="54" state="hidden" r:id="rId14"/>
    <sheet name="Table 3 YK Solar 2030" sheetId="41" state="hidden" r:id="rId15"/>
    <sheet name="Table 3 YK Solar 2032" sheetId="56" state="hidden" r:id="rId16"/>
    <sheet name="Table 3 YK Solar 2033" sheetId="57" state="hidden" r:id="rId17"/>
    <sheet name="Table 3 UT Solar 2033 ST" sheetId="40" state="hidden" r:id="rId18"/>
    <sheet name="Table 3 UT Solar 2035 ST" sheetId="62" state="hidden" r:id="rId19"/>
    <sheet name="Table 3 UT Solar 2035 FT" sheetId="55" state="hidden" r:id="rId20"/>
    <sheet name="Table 3 OR Solar 2030" sheetId="58" state="hidden" r:id="rId21"/>
    <sheet name="Table 3 OR Solar 2031" sheetId="59" state="hidden" r:id="rId22"/>
    <sheet name="Table 3 OR Solar 2032" sheetId="60" state="hidden" r:id="rId23"/>
    <sheet name="Table 3 OR Solar 2033" sheetId="61" state="hidden" r:id="rId24"/>
    <sheet name="Table 3 EV2020 Wind_2020" sheetId="43" state="hidden" r:id="rId25"/>
    <sheet name="Table 3 EV2020 Wind_2021" sheetId="49" state="hidden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200_SCCT_UtahN" localSheetId="2">'Table 1'!$I$19</definedName>
    <definedName name="_200_SCCT_UtahN">'Table 1'!$I$19</definedName>
    <definedName name="_200_SCCT_WYNE">'Table 1'!$I$21</definedName>
    <definedName name="_30_Geo_West" localSheetId="0">'[1]Table 1'!$I$17</definedName>
    <definedName name="_30_Geo_West" localSheetId="2">'Table 1'!$I$17</definedName>
    <definedName name="_30_Geo_West" localSheetId="6">'Table 1'!$I$17</definedName>
    <definedName name="_30_Geo_West">'Table 1'!$I$17</definedName>
    <definedName name="_436_CCCT_WestMain" localSheetId="0">'[1]Table 1'!$I$18</definedName>
    <definedName name="_436_CCCT_WestMain" localSheetId="2">'Table 1'!$I$18</definedName>
    <definedName name="_436_CCCT_WestMain" localSheetId="6">'Table 1'!$I$18</definedName>
    <definedName name="_436_CCCT_WestMain">'Table 1'!$I$18</definedName>
    <definedName name="_477_CCCT_WestMain" localSheetId="0">'[1]Table 1'!$I$18</definedName>
    <definedName name="_477_CCCT_WestMain" localSheetId="2">'[2]Table 1'!$I$18</definedName>
    <definedName name="_477_CCCT_WestMain">'[3]Table 1'!$I$18</definedName>
    <definedName name="_477_CCCT_WYNE">'Table 1'!$I$20</definedName>
    <definedName name="_635_CCCT_UtahS" localSheetId="0">'[1]Table 1'!$I$19</definedName>
    <definedName name="_635_CCCT_UtahS" localSheetId="2">'[2]Table 1'!$I$19</definedName>
    <definedName name="_635_CCCT_UtahS">'[3]Table 1'!$I$19</definedName>
    <definedName name="_635_CCCT_WyoNE" localSheetId="0">'[1]Table 1'!$I$17</definedName>
    <definedName name="_635_CCCT_WyoNE" localSheetId="2">'[2]Table 1'!$I$17</definedName>
    <definedName name="_635_CCCT_WyoNE">'[3]Table 1'!$I$17</definedName>
    <definedName name="_774_Wind_IDGoshen">'Table 1'!$I$23</definedName>
    <definedName name="_85_Wind_DJ_2031">'Table 1'!$I$22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localSheetId="8" hidden="1">{"PRINT",#N/A,TRUE,"APPA";"PRINT",#N/A,TRUE,"APS";"PRINT",#N/A,TRUE,"BHPL";"PRINT",#N/A,TRUE,"BHPL2";"PRINT",#N/A,TRUE,"CDWR";"PRINT",#N/A,TRUE,"EWEB";"PRINT",#N/A,TRUE,"LADWP";"PRINT",#N/A,TRUE,"NEVBASE"}</definedName>
    <definedName name="_j1" localSheetId="24" hidden="1">{"PRINT",#N/A,TRUE,"APPA";"PRINT",#N/A,TRUE,"APS";"PRINT",#N/A,TRUE,"BHPL";"PRINT",#N/A,TRUE,"BHPL2";"PRINT",#N/A,TRUE,"CDWR";"PRINT",#N/A,TRUE,"EWEB";"PRINT",#N/A,TRUE,"LADWP";"PRINT",#N/A,TRUE,"NEVBASE"}</definedName>
    <definedName name="_j1" localSheetId="25" hidden="1">{"PRINT",#N/A,TRUE,"APPA";"PRINT",#N/A,TRUE,"APS";"PRINT",#N/A,TRUE,"BHPL";"PRINT",#N/A,TRUE,"BHPL2";"PRINT",#N/A,TRUE,"CDWR";"PRINT",#N/A,TRUE,"EWEB";"PRINT",#N/A,TRUE,"LADWP";"PRINT",#N/A,TRUE,"NEVBASE"}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localSheetId="3" hidden="1">{"PRINT",#N/A,TRUE,"APPA";"PRINT",#N/A,TRUE,"APS";"PRINT",#N/A,TRUE,"BHPL";"PRINT",#N/A,TRUE,"BHPL2";"PRINT",#N/A,TRUE,"CDWR";"PRINT",#N/A,TRUE,"EWEB";"PRINT",#N/A,TRUE,"LADWP";"PRINT",#N/A,TRUE,"NEVBASE"}</definedName>
    <definedName name="_j1" localSheetId="20" hidden="1">{"PRINT",#N/A,TRUE,"APPA";"PRINT",#N/A,TRUE,"APS";"PRINT",#N/A,TRUE,"BHPL";"PRINT",#N/A,TRUE,"BHPL2";"PRINT",#N/A,TRUE,"CDWR";"PRINT",#N/A,TRUE,"EWEB";"PRINT",#N/A,TRUE,"LADWP";"PRINT",#N/A,TRUE,"NEVBASE"}</definedName>
    <definedName name="_j1" localSheetId="21" hidden="1">{"PRINT",#N/A,TRUE,"APPA";"PRINT",#N/A,TRUE,"APS";"PRINT",#N/A,TRUE,"BHPL";"PRINT",#N/A,TRUE,"BHPL2";"PRINT",#N/A,TRUE,"CDWR";"PRINT",#N/A,TRUE,"EWEB";"PRINT",#N/A,TRUE,"LADWP";"PRINT",#N/A,TRUE,"NEVBASE"}</definedName>
    <definedName name="_j1" localSheetId="22" hidden="1">{"PRINT",#N/A,TRUE,"APPA";"PRINT",#N/A,TRUE,"APS";"PRINT",#N/A,TRUE,"BHPL";"PRINT",#N/A,TRUE,"BHPL2";"PRINT",#N/A,TRUE,"CDWR";"PRINT",#N/A,TRUE,"EWEB";"PRINT",#N/A,TRUE,"LADWP";"PRINT",#N/A,TRUE,"NEVBASE"}</definedName>
    <definedName name="_j1" localSheetId="23" hidden="1">{"PRINT",#N/A,TRUE,"APPA";"PRINT",#N/A,TRUE,"APS";"PRINT",#N/A,TRUE,"BHPL";"PRINT",#N/A,TRUE,"BHPL2";"PRINT",#N/A,TRUE,"CDWR";"PRINT",#N/A,TRUE,"EWEB";"PRINT",#N/A,TRUE,"LADWP";"PRINT",#N/A,TRUE,"NEVBASE"}</definedName>
    <definedName name="_j1" localSheetId="13" hidden="1">{"PRINT",#N/A,TRUE,"APPA";"PRINT",#N/A,TRUE,"APS";"PRINT",#N/A,TRUE,"BHPL";"PRINT",#N/A,TRUE,"BHPL2";"PRINT",#N/A,TRUE,"CDWR";"PRINT",#N/A,TRUE,"EWEB";"PRINT",#N/A,TRUE,"LADWP";"PRINT",#N/A,TRUE,"NEVBASE"}</definedName>
    <definedName name="_j1" localSheetId="6" hidden="1">{"PRINT",#N/A,TRUE,"APPA";"PRINT",#N/A,TRUE,"APS";"PRINT",#N/A,TRUE,"BHPL";"PRINT",#N/A,TRUE,"BHPL2";"PRINT",#N/A,TRUE,"CDWR";"PRINT",#N/A,TRUE,"EWEB";"PRINT",#N/A,TRUE,"LADWP";"PRINT",#N/A,TRUE,"NEVBASE"}</definedName>
    <definedName name="_j1" localSheetId="17" hidden="1">{"PRINT",#N/A,TRUE,"APPA";"PRINT",#N/A,TRUE,"APS";"PRINT",#N/A,TRUE,"BHPL";"PRINT",#N/A,TRUE,"BHPL2";"PRINT",#N/A,TRUE,"CDWR";"PRINT",#N/A,TRUE,"EWEB";"PRINT",#N/A,TRUE,"LADWP";"PRINT",#N/A,TRUE,"NEVBASE"}</definedName>
    <definedName name="_j1" localSheetId="19" hidden="1">{"PRINT",#N/A,TRUE,"APPA";"PRINT",#N/A,TRUE,"APS";"PRINT",#N/A,TRUE,"BHPL";"PRINT",#N/A,TRUE,"BHPL2";"PRINT",#N/A,TRUE,"CDWR";"PRINT",#N/A,TRUE,"EWEB";"PRINT",#N/A,TRUE,"LADWP";"PRINT",#N/A,TRUE,"NEVBASE"}</definedName>
    <definedName name="_j1" localSheetId="18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localSheetId="10" hidden="1">{"PRINT",#N/A,TRUE,"APPA";"PRINT",#N/A,TRUE,"APS";"PRINT",#N/A,TRUE,"BHPL";"PRINT",#N/A,TRUE,"BHPL2";"PRINT",#N/A,TRUE,"CDWR";"PRINT",#N/A,TRUE,"EWEB";"PRINT",#N/A,TRUE,"LADWP";"PRINT",#N/A,TRUE,"NEVBASE"}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localSheetId="14" hidden="1">{"PRINT",#N/A,TRUE,"APPA";"PRINT",#N/A,TRUE,"APS";"PRINT",#N/A,TRUE,"BHPL";"PRINT",#N/A,TRUE,"BHPL2";"PRINT",#N/A,TRUE,"CDWR";"PRINT",#N/A,TRUE,"EWEB";"PRINT",#N/A,TRUE,"LADWP";"PRINT",#N/A,TRUE,"NEVBASE"}</definedName>
    <definedName name="_j1" localSheetId="15" hidden="1">{"PRINT",#N/A,TRUE,"APPA";"PRINT",#N/A,TRUE,"APS";"PRINT",#N/A,TRUE,"BHPL";"PRINT",#N/A,TRUE,"BHPL2";"PRINT",#N/A,TRUE,"CDWR";"PRINT",#N/A,TRUE,"EWEB";"PRINT",#N/A,TRUE,"LADWP";"PRINT",#N/A,TRUE,"NEVBASE"}</definedName>
    <definedName name="_j1" localSheetId="16" hidden="1">{"PRINT",#N/A,TRUE,"APPA";"PRINT",#N/A,TRUE,"APS";"PRINT",#N/A,TRUE,"BHPL";"PRINT",#N/A,TRUE,"BHPL2";"PRINT",#N/A,TRUE,"CDWR";"PRINT",#N/A,TRUE,"EWEB";"PRINT",#N/A,TRUE,"LADWP";"PRINT",#N/A,TRUE,"NEVBASE"}</definedName>
    <definedName name="_j1" localSheetId="12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localSheetId="8" hidden="1">{"PRINT",#N/A,TRUE,"APPA";"PRINT",#N/A,TRUE,"APS";"PRINT",#N/A,TRUE,"BHPL";"PRINT",#N/A,TRUE,"BHPL2";"PRINT",#N/A,TRUE,"CDWR";"PRINT",#N/A,TRUE,"EWEB";"PRINT",#N/A,TRUE,"LADWP";"PRINT",#N/A,TRUE,"NEVBASE"}</definedName>
    <definedName name="_j2" localSheetId="24" hidden="1">{"PRINT",#N/A,TRUE,"APPA";"PRINT",#N/A,TRUE,"APS";"PRINT",#N/A,TRUE,"BHPL";"PRINT",#N/A,TRUE,"BHPL2";"PRINT",#N/A,TRUE,"CDWR";"PRINT",#N/A,TRUE,"EWEB";"PRINT",#N/A,TRUE,"LADWP";"PRINT",#N/A,TRUE,"NEVBASE"}</definedName>
    <definedName name="_j2" localSheetId="25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localSheetId="3" hidden="1">{"PRINT",#N/A,TRUE,"APPA";"PRINT",#N/A,TRUE,"APS";"PRINT",#N/A,TRUE,"BHPL";"PRINT",#N/A,TRUE,"BHPL2";"PRINT",#N/A,TRUE,"CDWR";"PRINT",#N/A,TRUE,"EWEB";"PRINT",#N/A,TRUE,"LADWP";"PRINT",#N/A,TRUE,"NEVBASE"}</definedName>
    <definedName name="_j2" localSheetId="20" hidden="1">{"PRINT",#N/A,TRUE,"APPA";"PRINT",#N/A,TRUE,"APS";"PRINT",#N/A,TRUE,"BHPL";"PRINT",#N/A,TRUE,"BHPL2";"PRINT",#N/A,TRUE,"CDWR";"PRINT",#N/A,TRUE,"EWEB";"PRINT",#N/A,TRUE,"LADWP";"PRINT",#N/A,TRUE,"NEVBASE"}</definedName>
    <definedName name="_j2" localSheetId="21" hidden="1">{"PRINT",#N/A,TRUE,"APPA";"PRINT",#N/A,TRUE,"APS";"PRINT",#N/A,TRUE,"BHPL";"PRINT",#N/A,TRUE,"BHPL2";"PRINT",#N/A,TRUE,"CDWR";"PRINT",#N/A,TRUE,"EWEB";"PRINT",#N/A,TRUE,"LADWP";"PRINT",#N/A,TRUE,"NEVBASE"}</definedName>
    <definedName name="_j2" localSheetId="22" hidden="1">{"PRINT",#N/A,TRUE,"APPA";"PRINT",#N/A,TRUE,"APS";"PRINT",#N/A,TRUE,"BHPL";"PRINT",#N/A,TRUE,"BHPL2";"PRINT",#N/A,TRUE,"CDWR";"PRINT",#N/A,TRUE,"EWEB";"PRINT",#N/A,TRUE,"LADWP";"PRINT",#N/A,TRUE,"NEVBASE"}</definedName>
    <definedName name="_j2" localSheetId="23" hidden="1">{"PRINT",#N/A,TRUE,"APPA";"PRINT",#N/A,TRUE,"APS";"PRINT",#N/A,TRUE,"BHPL";"PRINT",#N/A,TRUE,"BHPL2";"PRINT",#N/A,TRUE,"CDWR";"PRINT",#N/A,TRUE,"EWEB";"PRINT",#N/A,TRUE,"LADWP";"PRINT",#N/A,TRUE,"NEVBASE"}</definedName>
    <definedName name="_j2" localSheetId="13" hidden="1">{"PRINT",#N/A,TRUE,"APPA";"PRINT",#N/A,TRUE,"APS";"PRINT",#N/A,TRUE,"BHPL";"PRINT",#N/A,TRUE,"BHPL2";"PRINT",#N/A,TRUE,"CDWR";"PRINT",#N/A,TRUE,"EWEB";"PRINT",#N/A,TRUE,"LADWP";"PRINT",#N/A,TRUE,"NEVBASE"}</definedName>
    <definedName name="_j2" localSheetId="6" hidden="1">{"PRINT",#N/A,TRUE,"APPA";"PRINT",#N/A,TRUE,"APS";"PRINT",#N/A,TRUE,"BHPL";"PRINT",#N/A,TRUE,"BHPL2";"PRINT",#N/A,TRUE,"CDWR";"PRINT",#N/A,TRUE,"EWEB";"PRINT",#N/A,TRUE,"LADWP";"PRINT",#N/A,TRUE,"NEVBASE"}</definedName>
    <definedName name="_j2" localSheetId="17" hidden="1">{"PRINT",#N/A,TRUE,"APPA";"PRINT",#N/A,TRUE,"APS";"PRINT",#N/A,TRUE,"BHPL";"PRINT",#N/A,TRUE,"BHPL2";"PRINT",#N/A,TRUE,"CDWR";"PRINT",#N/A,TRUE,"EWEB";"PRINT",#N/A,TRUE,"LADWP";"PRINT",#N/A,TRUE,"NEVBASE"}</definedName>
    <definedName name="_j2" localSheetId="19" hidden="1">{"PRINT",#N/A,TRUE,"APPA";"PRINT",#N/A,TRUE,"APS";"PRINT",#N/A,TRUE,"BHPL";"PRINT",#N/A,TRUE,"BHPL2";"PRINT",#N/A,TRUE,"CDWR";"PRINT",#N/A,TRUE,"EWEB";"PRINT",#N/A,TRUE,"LADWP";"PRINT",#N/A,TRUE,"NEVBASE"}</definedName>
    <definedName name="_j2" localSheetId="18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localSheetId="10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localSheetId="14" hidden="1">{"PRINT",#N/A,TRUE,"APPA";"PRINT",#N/A,TRUE,"APS";"PRINT",#N/A,TRUE,"BHPL";"PRINT",#N/A,TRUE,"BHPL2";"PRINT",#N/A,TRUE,"CDWR";"PRINT",#N/A,TRUE,"EWEB";"PRINT",#N/A,TRUE,"LADWP";"PRINT",#N/A,TRUE,"NEVBASE"}</definedName>
    <definedName name="_j2" localSheetId="15" hidden="1">{"PRINT",#N/A,TRUE,"APPA";"PRINT",#N/A,TRUE,"APS";"PRINT",#N/A,TRUE,"BHPL";"PRINT",#N/A,TRUE,"BHPL2";"PRINT",#N/A,TRUE,"CDWR";"PRINT",#N/A,TRUE,"EWEB";"PRINT",#N/A,TRUE,"LADWP";"PRINT",#N/A,TRUE,"NEVBASE"}</definedName>
    <definedName name="_j2" localSheetId="16" hidden="1">{"PRINT",#N/A,TRUE,"APPA";"PRINT",#N/A,TRUE,"APS";"PRINT",#N/A,TRUE,"BHPL";"PRINT",#N/A,TRUE,"BHPL2";"PRINT",#N/A,TRUE,"CDWR";"PRINT",#N/A,TRUE,"EWEB";"PRINT",#N/A,TRUE,"LADWP";"PRINT",#N/A,TRUE,"NEVBASE"}</definedName>
    <definedName name="_j2" localSheetId="12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localSheetId="8" hidden="1">{"PRINT",#N/A,TRUE,"APPA";"PRINT",#N/A,TRUE,"APS";"PRINT",#N/A,TRUE,"BHPL";"PRINT",#N/A,TRUE,"BHPL2";"PRINT",#N/A,TRUE,"CDWR";"PRINT",#N/A,TRUE,"EWEB";"PRINT",#N/A,TRUE,"LADWP";"PRINT",#N/A,TRUE,"NEVBASE"}</definedName>
    <definedName name="_j3" localSheetId="24" hidden="1">{"PRINT",#N/A,TRUE,"APPA";"PRINT",#N/A,TRUE,"APS";"PRINT",#N/A,TRUE,"BHPL";"PRINT",#N/A,TRUE,"BHPL2";"PRINT",#N/A,TRUE,"CDWR";"PRINT",#N/A,TRUE,"EWEB";"PRINT",#N/A,TRUE,"LADWP";"PRINT",#N/A,TRUE,"NEVBASE"}</definedName>
    <definedName name="_j3" localSheetId="25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localSheetId="3" hidden="1">{"PRINT",#N/A,TRUE,"APPA";"PRINT",#N/A,TRUE,"APS";"PRINT",#N/A,TRUE,"BHPL";"PRINT",#N/A,TRUE,"BHPL2";"PRINT",#N/A,TRUE,"CDWR";"PRINT",#N/A,TRUE,"EWEB";"PRINT",#N/A,TRUE,"LADWP";"PRINT",#N/A,TRUE,"NEVBASE"}</definedName>
    <definedName name="_j3" localSheetId="20" hidden="1">{"PRINT",#N/A,TRUE,"APPA";"PRINT",#N/A,TRUE,"APS";"PRINT",#N/A,TRUE,"BHPL";"PRINT",#N/A,TRUE,"BHPL2";"PRINT",#N/A,TRUE,"CDWR";"PRINT",#N/A,TRUE,"EWEB";"PRINT",#N/A,TRUE,"LADWP";"PRINT",#N/A,TRUE,"NEVBASE"}</definedName>
    <definedName name="_j3" localSheetId="21" hidden="1">{"PRINT",#N/A,TRUE,"APPA";"PRINT",#N/A,TRUE,"APS";"PRINT",#N/A,TRUE,"BHPL";"PRINT",#N/A,TRUE,"BHPL2";"PRINT",#N/A,TRUE,"CDWR";"PRINT",#N/A,TRUE,"EWEB";"PRINT",#N/A,TRUE,"LADWP";"PRINT",#N/A,TRUE,"NEVBASE"}</definedName>
    <definedName name="_j3" localSheetId="22" hidden="1">{"PRINT",#N/A,TRUE,"APPA";"PRINT",#N/A,TRUE,"APS";"PRINT",#N/A,TRUE,"BHPL";"PRINT",#N/A,TRUE,"BHPL2";"PRINT",#N/A,TRUE,"CDWR";"PRINT",#N/A,TRUE,"EWEB";"PRINT",#N/A,TRUE,"LADWP";"PRINT",#N/A,TRUE,"NEVBASE"}</definedName>
    <definedName name="_j3" localSheetId="23" hidden="1">{"PRINT",#N/A,TRUE,"APPA";"PRINT",#N/A,TRUE,"APS";"PRINT",#N/A,TRUE,"BHPL";"PRINT",#N/A,TRUE,"BHPL2";"PRINT",#N/A,TRUE,"CDWR";"PRINT",#N/A,TRUE,"EWEB";"PRINT",#N/A,TRUE,"LADWP";"PRINT",#N/A,TRUE,"NEVBASE"}</definedName>
    <definedName name="_j3" localSheetId="13" hidden="1">{"PRINT",#N/A,TRUE,"APPA";"PRINT",#N/A,TRUE,"APS";"PRINT",#N/A,TRUE,"BHPL";"PRINT",#N/A,TRUE,"BHPL2";"PRINT",#N/A,TRUE,"CDWR";"PRINT",#N/A,TRUE,"EWEB";"PRINT",#N/A,TRUE,"LADWP";"PRINT",#N/A,TRUE,"NEVBASE"}</definedName>
    <definedName name="_j3" localSheetId="6" hidden="1">{"PRINT",#N/A,TRUE,"APPA";"PRINT",#N/A,TRUE,"APS";"PRINT",#N/A,TRUE,"BHPL";"PRINT",#N/A,TRUE,"BHPL2";"PRINT",#N/A,TRUE,"CDWR";"PRINT",#N/A,TRUE,"EWEB";"PRINT",#N/A,TRUE,"LADWP";"PRINT",#N/A,TRUE,"NEVBASE"}</definedName>
    <definedName name="_j3" localSheetId="17" hidden="1">{"PRINT",#N/A,TRUE,"APPA";"PRINT",#N/A,TRUE,"APS";"PRINT",#N/A,TRUE,"BHPL";"PRINT",#N/A,TRUE,"BHPL2";"PRINT",#N/A,TRUE,"CDWR";"PRINT",#N/A,TRUE,"EWEB";"PRINT",#N/A,TRUE,"LADWP";"PRINT",#N/A,TRUE,"NEVBASE"}</definedName>
    <definedName name="_j3" localSheetId="19" hidden="1">{"PRINT",#N/A,TRUE,"APPA";"PRINT",#N/A,TRUE,"APS";"PRINT",#N/A,TRUE,"BHPL";"PRINT",#N/A,TRUE,"BHPL2";"PRINT",#N/A,TRUE,"CDWR";"PRINT",#N/A,TRUE,"EWEB";"PRINT",#N/A,TRUE,"LADWP";"PRINT",#N/A,TRUE,"NEVBASE"}</definedName>
    <definedName name="_j3" localSheetId="18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localSheetId="10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localSheetId="14" hidden="1">{"PRINT",#N/A,TRUE,"APPA";"PRINT",#N/A,TRUE,"APS";"PRINT",#N/A,TRUE,"BHPL";"PRINT",#N/A,TRUE,"BHPL2";"PRINT",#N/A,TRUE,"CDWR";"PRINT",#N/A,TRUE,"EWEB";"PRINT",#N/A,TRUE,"LADWP";"PRINT",#N/A,TRUE,"NEVBASE"}</definedName>
    <definedName name="_j3" localSheetId="15" hidden="1">{"PRINT",#N/A,TRUE,"APPA";"PRINT",#N/A,TRUE,"APS";"PRINT",#N/A,TRUE,"BHPL";"PRINT",#N/A,TRUE,"BHPL2";"PRINT",#N/A,TRUE,"CDWR";"PRINT",#N/A,TRUE,"EWEB";"PRINT",#N/A,TRUE,"LADWP";"PRINT",#N/A,TRUE,"NEVBASE"}</definedName>
    <definedName name="_j3" localSheetId="16" hidden="1">{"PRINT",#N/A,TRUE,"APPA";"PRINT",#N/A,TRUE,"APS";"PRINT",#N/A,TRUE,"BHPL";"PRINT",#N/A,TRUE,"BHPL2";"PRINT",#N/A,TRUE,"CDWR";"PRINT",#N/A,TRUE,"EWEB";"PRINT",#N/A,TRUE,"LADWP";"PRINT",#N/A,TRUE,"NEVBASE"}</definedName>
    <definedName name="_j3" localSheetId="1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localSheetId="8" hidden="1">{"PRINT",#N/A,TRUE,"APPA";"PRINT",#N/A,TRUE,"APS";"PRINT",#N/A,TRUE,"BHPL";"PRINT",#N/A,TRUE,"BHPL2";"PRINT",#N/A,TRUE,"CDWR";"PRINT",#N/A,TRUE,"EWEB";"PRINT",#N/A,TRUE,"LADWP";"PRINT",#N/A,TRUE,"NEVBASE"}</definedName>
    <definedName name="_j4" localSheetId="24" hidden="1">{"PRINT",#N/A,TRUE,"APPA";"PRINT",#N/A,TRUE,"APS";"PRINT",#N/A,TRUE,"BHPL";"PRINT",#N/A,TRUE,"BHPL2";"PRINT",#N/A,TRUE,"CDWR";"PRINT",#N/A,TRUE,"EWEB";"PRINT",#N/A,TRUE,"LADWP";"PRINT",#N/A,TRUE,"NEVBASE"}</definedName>
    <definedName name="_j4" localSheetId="25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localSheetId="3" hidden="1">{"PRINT",#N/A,TRUE,"APPA";"PRINT",#N/A,TRUE,"APS";"PRINT",#N/A,TRUE,"BHPL";"PRINT",#N/A,TRUE,"BHPL2";"PRINT",#N/A,TRUE,"CDWR";"PRINT",#N/A,TRUE,"EWEB";"PRINT",#N/A,TRUE,"LADWP";"PRINT",#N/A,TRUE,"NEVBASE"}</definedName>
    <definedName name="_j4" localSheetId="20" hidden="1">{"PRINT",#N/A,TRUE,"APPA";"PRINT",#N/A,TRUE,"APS";"PRINT",#N/A,TRUE,"BHPL";"PRINT",#N/A,TRUE,"BHPL2";"PRINT",#N/A,TRUE,"CDWR";"PRINT",#N/A,TRUE,"EWEB";"PRINT",#N/A,TRUE,"LADWP";"PRINT",#N/A,TRUE,"NEVBASE"}</definedName>
    <definedName name="_j4" localSheetId="21" hidden="1">{"PRINT",#N/A,TRUE,"APPA";"PRINT",#N/A,TRUE,"APS";"PRINT",#N/A,TRUE,"BHPL";"PRINT",#N/A,TRUE,"BHPL2";"PRINT",#N/A,TRUE,"CDWR";"PRINT",#N/A,TRUE,"EWEB";"PRINT",#N/A,TRUE,"LADWP";"PRINT",#N/A,TRUE,"NEVBASE"}</definedName>
    <definedName name="_j4" localSheetId="22" hidden="1">{"PRINT",#N/A,TRUE,"APPA";"PRINT",#N/A,TRUE,"APS";"PRINT",#N/A,TRUE,"BHPL";"PRINT",#N/A,TRUE,"BHPL2";"PRINT",#N/A,TRUE,"CDWR";"PRINT",#N/A,TRUE,"EWEB";"PRINT",#N/A,TRUE,"LADWP";"PRINT",#N/A,TRUE,"NEVBASE"}</definedName>
    <definedName name="_j4" localSheetId="23" hidden="1">{"PRINT",#N/A,TRUE,"APPA";"PRINT",#N/A,TRUE,"APS";"PRINT",#N/A,TRUE,"BHPL";"PRINT",#N/A,TRUE,"BHPL2";"PRINT",#N/A,TRUE,"CDWR";"PRINT",#N/A,TRUE,"EWEB";"PRINT",#N/A,TRUE,"LADWP";"PRINT",#N/A,TRUE,"NEVBASE"}</definedName>
    <definedName name="_j4" localSheetId="13" hidden="1">{"PRINT",#N/A,TRUE,"APPA";"PRINT",#N/A,TRUE,"APS";"PRINT",#N/A,TRUE,"BHPL";"PRINT",#N/A,TRUE,"BHPL2";"PRINT",#N/A,TRUE,"CDWR";"PRINT",#N/A,TRUE,"EWEB";"PRINT",#N/A,TRUE,"LADWP";"PRINT",#N/A,TRUE,"NEVBASE"}</definedName>
    <definedName name="_j4" localSheetId="6" hidden="1">{"PRINT",#N/A,TRUE,"APPA";"PRINT",#N/A,TRUE,"APS";"PRINT",#N/A,TRUE,"BHPL";"PRINT",#N/A,TRUE,"BHPL2";"PRINT",#N/A,TRUE,"CDWR";"PRINT",#N/A,TRUE,"EWEB";"PRINT",#N/A,TRUE,"LADWP";"PRINT",#N/A,TRUE,"NEVBASE"}</definedName>
    <definedName name="_j4" localSheetId="17" hidden="1">{"PRINT",#N/A,TRUE,"APPA";"PRINT",#N/A,TRUE,"APS";"PRINT",#N/A,TRUE,"BHPL";"PRINT",#N/A,TRUE,"BHPL2";"PRINT",#N/A,TRUE,"CDWR";"PRINT",#N/A,TRUE,"EWEB";"PRINT",#N/A,TRUE,"LADWP";"PRINT",#N/A,TRUE,"NEVBASE"}</definedName>
    <definedName name="_j4" localSheetId="19" hidden="1">{"PRINT",#N/A,TRUE,"APPA";"PRINT",#N/A,TRUE,"APS";"PRINT",#N/A,TRUE,"BHPL";"PRINT",#N/A,TRUE,"BHPL2";"PRINT",#N/A,TRUE,"CDWR";"PRINT",#N/A,TRUE,"EWEB";"PRINT",#N/A,TRUE,"LADWP";"PRINT",#N/A,TRUE,"NEVBASE"}</definedName>
    <definedName name="_j4" localSheetId="18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localSheetId="10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localSheetId="14" hidden="1">{"PRINT",#N/A,TRUE,"APPA";"PRINT",#N/A,TRUE,"APS";"PRINT",#N/A,TRUE,"BHPL";"PRINT",#N/A,TRUE,"BHPL2";"PRINT",#N/A,TRUE,"CDWR";"PRINT",#N/A,TRUE,"EWEB";"PRINT",#N/A,TRUE,"LADWP";"PRINT",#N/A,TRUE,"NEVBASE"}</definedName>
    <definedName name="_j4" localSheetId="15" hidden="1">{"PRINT",#N/A,TRUE,"APPA";"PRINT",#N/A,TRUE,"APS";"PRINT",#N/A,TRUE,"BHPL";"PRINT",#N/A,TRUE,"BHPL2";"PRINT",#N/A,TRUE,"CDWR";"PRINT",#N/A,TRUE,"EWEB";"PRINT",#N/A,TRUE,"LADWP";"PRINT",#N/A,TRUE,"NEVBASE"}</definedName>
    <definedName name="_j4" localSheetId="16" hidden="1">{"PRINT",#N/A,TRUE,"APPA";"PRINT",#N/A,TRUE,"APS";"PRINT",#N/A,TRUE,"BHPL";"PRINT",#N/A,TRUE,"BHPL2";"PRINT",#N/A,TRUE,"CDWR";"PRINT",#N/A,TRUE,"EWEB";"PRINT",#N/A,TRUE,"LADWP";"PRINT",#N/A,TRUE,"NEVBASE"}</definedName>
    <definedName name="_j4" localSheetId="12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localSheetId="8" hidden="1">{"PRINT",#N/A,TRUE,"APPA";"PRINT",#N/A,TRUE,"APS";"PRINT",#N/A,TRUE,"BHPL";"PRINT",#N/A,TRUE,"BHPL2";"PRINT",#N/A,TRUE,"CDWR";"PRINT",#N/A,TRUE,"EWEB";"PRINT",#N/A,TRUE,"LADWP";"PRINT",#N/A,TRUE,"NEVBASE"}</definedName>
    <definedName name="_j5" localSheetId="24" hidden="1">{"PRINT",#N/A,TRUE,"APPA";"PRINT",#N/A,TRUE,"APS";"PRINT",#N/A,TRUE,"BHPL";"PRINT",#N/A,TRUE,"BHPL2";"PRINT",#N/A,TRUE,"CDWR";"PRINT",#N/A,TRUE,"EWEB";"PRINT",#N/A,TRUE,"LADWP";"PRINT",#N/A,TRUE,"NEVBASE"}</definedName>
    <definedName name="_j5" localSheetId="25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localSheetId="3" hidden="1">{"PRINT",#N/A,TRUE,"APPA";"PRINT",#N/A,TRUE,"APS";"PRINT",#N/A,TRUE,"BHPL";"PRINT",#N/A,TRUE,"BHPL2";"PRINT",#N/A,TRUE,"CDWR";"PRINT",#N/A,TRUE,"EWEB";"PRINT",#N/A,TRUE,"LADWP";"PRINT",#N/A,TRUE,"NEVBASE"}</definedName>
    <definedName name="_j5" localSheetId="20" hidden="1">{"PRINT",#N/A,TRUE,"APPA";"PRINT",#N/A,TRUE,"APS";"PRINT",#N/A,TRUE,"BHPL";"PRINT",#N/A,TRUE,"BHPL2";"PRINT",#N/A,TRUE,"CDWR";"PRINT",#N/A,TRUE,"EWEB";"PRINT",#N/A,TRUE,"LADWP";"PRINT",#N/A,TRUE,"NEVBASE"}</definedName>
    <definedName name="_j5" localSheetId="21" hidden="1">{"PRINT",#N/A,TRUE,"APPA";"PRINT",#N/A,TRUE,"APS";"PRINT",#N/A,TRUE,"BHPL";"PRINT",#N/A,TRUE,"BHPL2";"PRINT",#N/A,TRUE,"CDWR";"PRINT",#N/A,TRUE,"EWEB";"PRINT",#N/A,TRUE,"LADWP";"PRINT",#N/A,TRUE,"NEVBASE"}</definedName>
    <definedName name="_j5" localSheetId="22" hidden="1">{"PRINT",#N/A,TRUE,"APPA";"PRINT",#N/A,TRUE,"APS";"PRINT",#N/A,TRUE,"BHPL";"PRINT",#N/A,TRUE,"BHPL2";"PRINT",#N/A,TRUE,"CDWR";"PRINT",#N/A,TRUE,"EWEB";"PRINT",#N/A,TRUE,"LADWP";"PRINT",#N/A,TRUE,"NEVBASE"}</definedName>
    <definedName name="_j5" localSheetId="23" hidden="1">{"PRINT",#N/A,TRUE,"APPA";"PRINT",#N/A,TRUE,"APS";"PRINT",#N/A,TRUE,"BHPL";"PRINT",#N/A,TRUE,"BHPL2";"PRINT",#N/A,TRUE,"CDWR";"PRINT",#N/A,TRUE,"EWEB";"PRINT",#N/A,TRUE,"LADWP";"PRINT",#N/A,TRUE,"NEVBASE"}</definedName>
    <definedName name="_j5" localSheetId="13" hidden="1">{"PRINT",#N/A,TRUE,"APPA";"PRINT",#N/A,TRUE,"APS";"PRINT",#N/A,TRUE,"BHPL";"PRINT",#N/A,TRUE,"BHPL2";"PRINT",#N/A,TRUE,"CDWR";"PRINT",#N/A,TRUE,"EWEB";"PRINT",#N/A,TRUE,"LADWP";"PRINT",#N/A,TRUE,"NEVBASE"}</definedName>
    <definedName name="_j5" localSheetId="6" hidden="1">{"PRINT",#N/A,TRUE,"APPA";"PRINT",#N/A,TRUE,"APS";"PRINT",#N/A,TRUE,"BHPL";"PRINT",#N/A,TRUE,"BHPL2";"PRINT",#N/A,TRUE,"CDWR";"PRINT",#N/A,TRUE,"EWEB";"PRINT",#N/A,TRUE,"LADWP";"PRINT",#N/A,TRUE,"NEVBASE"}</definedName>
    <definedName name="_j5" localSheetId="17" hidden="1">{"PRINT",#N/A,TRUE,"APPA";"PRINT",#N/A,TRUE,"APS";"PRINT",#N/A,TRUE,"BHPL";"PRINT",#N/A,TRUE,"BHPL2";"PRINT",#N/A,TRUE,"CDWR";"PRINT",#N/A,TRUE,"EWEB";"PRINT",#N/A,TRUE,"LADWP";"PRINT",#N/A,TRUE,"NEVBASE"}</definedName>
    <definedName name="_j5" localSheetId="19" hidden="1">{"PRINT",#N/A,TRUE,"APPA";"PRINT",#N/A,TRUE,"APS";"PRINT",#N/A,TRUE,"BHPL";"PRINT",#N/A,TRUE,"BHPL2";"PRINT",#N/A,TRUE,"CDWR";"PRINT",#N/A,TRUE,"EWEB";"PRINT",#N/A,TRUE,"LADWP";"PRINT",#N/A,TRUE,"NEVBASE"}</definedName>
    <definedName name="_j5" localSheetId="18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localSheetId="10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localSheetId="14" hidden="1">{"PRINT",#N/A,TRUE,"APPA";"PRINT",#N/A,TRUE,"APS";"PRINT",#N/A,TRUE,"BHPL";"PRINT",#N/A,TRUE,"BHPL2";"PRINT",#N/A,TRUE,"CDWR";"PRINT",#N/A,TRUE,"EWEB";"PRINT",#N/A,TRUE,"LADWP";"PRINT",#N/A,TRUE,"NEVBASE"}</definedName>
    <definedName name="_j5" localSheetId="15" hidden="1">{"PRINT",#N/A,TRUE,"APPA";"PRINT",#N/A,TRUE,"APS";"PRINT",#N/A,TRUE,"BHPL";"PRINT",#N/A,TRUE,"BHPL2";"PRINT",#N/A,TRUE,"CDWR";"PRINT",#N/A,TRUE,"EWEB";"PRINT",#N/A,TRUE,"LADWP";"PRINT",#N/A,TRUE,"NEVBASE"}</definedName>
    <definedName name="_j5" localSheetId="16" hidden="1">{"PRINT",#N/A,TRUE,"APPA";"PRINT",#N/A,TRUE,"APS";"PRINT",#N/A,TRUE,"BHPL";"PRINT",#N/A,TRUE,"BHPL2";"PRINT",#N/A,TRUE,"CDWR";"PRINT",#N/A,TRUE,"EWEB";"PRINT",#N/A,TRUE,"LADWP";"PRINT",#N/A,TRUE,"NEVBASE"}</definedName>
    <definedName name="_j5" localSheetId="12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 localSheetId="2">'Table 1'!#REF!</definedName>
    <definedName name="_Percent_Last_CCCT">'[4]Table 1'!#REF!</definedName>
    <definedName name="_UtahS_Solar_2031">'Table 1'!$I$30</definedName>
    <definedName name="_UtahS_Solar_2032">'Table 1'!$I$31</definedName>
    <definedName name="_UtahS_Solar_2033">'Table 1'!$I$32</definedName>
    <definedName name="_UtahS_Solar_2034">'Table 1'!$I$33</definedName>
    <definedName name="_UtahS_Solar_2035">'Table 1'!$I$34</definedName>
    <definedName name="_UtahS_Solar_2036">'Table 1'!$I$35</definedName>
    <definedName name="_Yakima_Solar_2028">'Table 1'!$I$24</definedName>
    <definedName name="_Yakima_Solar_2029">'Table 1'!$I$25</definedName>
    <definedName name="_Yakima_Solar_2031">'Table 1'!$I$26</definedName>
    <definedName name="_Yakima_Solar_2032">'Table 1'!$I$27</definedName>
    <definedName name="_Yakima_Solar_2033">'Table 1'!$I$28</definedName>
    <definedName name="_Yakima_Solar_2034">'Table 1'!$I$29</definedName>
    <definedName name="dateTable">'[5]on off peak hours'!$C$15:$ED$15</definedName>
    <definedName name="Discount_Rate" localSheetId="0">'Table 1'!$I$39</definedName>
    <definedName name="Discount_Rate" localSheetId="2">'[2]Table 1'!$I$35</definedName>
    <definedName name="Discount_Rate">'Table 1'!$I$39</definedName>
    <definedName name="Discount_Rate_2015_IRP" localSheetId="8">'[6]Table 7 to 8'!$AE$43</definedName>
    <definedName name="Discount_Rate_2015_IRP" localSheetId="24">'[6]Table 7 to 8'!$AE$43</definedName>
    <definedName name="Discount_Rate_2015_IRP" localSheetId="25">'[6]Table 7 to 8'!$AE$43</definedName>
    <definedName name="Discount_Rate_2015_IRP" localSheetId="9">'[6]Table 7 to 8'!$AE$43</definedName>
    <definedName name="Discount_Rate_2015_IRP" localSheetId="3">'[6]Table 7 to 8'!$AE$43</definedName>
    <definedName name="Discount_Rate_2015_IRP" localSheetId="20">'[6]Table 7 to 8'!$AE$43</definedName>
    <definedName name="Discount_Rate_2015_IRP" localSheetId="21">'[6]Table 7 to 8'!$AE$43</definedName>
    <definedName name="Discount_Rate_2015_IRP" localSheetId="22">'[6]Table 7 to 8'!$AE$43</definedName>
    <definedName name="Discount_Rate_2015_IRP" localSheetId="23">'[6]Table 7 to 8'!$AE$43</definedName>
    <definedName name="Discount_Rate_2015_IRP" localSheetId="13">'[6]Table 7 to 8'!$AE$43</definedName>
    <definedName name="Discount_Rate_2015_IRP" localSheetId="6">'[6]Table 7 to 8'!$AE$43</definedName>
    <definedName name="Discount_Rate_2015_IRP" localSheetId="17">'[6]Table 7 to 8'!$AE$43</definedName>
    <definedName name="Discount_Rate_2015_IRP" localSheetId="19">'[6]Table 7 to 8'!$AE$43</definedName>
    <definedName name="Discount_Rate_2015_IRP" localSheetId="18">'[6]Table 7 to 8'!$AE$43</definedName>
    <definedName name="Discount_Rate_2015_IRP" localSheetId="7">'[6]Table 7 to 8'!$AE$43</definedName>
    <definedName name="Discount_Rate_2015_IRP" localSheetId="10">'[6]Table 7 to 8'!$AE$43</definedName>
    <definedName name="Discount_Rate_2015_IRP" localSheetId="11">'[6]Table 7 to 8'!$AE$43</definedName>
    <definedName name="Discount_Rate_2015_IRP" localSheetId="14">'[6]Table 7 to 8'!$AE$43</definedName>
    <definedName name="Discount_Rate_2015_IRP" localSheetId="15">'[6]Table 7 to 8'!$AE$43</definedName>
    <definedName name="Discount_Rate_2015_IRP" localSheetId="16">'[6]Table 7 to 8'!$AE$43</definedName>
    <definedName name="Discount_Rate_2015_IRP" localSheetId="12">'[6]Table 7 to 8'!$AE$43</definedName>
    <definedName name="Discount_Rate_2015_IRP">'[7]Table 7 to 8'!$AE$43</definedName>
    <definedName name="DispatchSum">"GRID Thermal Generation!R2C1:R4C2"</definedName>
    <definedName name="FixedSolar_Capacity_Contr">'[7]Exhibit 3- Std FixedSolar QF'!$G$53</definedName>
    <definedName name="HoursHoliday">'[5]on off peak hours'!$C$16:$ED$20</definedName>
    <definedName name="Market" localSheetId="8">'[8]OFPC Source'!$J$8:$M$295</definedName>
    <definedName name="Market" localSheetId="24">'[8]OFPC Source'!$J$8:$M$295</definedName>
    <definedName name="Market" localSheetId="25">'[8]OFPC Source'!$J$8:$M$295</definedName>
    <definedName name="Market" localSheetId="9">'[8]OFPC Source'!$J$8:$M$295</definedName>
    <definedName name="Market" localSheetId="3">'[8]OFPC Source'!$J$8:$M$295</definedName>
    <definedName name="Market" localSheetId="20">'[8]OFPC Source'!$J$8:$M$295</definedName>
    <definedName name="Market" localSheetId="21">'[8]OFPC Source'!$J$8:$M$295</definedName>
    <definedName name="Market" localSheetId="22">'[8]OFPC Source'!$J$8:$M$295</definedName>
    <definedName name="Market" localSheetId="23">'[8]OFPC Source'!$J$8:$M$295</definedName>
    <definedName name="Market" localSheetId="13">'[8]OFPC Source'!$J$8:$M$295</definedName>
    <definedName name="Market" localSheetId="6">'[8]OFPC Source'!$J$8:$M$295</definedName>
    <definedName name="Market" localSheetId="17">'[8]OFPC Source'!$J$8:$M$295</definedName>
    <definedName name="Market" localSheetId="19">'[8]OFPC Source'!$J$8:$M$295</definedName>
    <definedName name="Market" localSheetId="18">'[8]OFPC Source'!$J$8:$M$295</definedName>
    <definedName name="Market" localSheetId="7">'[8]OFPC Source'!$J$8:$M$295</definedName>
    <definedName name="Market" localSheetId="10">'[8]OFPC Source'!$J$8:$M$295</definedName>
    <definedName name="Market" localSheetId="11">'[8]OFPC Source'!$J$8:$M$295</definedName>
    <definedName name="Market" localSheetId="14">'[8]OFPC Source'!$J$8:$M$295</definedName>
    <definedName name="Market" localSheetId="15">'[8]OFPC Source'!$J$8:$M$295</definedName>
    <definedName name="Market" localSheetId="16">'[8]OFPC Source'!$J$8:$M$295</definedName>
    <definedName name="Market" localSheetId="12">'[8]OFPC Source'!$J$8:$M$295</definedName>
    <definedName name="Market">'[7]OFPC Source'!$J$8:$M$295</definedName>
    <definedName name="MidC_Flat" localSheetId="2">[9]Market_Price!#REF!</definedName>
    <definedName name="MidC_Flat">[9]Market_Price!#REF!</definedName>
    <definedName name="OR_AC_price" localSheetId="2">#REF!</definedName>
    <definedName name="OR_AC_price">#REF!</definedName>
    <definedName name="_xlnm.Print_Area" localSheetId="0">'Appendix B.2'!$A$1:$F$37</definedName>
    <definedName name="_xlnm.Print_Area" localSheetId="1">'Table 1'!$A$1:$H$72</definedName>
    <definedName name="_xlnm.Print_Area" localSheetId="2">'Table 2'!$B$1:$P$36</definedName>
    <definedName name="_xlnm.Print_Area" localSheetId="8">'Table 3 DJ Wind 2030'!$A$1:$K$74</definedName>
    <definedName name="_xlnm.Print_Area" localSheetId="24">'Table 3 EV2020 Wind_2020'!$A$1:$M$74</definedName>
    <definedName name="_xlnm.Print_Area" localSheetId="25">'Table 3 EV2020 Wind_2021'!$A$1:$M$74</definedName>
    <definedName name="_xlnm.Print_Area" localSheetId="9">'Table 3 ID Wind 2030'!$A$1:$K$74</definedName>
    <definedName name="_xlnm.Print_Area" localSheetId="3">'Table 3 ID Wind 2033'!$A$1:$K$74</definedName>
    <definedName name="_xlnm.Print_Area" localSheetId="20">'Table 3 OR Solar 2030'!$A$1:$K$74</definedName>
    <definedName name="_xlnm.Print_Area" localSheetId="21">'Table 3 OR Solar 2031'!$A$1:$K$74</definedName>
    <definedName name="_xlnm.Print_Area" localSheetId="22">'Table 3 OR Solar 2032'!$A$1:$K$74</definedName>
    <definedName name="_xlnm.Print_Area" localSheetId="23">'Table 3 OR Solar 2033'!$A$1:$K$74</definedName>
    <definedName name="_xlnm.Print_Area" localSheetId="13">'Table 3 OR Wind 2035'!$A$1:$K$74</definedName>
    <definedName name="_xlnm.Print_Area" localSheetId="6">'Table 3 TransCost D2 '!$A$1:$K$49</definedName>
    <definedName name="_xlnm.Print_Area" localSheetId="17">'Table 3 UT Solar 2033 ST'!$A$1:$K$74</definedName>
    <definedName name="_xlnm.Print_Area" localSheetId="19">'Table 3 UT Solar 2035 FT'!$A$1:$K$74</definedName>
    <definedName name="_xlnm.Print_Area" localSheetId="18">'Table 3 UT Solar 2035 ST'!$A$1:$K$74</definedName>
    <definedName name="_xlnm.Print_Area" localSheetId="7">'Table 3 UT Wind 2030'!$A$1:$K$74</definedName>
    <definedName name="_xlnm.Print_Area" localSheetId="10">'Table 3 UT Wind 2036'!$A$1:$K$74</definedName>
    <definedName name="_xlnm.Print_Area" localSheetId="11">'Table 3 WW Wind 2035'!$A$1:$K$74</definedName>
    <definedName name="_xlnm.Print_Area" localSheetId="14">'Table 3 YK Solar 2030'!$A$1:$K$74</definedName>
    <definedName name="_xlnm.Print_Area" localSheetId="15">'Table 3 YK Solar 2032'!$A$1:$K$74</definedName>
    <definedName name="_xlnm.Print_Area" localSheetId="16">'Table 3 YK Solar 2033'!$A$1:$K$74</definedName>
    <definedName name="_xlnm.Print_Area" localSheetId="12">'Table 3 YK Wind 2035'!$A$1:$K$74</definedName>
    <definedName name="_xlnm.Print_Area" localSheetId="4">'Table 4'!$A$1:$E$44</definedName>
    <definedName name="_xlnm.Print_Area" localSheetId="5">'Table 5'!$A$1:$H$266</definedName>
    <definedName name="_xlnm.Print_Titles" localSheetId="2">'Table 2'!$1:$9</definedName>
    <definedName name="RenewableMarketShape" localSheetId="8">'[8]OFPC Source'!$P$5:$U$28</definedName>
    <definedName name="RenewableMarketShape" localSheetId="24">'[8]OFPC Source'!$P$5:$U$28</definedName>
    <definedName name="RenewableMarketShape" localSheetId="25">'[8]OFPC Source'!$P$5:$U$28</definedName>
    <definedName name="RenewableMarketShape" localSheetId="9">'[8]OFPC Source'!$P$5:$U$28</definedName>
    <definedName name="RenewableMarketShape" localSheetId="3">'[8]OFPC Source'!$P$5:$U$28</definedName>
    <definedName name="RenewableMarketShape" localSheetId="20">'[8]OFPC Source'!$P$5:$U$28</definedName>
    <definedName name="RenewableMarketShape" localSheetId="21">'[8]OFPC Source'!$P$5:$U$28</definedName>
    <definedName name="RenewableMarketShape" localSheetId="22">'[8]OFPC Source'!$P$5:$U$28</definedName>
    <definedName name="RenewableMarketShape" localSheetId="23">'[8]OFPC Source'!$P$5:$U$28</definedName>
    <definedName name="RenewableMarketShape" localSheetId="13">'[8]OFPC Source'!$P$5:$U$28</definedName>
    <definedName name="RenewableMarketShape" localSheetId="6">'[8]OFPC Source'!$P$5:$U$28</definedName>
    <definedName name="RenewableMarketShape" localSheetId="17">'[8]OFPC Source'!$P$5:$U$28</definedName>
    <definedName name="RenewableMarketShape" localSheetId="19">'[8]OFPC Source'!$P$5:$U$28</definedName>
    <definedName name="RenewableMarketShape" localSheetId="18">'[8]OFPC Source'!$P$5:$U$28</definedName>
    <definedName name="RenewableMarketShape" localSheetId="7">'[8]OFPC Source'!$P$5:$U$28</definedName>
    <definedName name="RenewableMarketShape" localSheetId="10">'[8]OFPC Source'!$P$5:$U$28</definedName>
    <definedName name="RenewableMarketShape" localSheetId="11">'[8]OFPC Source'!$P$5:$U$28</definedName>
    <definedName name="RenewableMarketShape" localSheetId="14">'[8]OFPC Source'!$P$5:$U$28</definedName>
    <definedName name="RenewableMarketShape" localSheetId="15">'[8]OFPC Source'!$P$5:$U$28</definedName>
    <definedName name="RenewableMarketShape" localSheetId="16">'[8]OFPC Source'!$P$5:$U$28</definedName>
    <definedName name="RenewableMarketShape" localSheetId="12">'[8]OFPC Source'!$P$5:$U$28</definedName>
    <definedName name="RenewableMarketShape">'[7]OFPC Source'!$P$5:$U$33</definedName>
    <definedName name="RevenueSum">"GRID Thermal Revenue!R2C1:R4C2"</definedName>
    <definedName name="Solar_Fixed_integr_cost">'[10]Table 10'!$B$46</definedName>
    <definedName name="Solar_HLH" localSheetId="8">'[8]OFPC Source'!$U$47</definedName>
    <definedName name="Solar_HLH" localSheetId="24">'[8]OFPC Source'!$U$47</definedName>
    <definedName name="Solar_HLH" localSheetId="25">'[8]OFPC Source'!$U$47</definedName>
    <definedName name="Solar_HLH" localSheetId="9">'[8]OFPC Source'!$U$47</definedName>
    <definedName name="Solar_HLH" localSheetId="3">'[8]OFPC Source'!$U$47</definedName>
    <definedName name="Solar_HLH" localSheetId="20">'[8]OFPC Source'!$U$47</definedName>
    <definedName name="Solar_HLH" localSheetId="21">'[8]OFPC Source'!$U$47</definedName>
    <definedName name="Solar_HLH" localSheetId="22">'[8]OFPC Source'!$U$47</definedName>
    <definedName name="Solar_HLH" localSheetId="23">'[8]OFPC Source'!$U$47</definedName>
    <definedName name="Solar_HLH" localSheetId="13">'[8]OFPC Source'!$U$47</definedName>
    <definedName name="Solar_HLH" localSheetId="6">'[8]OFPC Source'!$U$47</definedName>
    <definedName name="Solar_HLH" localSheetId="17">'[8]OFPC Source'!$U$47</definedName>
    <definedName name="Solar_HLH" localSheetId="19">'[8]OFPC Source'!$U$47</definedName>
    <definedName name="Solar_HLH" localSheetId="18">'[8]OFPC Source'!$U$47</definedName>
    <definedName name="Solar_HLH" localSheetId="7">'[8]OFPC Source'!$U$47</definedName>
    <definedName name="Solar_HLH" localSheetId="10">'[8]OFPC Source'!$U$47</definedName>
    <definedName name="Solar_HLH" localSheetId="11">'[8]OFPC Source'!$U$47</definedName>
    <definedName name="Solar_HLH" localSheetId="14">'[8]OFPC Source'!$U$47</definedName>
    <definedName name="Solar_HLH" localSheetId="15">'[8]OFPC Source'!$U$47</definedName>
    <definedName name="Solar_HLH" localSheetId="16">'[8]OFPC Source'!$U$47</definedName>
    <definedName name="Solar_HLH" localSheetId="12">'[8]OFPC Source'!$U$47</definedName>
    <definedName name="Solar_HLH">'[7]OFPC Source'!$U$48</definedName>
    <definedName name="Solar_LLH" localSheetId="8">'[8]OFPC Source'!$V$47</definedName>
    <definedName name="Solar_LLH" localSheetId="24">'[8]OFPC Source'!$V$47</definedName>
    <definedName name="Solar_LLH" localSheetId="25">'[8]OFPC Source'!$V$47</definedName>
    <definedName name="Solar_LLH" localSheetId="9">'[8]OFPC Source'!$V$47</definedName>
    <definedName name="Solar_LLH" localSheetId="3">'[8]OFPC Source'!$V$47</definedName>
    <definedName name="Solar_LLH" localSheetId="20">'[8]OFPC Source'!$V$47</definedName>
    <definedName name="Solar_LLH" localSheetId="21">'[8]OFPC Source'!$V$47</definedName>
    <definedName name="Solar_LLH" localSheetId="22">'[8]OFPC Source'!$V$47</definedName>
    <definedName name="Solar_LLH" localSheetId="23">'[8]OFPC Source'!$V$47</definedName>
    <definedName name="Solar_LLH" localSheetId="13">'[8]OFPC Source'!$V$47</definedName>
    <definedName name="Solar_LLH" localSheetId="6">'[8]OFPC Source'!$V$47</definedName>
    <definedName name="Solar_LLH" localSheetId="17">'[8]OFPC Source'!$V$47</definedName>
    <definedName name="Solar_LLH" localSheetId="19">'[8]OFPC Source'!$V$47</definedName>
    <definedName name="Solar_LLH" localSheetId="18">'[8]OFPC Source'!$V$47</definedName>
    <definedName name="Solar_LLH" localSheetId="7">'[8]OFPC Source'!$V$47</definedName>
    <definedName name="Solar_LLH" localSheetId="10">'[8]OFPC Source'!$V$47</definedName>
    <definedName name="Solar_LLH" localSheetId="11">'[8]OFPC Source'!$V$47</definedName>
    <definedName name="Solar_LLH" localSheetId="14">'[8]OFPC Source'!$V$47</definedName>
    <definedName name="Solar_LLH" localSheetId="15">'[8]OFPC Source'!$V$47</definedName>
    <definedName name="Solar_LLH" localSheetId="16">'[8]OFPC Source'!$V$47</definedName>
    <definedName name="Solar_LLH" localSheetId="12">'[8]OFPC Source'!$V$47</definedName>
    <definedName name="Solar_LLH">'[7]OFPC Source'!$V$48</definedName>
    <definedName name="Solar_Tracking_integr_cost">'[10]Table 10'!$B$45</definedName>
    <definedName name="Study_Cap_Adj" localSheetId="0">'[1]Table 1'!$I$8</definedName>
    <definedName name="Study_Cap_Adj" localSheetId="2">'[2]Table 1'!$I$8</definedName>
    <definedName name="Study_Cap_Adj" localSheetId="6">'Table 1'!$I$8</definedName>
    <definedName name="Study_Cap_Adj">'Table 1'!$I$8</definedName>
    <definedName name="Study_CF" localSheetId="0">'[1]Table 5'!$M$7</definedName>
    <definedName name="Study_CF" localSheetId="2">'[2]Table 5'!$M$7</definedName>
    <definedName name="Study_CF">'Table 5'!$M$7</definedName>
    <definedName name="Study_MW" localSheetId="0">'[1]Table 5'!$M$6</definedName>
    <definedName name="Study_MW" localSheetId="2">'[2]Table 5'!$M$6</definedName>
    <definedName name="Study_MW">'Table 5'!$M$6</definedName>
    <definedName name="Study_Name" localSheetId="8">[5]ImportData!$D$7</definedName>
    <definedName name="Study_Name" localSheetId="24">[5]ImportData!$D$7</definedName>
    <definedName name="Study_Name" localSheetId="25">[5]ImportData!$D$7</definedName>
    <definedName name="Study_Name" localSheetId="9">[5]ImportData!$D$7</definedName>
    <definedName name="Study_Name" localSheetId="3">[5]ImportData!$D$7</definedName>
    <definedName name="Study_Name" localSheetId="20">[5]ImportData!$D$7</definedName>
    <definedName name="Study_Name" localSheetId="21">[5]ImportData!$D$7</definedName>
    <definedName name="Study_Name" localSheetId="22">[5]ImportData!$D$7</definedName>
    <definedName name="Study_Name" localSheetId="23">[5]ImportData!$D$7</definedName>
    <definedName name="Study_Name" localSheetId="13">[5]ImportData!$D$7</definedName>
    <definedName name="Study_Name" localSheetId="6">[5]ImportData!$D$7</definedName>
    <definedName name="Study_Name" localSheetId="17">[5]ImportData!$D$7</definedName>
    <definedName name="Study_Name" localSheetId="19">[5]ImportData!$D$7</definedName>
    <definedName name="Study_Name" localSheetId="18">[5]ImportData!$D$7</definedName>
    <definedName name="Study_Name" localSheetId="7">[5]ImportData!$D$7</definedName>
    <definedName name="Study_Name" localSheetId="10">[5]ImportData!$D$7</definedName>
    <definedName name="Study_Name" localSheetId="11">[5]ImportData!$D$7</definedName>
    <definedName name="Study_Name" localSheetId="14">[5]ImportData!$D$7</definedName>
    <definedName name="Study_Name" localSheetId="15">[5]ImportData!$D$7</definedName>
    <definedName name="Study_Name" localSheetId="16">[5]ImportData!$D$7</definedName>
    <definedName name="Study_Name" localSheetId="12">[5]ImportData!$D$7</definedName>
    <definedName name="ValuationDate" localSheetId="2">#REF!</definedName>
    <definedName name="ValuationDate">#REF!</definedName>
    <definedName name="Wind_Capacity_Contr">'[7]Exhibit 2- Std Wind QF '!$E$57</definedName>
    <definedName name="Wind_Integration_Charge">'[7]Exhibit 2- Std Wind QF '!$E$45</definedName>
  </definedNames>
  <calcPr calcId="152511"/>
</workbook>
</file>

<file path=xl/calcChain.xml><?xml version="1.0" encoding="utf-8"?>
<calcChain xmlns="http://schemas.openxmlformats.org/spreadsheetml/2006/main">
  <c r="B32" i="65" l="1"/>
  <c r="B30" i="65"/>
  <c r="B72" i="25"/>
  <c r="B38" i="25"/>
  <c r="B13" i="66" l="1"/>
  <c r="B14" i="66" s="1"/>
  <c r="B15" i="66" s="1"/>
  <c r="B16" i="66" s="1"/>
  <c r="B17" i="66" s="1"/>
  <c r="B18" i="66" s="1"/>
  <c r="B19" i="66" s="1"/>
  <c r="B20" i="66" s="1"/>
  <c r="B21" i="66" s="1"/>
  <c r="B22" i="66" s="1"/>
  <c r="B23" i="66" s="1"/>
  <c r="B24" i="66" s="1"/>
  <c r="B25" i="66" s="1"/>
  <c r="B26" i="66" s="1"/>
  <c r="B27" i="66" s="1"/>
  <c r="B28" i="66" s="1"/>
  <c r="B29" i="66" s="1"/>
  <c r="B30" i="66" s="1"/>
  <c r="B31" i="66" s="1"/>
  <c r="B32" i="66" s="1"/>
  <c r="B22" i="65" l="1"/>
  <c r="B21" i="65"/>
  <c r="B20" i="65"/>
  <c r="B19" i="65"/>
  <c r="B18" i="65"/>
  <c r="B17" i="65"/>
  <c r="B16" i="65"/>
  <c r="B15" i="65"/>
  <c r="B14" i="65"/>
  <c r="B13" i="65"/>
  <c r="B12" i="65"/>
  <c r="B11" i="65"/>
  <c r="B10" i="65"/>
  <c r="B9" i="65"/>
  <c r="B8" i="65"/>
  <c r="B31" i="65" l="1"/>
  <c r="D25" i="65"/>
  <c r="B24" i="65"/>
  <c r="D21" i="65"/>
  <c r="D19" i="65"/>
  <c r="D17" i="65"/>
  <c r="E5" i="65"/>
  <c r="D8" i="65" l="1"/>
  <c r="D10" i="65"/>
  <c r="D12" i="65"/>
  <c r="D14" i="65"/>
  <c r="D16" i="65"/>
  <c r="D18" i="65"/>
  <c r="D20" i="65"/>
  <c r="D22" i="65"/>
  <c r="D13" i="65"/>
  <c r="D11" i="65"/>
  <c r="D9" i="65"/>
  <c r="D15" i="65"/>
  <c r="CJ9" i="25"/>
  <c r="CE9" i="25"/>
  <c r="B229" i="31"/>
  <c r="B230" i="31" s="1"/>
  <c r="B231" i="31" s="1"/>
  <c r="B232" i="31" s="1"/>
  <c r="B233" i="31" s="1"/>
  <c r="B234" i="31" s="1"/>
  <c r="B235" i="31" s="1"/>
  <c r="B236" i="31" s="1"/>
  <c r="B237" i="31" s="1"/>
  <c r="B238" i="31" s="1"/>
  <c r="B239" i="31" s="1"/>
  <c r="B240" i="31" s="1"/>
  <c r="B217" i="31"/>
  <c r="B218" i="31" s="1"/>
  <c r="I240" i="31"/>
  <c r="I239" i="31"/>
  <c r="I238" i="31"/>
  <c r="I237" i="31"/>
  <c r="I236" i="31"/>
  <c r="I235" i="31"/>
  <c r="I234" i="31"/>
  <c r="I233" i="31"/>
  <c r="I232" i="31"/>
  <c r="I231" i="31"/>
  <c r="I230" i="31"/>
  <c r="I229" i="31"/>
  <c r="I228" i="31"/>
  <c r="I227" i="31"/>
  <c r="I226" i="31"/>
  <c r="I225" i="31"/>
  <c r="I224" i="31"/>
  <c r="I223" i="31"/>
  <c r="I222" i="31"/>
  <c r="I221" i="31"/>
  <c r="I220" i="31"/>
  <c r="I219" i="31"/>
  <c r="I218" i="31"/>
  <c r="I217" i="31"/>
  <c r="J218" i="31" l="1"/>
  <c r="B219" i="31"/>
  <c r="J217" i="31"/>
  <c r="B220" i="31" l="1"/>
  <c r="J219" i="31"/>
  <c r="J220" i="31" l="1"/>
  <c r="B221" i="31"/>
  <c r="B52" i="25"/>
  <c r="B42" i="25"/>
  <c r="B222" i="31" l="1"/>
  <c r="J221" i="31"/>
  <c r="J222" i="31" l="1"/>
  <c r="B223" i="31"/>
  <c r="BN9" i="25"/>
  <c r="BO9" i="25"/>
  <c r="BJ9" i="25"/>
  <c r="BI9" i="25"/>
  <c r="AT9" i="25"/>
  <c r="AO9" i="25"/>
  <c r="C24" i="64"/>
  <c r="C68" i="64"/>
  <c r="C67" i="64"/>
  <c r="P11" i="64"/>
  <c r="D47" i="64"/>
  <c r="D46" i="64"/>
  <c r="G11" i="64"/>
  <c r="K11" i="64"/>
  <c r="E11" i="64"/>
  <c r="D49" i="64"/>
  <c r="C49" i="64"/>
  <c r="D48" i="64"/>
  <c r="C48" i="64"/>
  <c r="C47" i="64"/>
  <c r="C46" i="64"/>
  <c r="C45" i="64"/>
  <c r="H11" i="64"/>
  <c r="B11" i="64"/>
  <c r="B12" i="64" s="1"/>
  <c r="B13" i="64" s="1"/>
  <c r="B14" i="64" s="1"/>
  <c r="B15" i="64" s="1"/>
  <c r="B16" i="64" s="1"/>
  <c r="B17" i="64" s="1"/>
  <c r="B18" i="64" s="1"/>
  <c r="B19" i="64" s="1"/>
  <c r="B20" i="64" s="1"/>
  <c r="B21" i="64" s="1"/>
  <c r="B22" i="64" s="1"/>
  <c r="B23" i="64" s="1"/>
  <c r="B24" i="64" s="1"/>
  <c r="B25" i="64" s="1"/>
  <c r="B26" i="64" s="1"/>
  <c r="B27" i="64" s="1"/>
  <c r="B28" i="64" s="1"/>
  <c r="B29" i="64" s="1"/>
  <c r="B30" i="64" s="1"/>
  <c r="B31" i="64" s="1"/>
  <c r="B32" i="64" s="1"/>
  <c r="B33" i="64" s="1"/>
  <c r="B34" i="64" s="1"/>
  <c r="B35" i="64" s="1"/>
  <c r="B36" i="64" s="1"/>
  <c r="P10" i="64"/>
  <c r="C24" i="63"/>
  <c r="D24" i="64" l="1"/>
  <c r="B224" i="31"/>
  <c r="J223" i="31"/>
  <c r="K12" i="64"/>
  <c r="K13" i="64" s="1"/>
  <c r="H12" i="64"/>
  <c r="H13" i="64" s="1"/>
  <c r="G12" i="64"/>
  <c r="G13" i="64" s="1"/>
  <c r="P12" i="64"/>
  <c r="P13" i="64" s="1"/>
  <c r="E12" i="64"/>
  <c r="F11" i="64"/>
  <c r="I11" i="64" s="1"/>
  <c r="J11" i="64" s="1"/>
  <c r="B3" i="64"/>
  <c r="C52" i="64" s="1"/>
  <c r="B9" i="64" s="1"/>
  <c r="C69" i="64"/>
  <c r="J224" i="31" l="1"/>
  <c r="B225" i="31"/>
  <c r="C70" i="64"/>
  <c r="E13" i="64"/>
  <c r="F12" i="64"/>
  <c r="I12" i="64" s="1"/>
  <c r="J12" i="64" s="1"/>
  <c r="B226" i="31" l="1"/>
  <c r="J225" i="31"/>
  <c r="E14" i="64"/>
  <c r="F13" i="64"/>
  <c r="I13" i="64" s="1"/>
  <c r="J13" i="64" s="1"/>
  <c r="G14" i="64"/>
  <c r="P14" i="64"/>
  <c r="K14" i="64"/>
  <c r="H14" i="64"/>
  <c r="C71" i="64"/>
  <c r="J226" i="31" l="1"/>
  <c r="B227" i="31"/>
  <c r="C72" i="64"/>
  <c r="P15" i="64"/>
  <c r="G15" i="64"/>
  <c r="H15" i="64"/>
  <c r="K15" i="64"/>
  <c r="E15" i="64"/>
  <c r="F14" i="64"/>
  <c r="I14" i="64" s="1"/>
  <c r="J14" i="64" s="1"/>
  <c r="B228" i="31" l="1"/>
  <c r="J228" i="31" s="1"/>
  <c r="J227" i="31"/>
  <c r="K16" i="64"/>
  <c r="G16" i="64"/>
  <c r="P16" i="64"/>
  <c r="E16" i="64"/>
  <c r="F15" i="64"/>
  <c r="I15" i="64" s="1"/>
  <c r="J15" i="64" s="1"/>
  <c r="H16" i="64"/>
  <c r="C73" i="64"/>
  <c r="G17" i="64" l="1"/>
  <c r="C74" i="64"/>
  <c r="G18" i="64"/>
  <c r="E17" i="64"/>
  <c r="F16" i="64"/>
  <c r="I16" i="64" s="1"/>
  <c r="J16" i="64" s="1"/>
  <c r="H17" i="64"/>
  <c r="P17" i="64"/>
  <c r="K17" i="64"/>
  <c r="C67" i="63"/>
  <c r="C68" i="63" s="1"/>
  <c r="H11" i="63"/>
  <c r="B3" i="63"/>
  <c r="C52" i="63" s="1"/>
  <c r="B9" i="63" s="1"/>
  <c r="G11" i="63"/>
  <c r="K11" i="63"/>
  <c r="E11" i="63"/>
  <c r="F11" i="63" s="1"/>
  <c r="D49" i="63"/>
  <c r="C49" i="63"/>
  <c r="D48" i="63"/>
  <c r="C48" i="63"/>
  <c r="C47" i="63"/>
  <c r="C46" i="63"/>
  <c r="C45" i="63"/>
  <c r="D44" i="63"/>
  <c r="B12" i="63"/>
  <c r="B13" i="63" s="1"/>
  <c r="B14" i="63" s="1"/>
  <c r="B15" i="63" s="1"/>
  <c r="B16" i="63" s="1"/>
  <c r="B17" i="63" s="1"/>
  <c r="B18" i="63" s="1"/>
  <c r="B19" i="63" s="1"/>
  <c r="B20" i="63" s="1"/>
  <c r="B21" i="63" s="1"/>
  <c r="B22" i="63" s="1"/>
  <c r="B23" i="63" s="1"/>
  <c r="B24" i="63" s="1"/>
  <c r="B25" i="63" s="1"/>
  <c r="B26" i="63" s="1"/>
  <c r="B27" i="63" s="1"/>
  <c r="B28" i="63" s="1"/>
  <c r="B29" i="63" s="1"/>
  <c r="B30" i="63" s="1"/>
  <c r="B31" i="63" s="1"/>
  <c r="B32" i="63" s="1"/>
  <c r="B33" i="63" s="1"/>
  <c r="B34" i="63" s="1"/>
  <c r="B35" i="63" s="1"/>
  <c r="B36" i="63" s="1"/>
  <c r="B11" i="63"/>
  <c r="P10" i="63"/>
  <c r="D47" i="63" l="1"/>
  <c r="K18" i="64"/>
  <c r="P11" i="63"/>
  <c r="D46" i="63"/>
  <c r="D24" i="63"/>
  <c r="D25" i="63" s="1"/>
  <c r="D26" i="63" s="1"/>
  <c r="D27" i="63" s="1"/>
  <c r="D28" i="63" s="1"/>
  <c r="I11" i="63"/>
  <c r="J11" i="63" s="1"/>
  <c r="E18" i="64"/>
  <c r="F17" i="64"/>
  <c r="I17" i="64" s="1"/>
  <c r="J17" i="64" s="1"/>
  <c r="P18" i="64"/>
  <c r="H18" i="64"/>
  <c r="G19" i="64"/>
  <c r="F66" i="64"/>
  <c r="C69" i="63"/>
  <c r="E19" i="64" l="1"/>
  <c r="F18" i="64"/>
  <c r="I18" i="64" s="1"/>
  <c r="J18" i="64" s="1"/>
  <c r="K19" i="64"/>
  <c r="P19" i="64"/>
  <c r="F67" i="64"/>
  <c r="G20" i="64"/>
  <c r="H19" i="64"/>
  <c r="H12" i="63"/>
  <c r="H13" i="63" s="1"/>
  <c r="P12" i="63"/>
  <c r="P13" i="63" s="1"/>
  <c r="K12" i="63"/>
  <c r="K13" i="63" s="1"/>
  <c r="E12" i="63"/>
  <c r="G12" i="63"/>
  <c r="G13" i="63" s="1"/>
  <c r="C70" i="63"/>
  <c r="G21" i="64" l="1"/>
  <c r="F68" i="64"/>
  <c r="H20" i="64"/>
  <c r="K20" i="64"/>
  <c r="E20" i="64"/>
  <c r="F19" i="64"/>
  <c r="I19" i="64" s="1"/>
  <c r="J19" i="64" s="1"/>
  <c r="P20" i="64"/>
  <c r="F12" i="63"/>
  <c r="I12" i="63" s="1"/>
  <c r="J12" i="63" s="1"/>
  <c r="E13" i="63"/>
  <c r="K14" i="63"/>
  <c r="C71" i="63"/>
  <c r="P14" i="63"/>
  <c r="G14" i="63"/>
  <c r="H14" i="63"/>
  <c r="H15" i="63" l="1"/>
  <c r="E21" i="64"/>
  <c r="F20" i="64"/>
  <c r="I20" i="64" s="1"/>
  <c r="J20" i="64" s="1"/>
  <c r="P21" i="64"/>
  <c r="H21" i="64"/>
  <c r="F69" i="64"/>
  <c r="G22" i="64"/>
  <c r="K21" i="64"/>
  <c r="G15" i="63"/>
  <c r="K15" i="63"/>
  <c r="P15" i="63"/>
  <c r="E14" i="63"/>
  <c r="F13" i="63"/>
  <c r="I13" i="63" s="1"/>
  <c r="J13" i="63" s="1"/>
  <c r="C72" i="63"/>
  <c r="H16" i="63"/>
  <c r="K22" i="64" l="1"/>
  <c r="P22" i="64"/>
  <c r="G23" i="64"/>
  <c r="F70" i="64"/>
  <c r="F21" i="64"/>
  <c r="I21" i="64" s="1"/>
  <c r="J21" i="64" s="1"/>
  <c r="E22" i="64"/>
  <c r="H22" i="64"/>
  <c r="P16" i="63"/>
  <c r="H17" i="63"/>
  <c r="C73" i="63"/>
  <c r="K16" i="63"/>
  <c r="G16" i="63"/>
  <c r="F14" i="63"/>
  <c r="I14" i="63" s="1"/>
  <c r="J14" i="63" s="1"/>
  <c r="E15" i="63"/>
  <c r="H23" i="64" l="1"/>
  <c r="E23" i="64"/>
  <c r="F22" i="64"/>
  <c r="I22" i="64" s="1"/>
  <c r="J22" i="64" s="1"/>
  <c r="P23" i="64"/>
  <c r="F71" i="64"/>
  <c r="G24" i="64"/>
  <c r="K23" i="64"/>
  <c r="F15" i="63"/>
  <c r="I15" i="63" s="1"/>
  <c r="J15" i="63" s="1"/>
  <c r="E16" i="63"/>
  <c r="C74" i="63"/>
  <c r="H18" i="63"/>
  <c r="G17" i="63"/>
  <c r="P17" i="63"/>
  <c r="K17" i="63"/>
  <c r="P24" i="64" l="1"/>
  <c r="K18" i="63"/>
  <c r="G18" i="63"/>
  <c r="P18" i="63"/>
  <c r="K24" i="64"/>
  <c r="F72" i="64"/>
  <c r="E24" i="64"/>
  <c r="F23" i="64"/>
  <c r="I23" i="64" s="1"/>
  <c r="J23" i="64" s="1"/>
  <c r="H24" i="64"/>
  <c r="H19" i="63"/>
  <c r="F66" i="63"/>
  <c r="E17" i="63"/>
  <c r="F16" i="63"/>
  <c r="I16" i="63" s="1"/>
  <c r="J16" i="63" s="1"/>
  <c r="H25" i="64" l="1"/>
  <c r="G25" i="64"/>
  <c r="D25" i="64"/>
  <c r="G19" i="63"/>
  <c r="P25" i="64"/>
  <c r="F73" i="64"/>
  <c r="G26" i="64"/>
  <c r="K25" i="64"/>
  <c r="E25" i="64"/>
  <c r="F24" i="64"/>
  <c r="I24" i="64" s="1"/>
  <c r="J24" i="64" s="1"/>
  <c r="F67" i="63"/>
  <c r="H20" i="63"/>
  <c r="E18" i="63"/>
  <c r="F17" i="63"/>
  <c r="I17" i="63" s="1"/>
  <c r="J17" i="63" s="1"/>
  <c r="K19" i="63"/>
  <c r="P19" i="63"/>
  <c r="K26" i="64" l="1"/>
  <c r="P20" i="63"/>
  <c r="D26" i="64"/>
  <c r="H26" i="64"/>
  <c r="G27" i="64"/>
  <c r="F74" i="64"/>
  <c r="P26" i="64"/>
  <c r="E26" i="64"/>
  <c r="F25" i="64"/>
  <c r="I25" i="64" s="1"/>
  <c r="J25" i="64" s="1"/>
  <c r="K20" i="63"/>
  <c r="H21" i="63"/>
  <c r="F68" i="63"/>
  <c r="G20" i="63"/>
  <c r="F18" i="63"/>
  <c r="I18" i="63" s="1"/>
  <c r="J18" i="63" s="1"/>
  <c r="E19" i="63"/>
  <c r="D27" i="64" l="1"/>
  <c r="I66" i="64"/>
  <c r="P27" i="64"/>
  <c r="H27" i="64"/>
  <c r="E27" i="64"/>
  <c r="F26" i="64"/>
  <c r="I26" i="64" s="1"/>
  <c r="J26" i="64" s="1"/>
  <c r="K27" i="64"/>
  <c r="E20" i="63"/>
  <c r="F19" i="63"/>
  <c r="I19" i="63" s="1"/>
  <c r="J19" i="63" s="1"/>
  <c r="K21" i="63"/>
  <c r="G21" i="63"/>
  <c r="P21" i="63"/>
  <c r="F69" i="63"/>
  <c r="H22" i="63"/>
  <c r="D28" i="64" l="1"/>
  <c r="D29" i="64" s="1"/>
  <c r="D30" i="64" s="1"/>
  <c r="D31" i="64" s="1"/>
  <c r="D32" i="64" s="1"/>
  <c r="D33" i="64" s="1"/>
  <c r="D34" i="64" s="1"/>
  <c r="D35" i="64" s="1"/>
  <c r="D36" i="64" s="1"/>
  <c r="E28" i="64"/>
  <c r="F27" i="64"/>
  <c r="I27" i="64" s="1"/>
  <c r="J27" i="64" s="1"/>
  <c r="K28" i="64"/>
  <c r="P28" i="64"/>
  <c r="I67" i="64"/>
  <c r="H28" i="64"/>
  <c r="G28" i="64"/>
  <c r="K22" i="63"/>
  <c r="H23" i="63"/>
  <c r="H24" i="63" s="1"/>
  <c r="H25" i="63" s="1"/>
  <c r="H26" i="63" s="1"/>
  <c r="H27" i="63" s="1"/>
  <c r="H28" i="63" s="1"/>
  <c r="F70" i="63"/>
  <c r="P22" i="63"/>
  <c r="E21" i="63"/>
  <c r="F20" i="63"/>
  <c r="I20" i="63" s="1"/>
  <c r="J20" i="63" s="1"/>
  <c r="G22" i="63"/>
  <c r="G23" i="63" l="1"/>
  <c r="G24" i="63" s="1"/>
  <c r="G25" i="63" s="1"/>
  <c r="G26" i="63" s="1"/>
  <c r="G27" i="63" s="1"/>
  <c r="G28" i="63" s="1"/>
  <c r="F28" i="64"/>
  <c r="I28" i="64" s="1"/>
  <c r="J28" i="64" s="1"/>
  <c r="K29" i="64"/>
  <c r="G29" i="64"/>
  <c r="I68" i="64"/>
  <c r="P29" i="64"/>
  <c r="H29" i="64"/>
  <c r="E29" i="64"/>
  <c r="F71" i="63"/>
  <c r="E22" i="63"/>
  <c r="F21" i="63"/>
  <c r="I21" i="63" s="1"/>
  <c r="J21" i="63" s="1"/>
  <c r="K23" i="63"/>
  <c r="K24" i="63" s="1"/>
  <c r="K25" i="63" s="1"/>
  <c r="K26" i="63" s="1"/>
  <c r="K27" i="63" s="1"/>
  <c r="K28" i="63" s="1"/>
  <c r="P23" i="63"/>
  <c r="P24" i="63" l="1"/>
  <c r="E30" i="64"/>
  <c r="F29" i="64"/>
  <c r="I29" i="64" s="1"/>
  <c r="J29" i="64" s="1"/>
  <c r="P30" i="64"/>
  <c r="G30" i="64"/>
  <c r="K30" i="64"/>
  <c r="I69" i="64"/>
  <c r="H30" i="64"/>
  <c r="F72" i="63"/>
  <c r="E23" i="63"/>
  <c r="E24" i="63" s="1"/>
  <c r="F22" i="63"/>
  <c r="I22" i="63" s="1"/>
  <c r="J22" i="63" s="1"/>
  <c r="F24" i="63" l="1"/>
  <c r="I24" i="63" s="1"/>
  <c r="J24" i="63" s="1"/>
  <c r="E25" i="63"/>
  <c r="E31" i="64"/>
  <c r="H31" i="64"/>
  <c r="G31" i="64"/>
  <c r="F30" i="64"/>
  <c r="I30" i="64" s="1"/>
  <c r="J30" i="64" s="1"/>
  <c r="K31" i="64"/>
  <c r="I70" i="64"/>
  <c r="P31" i="64"/>
  <c r="F23" i="63"/>
  <c r="I23" i="63" s="1"/>
  <c r="J23" i="63" s="1"/>
  <c r="P25" i="63"/>
  <c r="F73" i="63"/>
  <c r="K32" i="64" l="1"/>
  <c r="E32" i="64"/>
  <c r="F32" i="64" s="1"/>
  <c r="P32" i="64"/>
  <c r="F25" i="63"/>
  <c r="I25" i="63" s="1"/>
  <c r="J25" i="63" s="1"/>
  <c r="E26" i="63"/>
  <c r="F31" i="64"/>
  <c r="I31" i="64" s="1"/>
  <c r="J31" i="64" s="1"/>
  <c r="I71" i="64"/>
  <c r="H32" i="64"/>
  <c r="G32" i="64"/>
  <c r="F74" i="63"/>
  <c r="P26" i="63"/>
  <c r="E27" i="63" l="1"/>
  <c r="F26" i="63"/>
  <c r="I26" i="63" s="1"/>
  <c r="J26" i="63" s="1"/>
  <c r="H33" i="64"/>
  <c r="P33" i="64"/>
  <c r="I72" i="64"/>
  <c r="K33" i="64"/>
  <c r="G33" i="64"/>
  <c r="I32" i="64"/>
  <c r="J32" i="64" s="1"/>
  <c r="E33" i="64"/>
  <c r="I66" i="63"/>
  <c r="P27" i="63"/>
  <c r="K34" i="64" l="1"/>
  <c r="E34" i="64"/>
  <c r="F34" i="64" s="1"/>
  <c r="G34" i="64"/>
  <c r="P34" i="64"/>
  <c r="H34" i="64"/>
  <c r="P28" i="63"/>
  <c r="E28" i="63"/>
  <c r="F27" i="63"/>
  <c r="I27" i="63" s="1"/>
  <c r="J27" i="63" s="1"/>
  <c r="F33" i="64"/>
  <c r="I33" i="64" s="1"/>
  <c r="J33" i="64" s="1"/>
  <c r="I73" i="64"/>
  <c r="I67" i="63"/>
  <c r="P35" i="64" l="1"/>
  <c r="K35" i="64"/>
  <c r="I34" i="64"/>
  <c r="J34" i="64" s="1"/>
  <c r="H35" i="64"/>
  <c r="E29" i="63"/>
  <c r="F28" i="63"/>
  <c r="I28" i="63" s="1"/>
  <c r="J28" i="63" s="1"/>
  <c r="D29" i="63"/>
  <c r="H29" i="63"/>
  <c r="G29" i="63"/>
  <c r="K29" i="63"/>
  <c r="E35" i="64"/>
  <c r="F35" i="64" s="1"/>
  <c r="I74" i="64"/>
  <c r="G35" i="64"/>
  <c r="I68" i="63"/>
  <c r="H30" i="63"/>
  <c r="P29" i="63"/>
  <c r="K36" i="64" l="1"/>
  <c r="H36" i="64"/>
  <c r="P36" i="64"/>
  <c r="D30" i="63"/>
  <c r="K30" i="63"/>
  <c r="P30" i="63"/>
  <c r="G36" i="64"/>
  <c r="E36" i="64"/>
  <c r="F36" i="64" s="1"/>
  <c r="F29" i="63"/>
  <c r="I29" i="63" s="1"/>
  <c r="J29" i="63" s="1"/>
  <c r="I35" i="64"/>
  <c r="J35" i="64" s="1"/>
  <c r="G30" i="63"/>
  <c r="I69" i="63"/>
  <c r="D31" i="63" l="1"/>
  <c r="P31" i="63"/>
  <c r="G31" i="63"/>
  <c r="I36" i="64"/>
  <c r="J36" i="64" s="1"/>
  <c r="K31" i="63"/>
  <c r="E30" i="63"/>
  <c r="I70" i="63"/>
  <c r="D32" i="63"/>
  <c r="H31" i="63"/>
  <c r="K32" i="63" l="1"/>
  <c r="H32" i="63"/>
  <c r="P32" i="63"/>
  <c r="G32" i="63"/>
  <c r="E31" i="63"/>
  <c r="F30" i="63"/>
  <c r="I30" i="63" s="1"/>
  <c r="J30" i="63" s="1"/>
  <c r="D33" i="63"/>
  <c r="I71" i="63"/>
  <c r="P33" i="63" l="1"/>
  <c r="H33" i="63"/>
  <c r="K33" i="63"/>
  <c r="E32" i="63"/>
  <c r="F31" i="63"/>
  <c r="I31" i="63" s="1"/>
  <c r="J31" i="63" s="1"/>
  <c r="I72" i="63"/>
  <c r="H34" i="63"/>
  <c r="G33" i="63"/>
  <c r="D34" i="63" l="1"/>
  <c r="E33" i="63"/>
  <c r="F32" i="63"/>
  <c r="I32" i="63" s="1"/>
  <c r="J32" i="63" s="1"/>
  <c r="H35" i="63"/>
  <c r="I73" i="63"/>
  <c r="K34" i="63"/>
  <c r="G34" i="63"/>
  <c r="P34" i="63"/>
  <c r="P35" i="63" l="1"/>
  <c r="D35" i="63"/>
  <c r="G35" i="63"/>
  <c r="K35" i="63"/>
  <c r="E34" i="63"/>
  <c r="E35" i="63" s="1"/>
  <c r="F33" i="63"/>
  <c r="I33" i="63" s="1"/>
  <c r="J33" i="63" s="1"/>
  <c r="I74" i="63"/>
  <c r="H36" i="63"/>
  <c r="F34" i="63" l="1"/>
  <c r="I34" i="63" s="1"/>
  <c r="J34" i="63" s="1"/>
  <c r="K36" i="63"/>
  <c r="G36" i="63"/>
  <c r="D36" i="63"/>
  <c r="F35" i="63"/>
  <c r="I35" i="63" s="1"/>
  <c r="J35" i="63" s="1"/>
  <c r="P36" i="63"/>
  <c r="E36" i="63"/>
  <c r="F36" i="63" l="1"/>
  <c r="I36" i="63" s="1"/>
  <c r="J36" i="63" s="1"/>
  <c r="J264" i="31" l="1"/>
  <c r="C65" i="64" l="1"/>
  <c r="C65" i="63"/>
  <c r="CT9" i="25" l="1"/>
  <c r="CS9" i="25"/>
  <c r="CR9" i="25"/>
  <c r="CQ9" i="25"/>
  <c r="CP9" i="25"/>
  <c r="CO9" i="25"/>
  <c r="CN9" i="25"/>
  <c r="CM9" i="25"/>
  <c r="CL9" i="25"/>
  <c r="CK9" i="25"/>
  <c r="BD9" i="25"/>
  <c r="BD8" i="25"/>
  <c r="BC9" i="25"/>
  <c r="BB9" i="25"/>
  <c r="BA9" i="25"/>
  <c r="AZ9" i="25"/>
  <c r="AY9" i="25"/>
  <c r="AX9" i="25"/>
  <c r="AW9" i="25"/>
  <c r="AV9" i="25"/>
  <c r="BC8" i="25"/>
  <c r="BB8" i="25"/>
  <c r="BA8" i="25"/>
  <c r="AZ8" i="25"/>
  <c r="AY8" i="25"/>
  <c r="AX8" i="25"/>
  <c r="AW8" i="25"/>
  <c r="AV8" i="25"/>
  <c r="AU8" i="25"/>
  <c r="C29" i="62" l="1"/>
  <c r="D44" i="41"/>
  <c r="D44" i="56" s="1"/>
  <c r="D44" i="57" s="1"/>
  <c r="D44" i="58" s="1"/>
  <c r="D44" i="59" s="1"/>
  <c r="D44" i="60" s="1"/>
  <c r="D44" i="61" s="1"/>
  <c r="D44" i="40" s="1"/>
  <c r="D44" i="62" s="1"/>
  <c r="D44" i="55" s="1"/>
  <c r="D44" i="49" l="1"/>
  <c r="C67" i="62" l="1"/>
  <c r="C68" i="62" s="1"/>
  <c r="D11" i="62"/>
  <c r="D29" i="62"/>
  <c r="K11" i="62"/>
  <c r="E11" i="62"/>
  <c r="C49" i="62"/>
  <c r="D48" i="62"/>
  <c r="C48" i="62"/>
  <c r="D47" i="62"/>
  <c r="C47" i="62"/>
  <c r="C46" i="62"/>
  <c r="C45" i="62"/>
  <c r="D49" i="62"/>
  <c r="B18" i="62"/>
  <c r="B19" i="62" s="1"/>
  <c r="B20" i="62" s="1"/>
  <c r="B21" i="62" s="1"/>
  <c r="B22" i="62" s="1"/>
  <c r="B23" i="62" s="1"/>
  <c r="B24" i="62" s="1"/>
  <c r="B25" i="62" s="1"/>
  <c r="B26" i="62" s="1"/>
  <c r="B27" i="62" s="1"/>
  <c r="B28" i="62" s="1"/>
  <c r="B29" i="62" s="1"/>
  <c r="B30" i="62" s="1"/>
  <c r="B31" i="62" s="1"/>
  <c r="B32" i="62" s="1"/>
  <c r="B33" i="62" s="1"/>
  <c r="B34" i="62" s="1"/>
  <c r="B35" i="62" s="1"/>
  <c r="B36" i="62" s="1"/>
  <c r="B15" i="62"/>
  <c r="B16" i="62" s="1"/>
  <c r="B17" i="62" s="1"/>
  <c r="B14" i="62"/>
  <c r="B13" i="62"/>
  <c r="H11" i="62"/>
  <c r="G11" i="62"/>
  <c r="B11" i="62"/>
  <c r="B12" i="62" s="1"/>
  <c r="B3" i="62"/>
  <c r="C52" i="62" s="1"/>
  <c r="B9" i="62" s="1"/>
  <c r="D46" i="62" l="1"/>
  <c r="F11" i="62"/>
  <c r="I11" i="62" s="1"/>
  <c r="J11" i="62" s="1"/>
  <c r="G12" i="62"/>
  <c r="G13" i="62" s="1"/>
  <c r="C69" i="62"/>
  <c r="C70" i="62" l="1"/>
  <c r="G14" i="62"/>
  <c r="H12" i="62"/>
  <c r="H13" i="62" s="1"/>
  <c r="D12" i="62"/>
  <c r="K12" i="62"/>
  <c r="K13" i="62" s="1"/>
  <c r="E12" i="62"/>
  <c r="E13" i="62" s="1"/>
  <c r="E14" i="62" l="1"/>
  <c r="H14" i="62"/>
  <c r="K14" i="62"/>
  <c r="G15" i="62"/>
  <c r="C71" i="62"/>
  <c r="D13" i="62"/>
  <c r="F12" i="62"/>
  <c r="I12" i="62" s="1"/>
  <c r="J12" i="62" s="1"/>
  <c r="K15" i="62" l="1"/>
  <c r="H15" i="62"/>
  <c r="E15" i="62"/>
  <c r="F13" i="62"/>
  <c r="I13" i="62" s="1"/>
  <c r="J13" i="62" s="1"/>
  <c r="D14" i="62"/>
  <c r="C72" i="62"/>
  <c r="G16" i="62"/>
  <c r="H16" i="62" l="1"/>
  <c r="D15" i="62"/>
  <c r="F14" i="62"/>
  <c r="I14" i="62" s="1"/>
  <c r="J14" i="62" s="1"/>
  <c r="G17" i="62"/>
  <c r="C73" i="62"/>
  <c r="K16" i="62"/>
  <c r="E16" i="62"/>
  <c r="E17" i="62" l="1"/>
  <c r="K17" i="62"/>
  <c r="H17" i="62"/>
  <c r="D16" i="62"/>
  <c r="F15" i="62"/>
  <c r="I15" i="62" s="1"/>
  <c r="J15" i="62" s="1"/>
  <c r="C74" i="62"/>
  <c r="G18" i="62"/>
  <c r="H18" i="62" l="1"/>
  <c r="D17" i="62"/>
  <c r="F16" i="62"/>
  <c r="I16" i="62" s="1"/>
  <c r="J16" i="62" s="1"/>
  <c r="K18" i="62"/>
  <c r="G19" i="62"/>
  <c r="F66" i="62"/>
  <c r="E18" i="62"/>
  <c r="CI9" i="25"/>
  <c r="BM9" i="25"/>
  <c r="CH9" i="25" s="1"/>
  <c r="BL9" i="25"/>
  <c r="CG9" i="25" s="1"/>
  <c r="BK9" i="25"/>
  <c r="CF9" i="25" s="1"/>
  <c r="CD9" i="25"/>
  <c r="BH9" i="25"/>
  <c r="CC9" i="25" s="1"/>
  <c r="BG9" i="25"/>
  <c r="CB9" i="25" s="1"/>
  <c r="BF9" i="25"/>
  <c r="CA9" i="25" s="1"/>
  <c r="AU9" i="25"/>
  <c r="AS9" i="25"/>
  <c r="AR9" i="25"/>
  <c r="AQ9" i="25"/>
  <c r="AP9" i="25"/>
  <c r="AN9" i="25"/>
  <c r="AM9" i="25"/>
  <c r="AL9" i="25"/>
  <c r="AK9" i="25"/>
  <c r="E19" i="62" l="1"/>
  <c r="F67" i="62"/>
  <c r="G20" i="62"/>
  <c r="F17" i="62"/>
  <c r="I17" i="62" s="1"/>
  <c r="J17" i="62" s="1"/>
  <c r="D18" i="62"/>
  <c r="H19" i="62"/>
  <c r="K19" i="62"/>
  <c r="K20" i="62" l="1"/>
  <c r="H20" i="62"/>
  <c r="G21" i="62"/>
  <c r="F68" i="62"/>
  <c r="D19" i="62"/>
  <c r="F18" i="62"/>
  <c r="I18" i="62" s="1"/>
  <c r="J18" i="62" s="1"/>
  <c r="E20" i="62"/>
  <c r="C27" i="61"/>
  <c r="C67" i="61"/>
  <c r="B3" i="61"/>
  <c r="C52" i="61" s="1"/>
  <c r="B9" i="61" s="1"/>
  <c r="K11" i="61"/>
  <c r="E11" i="61"/>
  <c r="C49" i="61"/>
  <c r="D48" i="61"/>
  <c r="C48" i="61"/>
  <c r="C47" i="61"/>
  <c r="D46" i="61"/>
  <c r="C46" i="61"/>
  <c r="C45" i="61"/>
  <c r="D49" i="61"/>
  <c r="H11" i="61"/>
  <c r="G11" i="61"/>
  <c r="B11" i="61"/>
  <c r="B12" i="61" s="1"/>
  <c r="B13" i="61" s="1"/>
  <c r="B14" i="61" s="1"/>
  <c r="B15" i="61" s="1"/>
  <c r="B16" i="61" s="1"/>
  <c r="B17" i="61" s="1"/>
  <c r="B18" i="61" s="1"/>
  <c r="B19" i="61" s="1"/>
  <c r="B20" i="61" s="1"/>
  <c r="B21" i="61" s="1"/>
  <c r="B22" i="61" s="1"/>
  <c r="B23" i="61" s="1"/>
  <c r="B24" i="61" s="1"/>
  <c r="B25" i="61" s="1"/>
  <c r="B26" i="61" s="1"/>
  <c r="B27" i="61" s="1"/>
  <c r="B28" i="61" s="1"/>
  <c r="B29" i="61" s="1"/>
  <c r="B30" i="61" s="1"/>
  <c r="B31" i="61" s="1"/>
  <c r="B32" i="61" s="1"/>
  <c r="B33" i="61" s="1"/>
  <c r="B34" i="61" s="1"/>
  <c r="B35" i="61" s="1"/>
  <c r="B36" i="61" s="1"/>
  <c r="C26" i="60"/>
  <c r="C67" i="60"/>
  <c r="C68" i="60" s="1"/>
  <c r="D47" i="60"/>
  <c r="D46" i="60"/>
  <c r="G11" i="60"/>
  <c r="K11" i="60"/>
  <c r="E11" i="60"/>
  <c r="F11" i="60" s="1"/>
  <c r="C49" i="60"/>
  <c r="D48" i="60"/>
  <c r="C48" i="60"/>
  <c r="C47" i="60"/>
  <c r="C46" i="60"/>
  <c r="C45" i="60"/>
  <c r="D49" i="60"/>
  <c r="H11" i="60"/>
  <c r="B11" i="60"/>
  <c r="B12" i="60" s="1"/>
  <c r="B13" i="60" s="1"/>
  <c r="B14" i="60" s="1"/>
  <c r="B15" i="60" s="1"/>
  <c r="B16" i="60" s="1"/>
  <c r="B17" i="60" s="1"/>
  <c r="B18" i="60" s="1"/>
  <c r="B19" i="60" s="1"/>
  <c r="B20" i="60" s="1"/>
  <c r="B21" i="60" s="1"/>
  <c r="B22" i="60" s="1"/>
  <c r="B23" i="60" s="1"/>
  <c r="B24" i="60" s="1"/>
  <c r="B25" i="60" s="1"/>
  <c r="B26" i="60" s="1"/>
  <c r="B27" i="60" s="1"/>
  <c r="B28" i="60" s="1"/>
  <c r="B29" i="60" s="1"/>
  <c r="B30" i="60" s="1"/>
  <c r="B31" i="60" s="1"/>
  <c r="B32" i="60" s="1"/>
  <c r="B33" i="60" s="1"/>
  <c r="B34" i="60" s="1"/>
  <c r="B35" i="60" s="1"/>
  <c r="B36" i="60" s="1"/>
  <c r="C25" i="59"/>
  <c r="C67" i="59"/>
  <c r="C68" i="59" s="1"/>
  <c r="D47" i="59"/>
  <c r="K11" i="59"/>
  <c r="E11" i="59"/>
  <c r="C49" i="59"/>
  <c r="D48" i="59"/>
  <c r="C48" i="59"/>
  <c r="C47" i="59"/>
  <c r="D46" i="59"/>
  <c r="C46" i="59"/>
  <c r="C45" i="59"/>
  <c r="D49" i="59"/>
  <c r="H11" i="59"/>
  <c r="G11" i="59"/>
  <c r="B11" i="59"/>
  <c r="B12" i="59" s="1"/>
  <c r="B13" i="59" s="1"/>
  <c r="B14" i="59" s="1"/>
  <c r="B15" i="59" s="1"/>
  <c r="B16" i="59" s="1"/>
  <c r="B17" i="59" s="1"/>
  <c r="B18" i="59" s="1"/>
  <c r="B19" i="59" s="1"/>
  <c r="B20" i="59" s="1"/>
  <c r="B21" i="59" s="1"/>
  <c r="B22" i="59" s="1"/>
  <c r="B23" i="59" s="1"/>
  <c r="B24" i="59" s="1"/>
  <c r="B25" i="59" s="1"/>
  <c r="B26" i="59" s="1"/>
  <c r="B27" i="59" s="1"/>
  <c r="B28" i="59" s="1"/>
  <c r="B29" i="59" s="1"/>
  <c r="B30" i="59" s="1"/>
  <c r="B31" i="59" s="1"/>
  <c r="B32" i="59" s="1"/>
  <c r="B33" i="59" s="1"/>
  <c r="B34" i="59" s="1"/>
  <c r="B35" i="59" s="1"/>
  <c r="B36" i="59" s="1"/>
  <c r="D47" i="58"/>
  <c r="D46" i="58"/>
  <c r="G11" i="58"/>
  <c r="E11" i="58"/>
  <c r="F11" i="58" s="1"/>
  <c r="C68" i="58"/>
  <c r="C69" i="58" s="1"/>
  <c r="C67" i="58"/>
  <c r="H12" i="58" s="1"/>
  <c r="C49" i="58"/>
  <c r="D48" i="58"/>
  <c r="C48" i="58"/>
  <c r="C47" i="58"/>
  <c r="C46" i="58"/>
  <c r="C45" i="58"/>
  <c r="D49" i="58"/>
  <c r="B12" i="58"/>
  <c r="B13" i="58" s="1"/>
  <c r="B14" i="58" s="1"/>
  <c r="B15" i="58" s="1"/>
  <c r="B16" i="58" s="1"/>
  <c r="B17" i="58" s="1"/>
  <c r="B18" i="58" s="1"/>
  <c r="B19" i="58" s="1"/>
  <c r="B20" i="58" s="1"/>
  <c r="B21" i="58" s="1"/>
  <c r="B22" i="58" s="1"/>
  <c r="B23" i="58" s="1"/>
  <c r="B24" i="58" s="1"/>
  <c r="B25" i="58" s="1"/>
  <c r="B26" i="58" s="1"/>
  <c r="B27" i="58" s="1"/>
  <c r="B28" i="58" s="1"/>
  <c r="B29" i="58" s="1"/>
  <c r="B30" i="58" s="1"/>
  <c r="B31" i="58" s="1"/>
  <c r="B32" i="58" s="1"/>
  <c r="B33" i="58" s="1"/>
  <c r="B34" i="58" s="1"/>
  <c r="B35" i="58" s="1"/>
  <c r="B36" i="58" s="1"/>
  <c r="K11" i="58"/>
  <c r="H11" i="58"/>
  <c r="B11" i="58"/>
  <c r="C27" i="57"/>
  <c r="C68" i="57"/>
  <c r="C69" i="57" s="1"/>
  <c r="C67" i="57"/>
  <c r="B3" i="57"/>
  <c r="C52" i="57" s="1"/>
  <c r="B9" i="57" s="1"/>
  <c r="D46" i="57"/>
  <c r="G11" i="57"/>
  <c r="K11" i="57"/>
  <c r="E11" i="57"/>
  <c r="F11" i="57" s="1"/>
  <c r="C49" i="57"/>
  <c r="D48" i="57"/>
  <c r="C48" i="57"/>
  <c r="D47" i="57"/>
  <c r="C47" i="57"/>
  <c r="C46" i="57"/>
  <c r="C45" i="57"/>
  <c r="D49" i="57"/>
  <c r="H11" i="57"/>
  <c r="B11" i="57"/>
  <c r="B12" i="57" s="1"/>
  <c r="B13" i="57" s="1"/>
  <c r="B14" i="57" s="1"/>
  <c r="B15" i="57" s="1"/>
  <c r="B16" i="57" s="1"/>
  <c r="B17" i="57" s="1"/>
  <c r="B18" i="57" s="1"/>
  <c r="B19" i="57" s="1"/>
  <c r="B20" i="57" s="1"/>
  <c r="B21" i="57" s="1"/>
  <c r="B22" i="57" s="1"/>
  <c r="B23" i="57" s="1"/>
  <c r="B24" i="57" s="1"/>
  <c r="B25" i="57" s="1"/>
  <c r="B26" i="57" s="1"/>
  <c r="B27" i="57" s="1"/>
  <c r="B28" i="57" s="1"/>
  <c r="B29" i="57" s="1"/>
  <c r="B30" i="57" s="1"/>
  <c r="B31" i="57" s="1"/>
  <c r="B32" i="57" s="1"/>
  <c r="B33" i="57" s="1"/>
  <c r="B34" i="57" s="1"/>
  <c r="B35" i="57" s="1"/>
  <c r="B36" i="57" s="1"/>
  <c r="H11" i="56"/>
  <c r="H11" i="41"/>
  <c r="C26" i="56"/>
  <c r="C68" i="56"/>
  <c r="C69" i="56" s="1"/>
  <c r="C67" i="56"/>
  <c r="D47" i="56"/>
  <c r="G11" i="56"/>
  <c r="K11" i="56"/>
  <c r="E11" i="56"/>
  <c r="F11" i="56" s="1"/>
  <c r="C49" i="56"/>
  <c r="D48" i="56"/>
  <c r="C48" i="56"/>
  <c r="C47" i="56"/>
  <c r="D46" i="56"/>
  <c r="C46" i="56"/>
  <c r="C45" i="56"/>
  <c r="D49" i="56"/>
  <c r="B11" i="56"/>
  <c r="B12" i="56" s="1"/>
  <c r="B13" i="56" s="1"/>
  <c r="B14" i="56" s="1"/>
  <c r="B15" i="56" s="1"/>
  <c r="B16" i="56" s="1"/>
  <c r="B17" i="56" s="1"/>
  <c r="B18" i="56" s="1"/>
  <c r="B19" i="56" s="1"/>
  <c r="B20" i="56" s="1"/>
  <c r="B21" i="56" s="1"/>
  <c r="B22" i="56" s="1"/>
  <c r="B23" i="56" s="1"/>
  <c r="B24" i="56" s="1"/>
  <c r="B25" i="56" s="1"/>
  <c r="B26" i="56" s="1"/>
  <c r="B27" i="56" s="1"/>
  <c r="B28" i="56" s="1"/>
  <c r="B29" i="56" s="1"/>
  <c r="B30" i="56" s="1"/>
  <c r="B31" i="56" s="1"/>
  <c r="B32" i="56" s="1"/>
  <c r="B33" i="56" s="1"/>
  <c r="B34" i="56" s="1"/>
  <c r="B35" i="56" s="1"/>
  <c r="B36" i="56" s="1"/>
  <c r="G11" i="41"/>
  <c r="K11" i="41"/>
  <c r="E11" i="41"/>
  <c r="C24" i="41"/>
  <c r="D24" i="41" s="1"/>
  <c r="B3" i="55"/>
  <c r="C52" i="55" s="1"/>
  <c r="B9" i="55" s="1"/>
  <c r="D46" i="55"/>
  <c r="G11" i="55"/>
  <c r="K11" i="55"/>
  <c r="E11" i="55"/>
  <c r="E11" i="40"/>
  <c r="K11" i="40"/>
  <c r="C29" i="55"/>
  <c r="C67" i="55"/>
  <c r="C68" i="55" s="1"/>
  <c r="D11" i="55"/>
  <c r="C49" i="55"/>
  <c r="D48" i="55"/>
  <c r="C48" i="55"/>
  <c r="C47" i="55"/>
  <c r="C46" i="55"/>
  <c r="C45" i="55"/>
  <c r="D49" i="55"/>
  <c r="H11" i="55"/>
  <c r="B11" i="55"/>
  <c r="B12" i="55" s="1"/>
  <c r="B13" i="55" s="1"/>
  <c r="B14" i="55" s="1"/>
  <c r="B15" i="55" s="1"/>
  <c r="B16" i="55" s="1"/>
  <c r="B17" i="55" s="1"/>
  <c r="B18" i="55" s="1"/>
  <c r="B19" i="55" s="1"/>
  <c r="B20" i="55" s="1"/>
  <c r="B21" i="55" s="1"/>
  <c r="B22" i="55" s="1"/>
  <c r="B23" i="55" s="1"/>
  <c r="B24" i="55" s="1"/>
  <c r="B25" i="55" s="1"/>
  <c r="B26" i="55" s="1"/>
  <c r="B27" i="55" s="1"/>
  <c r="B28" i="55" s="1"/>
  <c r="B29" i="55" s="1"/>
  <c r="B30" i="55" s="1"/>
  <c r="B31" i="55" s="1"/>
  <c r="B32" i="55" s="1"/>
  <c r="B33" i="55" s="1"/>
  <c r="B34" i="55" s="1"/>
  <c r="B35" i="55" s="1"/>
  <c r="B36" i="55" s="1"/>
  <c r="H11" i="40"/>
  <c r="G11" i="40"/>
  <c r="C27" i="40"/>
  <c r="B3" i="54"/>
  <c r="C52" i="54" s="1"/>
  <c r="B9" i="54" s="1"/>
  <c r="D46" i="54"/>
  <c r="G11" i="54"/>
  <c r="K11" i="54"/>
  <c r="E11" i="54"/>
  <c r="C29" i="54"/>
  <c r="D29" i="54" s="1"/>
  <c r="C68" i="54"/>
  <c r="C67" i="54"/>
  <c r="P11" i="54"/>
  <c r="D49" i="54"/>
  <c r="C49" i="54"/>
  <c r="D48" i="54"/>
  <c r="C48" i="54"/>
  <c r="C47" i="54"/>
  <c r="C46" i="54"/>
  <c r="C45" i="54"/>
  <c r="B15" i="54"/>
  <c r="B16" i="54" s="1"/>
  <c r="B17" i="54" s="1"/>
  <c r="B18" i="54" s="1"/>
  <c r="B19" i="54" s="1"/>
  <c r="B20" i="54" s="1"/>
  <c r="B21" i="54" s="1"/>
  <c r="B22" i="54" s="1"/>
  <c r="B23" i="54" s="1"/>
  <c r="B24" i="54" s="1"/>
  <c r="B25" i="54" s="1"/>
  <c r="B26" i="54" s="1"/>
  <c r="B27" i="54" s="1"/>
  <c r="B28" i="54" s="1"/>
  <c r="B29" i="54" s="1"/>
  <c r="B30" i="54" s="1"/>
  <c r="B31" i="54" s="1"/>
  <c r="B32" i="54" s="1"/>
  <c r="B33" i="54" s="1"/>
  <c r="B34" i="54" s="1"/>
  <c r="B35" i="54" s="1"/>
  <c r="B36" i="54" s="1"/>
  <c r="B13" i="54"/>
  <c r="B14" i="54" s="1"/>
  <c r="H11" i="54"/>
  <c r="B11" i="54"/>
  <c r="B12" i="54" s="1"/>
  <c r="P10" i="54"/>
  <c r="C29" i="53"/>
  <c r="C68" i="53"/>
  <c r="H12" i="53"/>
  <c r="C67" i="53"/>
  <c r="D47" i="53"/>
  <c r="D46" i="53"/>
  <c r="G11" i="53"/>
  <c r="K11" i="53"/>
  <c r="E11" i="53"/>
  <c r="F11" i="53" s="1"/>
  <c r="D49" i="53"/>
  <c r="C49" i="53"/>
  <c r="D48" i="53"/>
  <c r="C48" i="53"/>
  <c r="C47" i="53"/>
  <c r="C46" i="53"/>
  <c r="C45" i="53"/>
  <c r="B13" i="53"/>
  <c r="B14" i="53" s="1"/>
  <c r="B15" i="53" s="1"/>
  <c r="B16" i="53" s="1"/>
  <c r="B17" i="53" s="1"/>
  <c r="B18" i="53" s="1"/>
  <c r="B19" i="53" s="1"/>
  <c r="B20" i="53" s="1"/>
  <c r="B21" i="53" s="1"/>
  <c r="B22" i="53" s="1"/>
  <c r="B23" i="53" s="1"/>
  <c r="B24" i="53" s="1"/>
  <c r="B25" i="53" s="1"/>
  <c r="B26" i="53" s="1"/>
  <c r="B27" i="53" s="1"/>
  <c r="B28" i="53" s="1"/>
  <c r="B29" i="53" s="1"/>
  <c r="B30" i="53" s="1"/>
  <c r="B31" i="53" s="1"/>
  <c r="B32" i="53" s="1"/>
  <c r="B33" i="53" s="1"/>
  <c r="B34" i="53" s="1"/>
  <c r="B35" i="53" s="1"/>
  <c r="B36" i="53" s="1"/>
  <c r="B12" i="53"/>
  <c r="H11" i="53"/>
  <c r="B11" i="53"/>
  <c r="P10" i="53"/>
  <c r="D47" i="52"/>
  <c r="D46" i="52"/>
  <c r="G11" i="52"/>
  <c r="K11" i="52"/>
  <c r="E11" i="52"/>
  <c r="C29" i="52"/>
  <c r="D29" i="52" s="1"/>
  <c r="C67" i="52"/>
  <c r="D49" i="52"/>
  <c r="C49" i="52"/>
  <c r="D48" i="52"/>
  <c r="C48" i="52"/>
  <c r="C47" i="52"/>
  <c r="C46" i="52"/>
  <c r="C45" i="52"/>
  <c r="B15" i="52"/>
  <c r="B16" i="52" s="1"/>
  <c r="B17" i="52" s="1"/>
  <c r="B18" i="52" s="1"/>
  <c r="B19" i="52" s="1"/>
  <c r="B20" i="52" s="1"/>
  <c r="B21" i="52" s="1"/>
  <c r="B22" i="52" s="1"/>
  <c r="B23" i="52" s="1"/>
  <c r="B24" i="52" s="1"/>
  <c r="B25" i="52" s="1"/>
  <c r="B26" i="52" s="1"/>
  <c r="B27" i="52" s="1"/>
  <c r="B28" i="52" s="1"/>
  <c r="B29" i="52" s="1"/>
  <c r="B30" i="52" s="1"/>
  <c r="B31" i="52" s="1"/>
  <c r="B32" i="52" s="1"/>
  <c r="B33" i="52" s="1"/>
  <c r="B34" i="52" s="1"/>
  <c r="B35" i="52" s="1"/>
  <c r="B36" i="52" s="1"/>
  <c r="B14" i="52"/>
  <c r="H11" i="52"/>
  <c r="B11" i="52"/>
  <c r="B12" i="52" s="1"/>
  <c r="B13" i="52" s="1"/>
  <c r="P10" i="52"/>
  <c r="H11" i="44"/>
  <c r="G11" i="44"/>
  <c r="K11" i="44"/>
  <c r="E11" i="44"/>
  <c r="C27" i="44"/>
  <c r="C30" i="50"/>
  <c r="D47" i="50"/>
  <c r="D46" i="50"/>
  <c r="G11" i="50"/>
  <c r="K11" i="50"/>
  <c r="E11" i="50"/>
  <c r="F11" i="50" s="1"/>
  <c r="C24" i="42"/>
  <c r="C68" i="50"/>
  <c r="C67" i="50"/>
  <c r="H11" i="50"/>
  <c r="C49" i="50"/>
  <c r="D48" i="50"/>
  <c r="C48" i="50"/>
  <c r="C47" i="50"/>
  <c r="C46" i="50"/>
  <c r="C45" i="50"/>
  <c r="D44" i="50"/>
  <c r="D49" i="50" s="1"/>
  <c r="B12" i="50"/>
  <c r="B13" i="50" s="1"/>
  <c r="B14" i="50" s="1"/>
  <c r="B15" i="50" s="1"/>
  <c r="B16" i="50" s="1"/>
  <c r="B17" i="50" s="1"/>
  <c r="B18" i="50" s="1"/>
  <c r="B19" i="50" s="1"/>
  <c r="B20" i="50" s="1"/>
  <c r="B21" i="50" s="1"/>
  <c r="B22" i="50" s="1"/>
  <c r="B23" i="50" s="1"/>
  <c r="B24" i="50" s="1"/>
  <c r="B25" i="50" s="1"/>
  <c r="B26" i="50" s="1"/>
  <c r="B27" i="50" s="1"/>
  <c r="B28" i="50" s="1"/>
  <c r="B29" i="50" s="1"/>
  <c r="B30" i="50" s="1"/>
  <c r="B31" i="50" s="1"/>
  <c r="B32" i="50" s="1"/>
  <c r="B33" i="50" s="1"/>
  <c r="B34" i="50" s="1"/>
  <c r="B35" i="50" s="1"/>
  <c r="B36" i="50" s="1"/>
  <c r="B11" i="50"/>
  <c r="P10" i="50"/>
  <c r="D44" i="42"/>
  <c r="G11" i="42"/>
  <c r="C15" i="49"/>
  <c r="C69" i="49"/>
  <c r="C70" i="49" s="1"/>
  <c r="C67" i="49"/>
  <c r="C68" i="49" s="1"/>
  <c r="D47" i="49"/>
  <c r="D46" i="49"/>
  <c r="H11" i="49"/>
  <c r="G11" i="49"/>
  <c r="L11" i="49"/>
  <c r="E11" i="49"/>
  <c r="D49" i="49"/>
  <c r="C49" i="49"/>
  <c r="D48" i="49"/>
  <c r="C48" i="49"/>
  <c r="C47" i="49"/>
  <c r="C46" i="49"/>
  <c r="C45" i="49"/>
  <c r="B11" i="49"/>
  <c r="B12" i="49" s="1"/>
  <c r="B13" i="49" s="1"/>
  <c r="B14" i="49" s="1"/>
  <c r="K11" i="42"/>
  <c r="D27" i="40" l="1"/>
  <c r="H12" i="59"/>
  <c r="E21" i="62"/>
  <c r="B3" i="50"/>
  <c r="C52" i="50" s="1"/>
  <c r="B9" i="50" s="1"/>
  <c r="G12" i="57"/>
  <c r="P12" i="54"/>
  <c r="B3" i="58"/>
  <c r="C52" i="58" s="1"/>
  <c r="B9" i="58" s="1"/>
  <c r="H13" i="53"/>
  <c r="H12" i="57"/>
  <c r="G12" i="58"/>
  <c r="G13" i="58" s="1"/>
  <c r="G12" i="59"/>
  <c r="G12" i="53"/>
  <c r="G13" i="53" s="1"/>
  <c r="H13" i="58"/>
  <c r="K12" i="56"/>
  <c r="K13" i="56" s="1"/>
  <c r="K12" i="50"/>
  <c r="P11" i="52"/>
  <c r="K12" i="53"/>
  <c r="H12" i="54"/>
  <c r="K12" i="54"/>
  <c r="E12" i="59"/>
  <c r="F12" i="59" s="1"/>
  <c r="H12" i="50"/>
  <c r="K12" i="59"/>
  <c r="P11" i="50"/>
  <c r="P12" i="50" s="1"/>
  <c r="K12" i="57"/>
  <c r="G12" i="54"/>
  <c r="P11" i="53"/>
  <c r="P12" i="53" s="1"/>
  <c r="P13" i="53" s="1"/>
  <c r="G12" i="50"/>
  <c r="H21" i="62"/>
  <c r="D20" i="62"/>
  <c r="F19" i="62"/>
  <c r="I19" i="62" s="1"/>
  <c r="J19" i="62" s="1"/>
  <c r="K21" i="62"/>
  <c r="F69" i="62"/>
  <c r="G22" i="62"/>
  <c r="F11" i="49"/>
  <c r="J11" i="49" s="1"/>
  <c r="K11" i="49" s="1"/>
  <c r="B3" i="56"/>
  <c r="C52" i="56" s="1"/>
  <c r="B9" i="56" s="1"/>
  <c r="D27" i="61"/>
  <c r="D29" i="53"/>
  <c r="I11" i="53"/>
  <c r="J11" i="53" s="1"/>
  <c r="D47" i="55"/>
  <c r="B3" i="59"/>
  <c r="C52" i="59" s="1"/>
  <c r="B9" i="59" s="1"/>
  <c r="B3" i="60"/>
  <c r="C52" i="60" s="1"/>
  <c r="B9" i="60" s="1"/>
  <c r="D15" i="49"/>
  <c r="B3" i="53"/>
  <c r="C52" i="53" s="1"/>
  <c r="B9" i="53" s="1"/>
  <c r="D24" i="42"/>
  <c r="I11" i="50"/>
  <c r="J11" i="50" s="1"/>
  <c r="B3" i="49"/>
  <c r="C52" i="49" s="1"/>
  <c r="B9" i="49" s="1"/>
  <c r="D30" i="50"/>
  <c r="D27" i="44"/>
  <c r="D47" i="54"/>
  <c r="E12" i="57"/>
  <c r="F12" i="57" s="1"/>
  <c r="D27" i="57"/>
  <c r="D29" i="55"/>
  <c r="D26" i="60"/>
  <c r="D26" i="56"/>
  <c r="D25" i="59"/>
  <c r="F11" i="61"/>
  <c r="I11" i="61" s="1"/>
  <c r="J11" i="61" s="1"/>
  <c r="H12" i="61"/>
  <c r="C68" i="61"/>
  <c r="D47" i="61"/>
  <c r="I11" i="60"/>
  <c r="J11" i="60" s="1"/>
  <c r="C69" i="60"/>
  <c r="H12" i="60"/>
  <c r="C69" i="59"/>
  <c r="F11" i="59"/>
  <c r="I11" i="59" s="1"/>
  <c r="J11" i="59" s="1"/>
  <c r="I11" i="58"/>
  <c r="J11" i="58" s="1"/>
  <c r="K12" i="58"/>
  <c r="K13" i="58" s="1"/>
  <c r="C70" i="58"/>
  <c r="E12" i="58"/>
  <c r="I11" i="57"/>
  <c r="J11" i="57" s="1"/>
  <c r="C70" i="57"/>
  <c r="H12" i="56"/>
  <c r="H13" i="56" s="1"/>
  <c r="G12" i="56"/>
  <c r="G13" i="56" s="1"/>
  <c r="E12" i="56"/>
  <c r="C70" i="56"/>
  <c r="F11" i="55"/>
  <c r="I11" i="55" s="1"/>
  <c r="J11" i="55" s="1"/>
  <c r="C69" i="55"/>
  <c r="E12" i="54"/>
  <c r="F12" i="54" s="1"/>
  <c r="F11" i="54"/>
  <c r="I11" i="54" s="1"/>
  <c r="J11" i="54" s="1"/>
  <c r="C69" i="54"/>
  <c r="E12" i="53"/>
  <c r="K13" i="53"/>
  <c r="C69" i="53"/>
  <c r="F11" i="52"/>
  <c r="I11" i="52" s="1"/>
  <c r="J11" i="52" s="1"/>
  <c r="C68" i="52"/>
  <c r="G12" i="52"/>
  <c r="B3" i="52"/>
  <c r="C52" i="52" s="1"/>
  <c r="B9" i="52" s="1"/>
  <c r="C69" i="50"/>
  <c r="E12" i="50"/>
  <c r="B15" i="49"/>
  <c r="C71" i="49"/>
  <c r="H12" i="49"/>
  <c r="H13" i="49" s="1"/>
  <c r="G13" i="57" l="1"/>
  <c r="G14" i="57" s="1"/>
  <c r="H14" i="58"/>
  <c r="I12" i="57"/>
  <c r="J12" i="57" s="1"/>
  <c r="I12" i="54"/>
  <c r="J12" i="54" s="1"/>
  <c r="G13" i="54"/>
  <c r="I12" i="59"/>
  <c r="J12" i="59" s="1"/>
  <c r="K13" i="50"/>
  <c r="G13" i="59"/>
  <c r="P13" i="54"/>
  <c r="G12" i="61"/>
  <c r="K12" i="60"/>
  <c r="K13" i="60" s="1"/>
  <c r="E12" i="61"/>
  <c r="F12" i="61" s="1"/>
  <c r="H13" i="54"/>
  <c r="H14" i="54" s="1"/>
  <c r="H13" i="57"/>
  <c r="H14" i="57" s="1"/>
  <c r="H14" i="49"/>
  <c r="H15" i="49" s="1"/>
  <c r="K13" i="54"/>
  <c r="K13" i="57"/>
  <c r="K14" i="57" s="1"/>
  <c r="K12" i="61"/>
  <c r="D21" i="62"/>
  <c r="F20" i="62"/>
  <c r="I20" i="62" s="1"/>
  <c r="J20" i="62" s="1"/>
  <c r="G23" i="62"/>
  <c r="F70" i="62"/>
  <c r="H22" i="62"/>
  <c r="K22" i="62"/>
  <c r="E22" i="62"/>
  <c r="E23" i="62" s="1"/>
  <c r="E13" i="57"/>
  <c r="E14" i="57" s="1"/>
  <c r="H13" i="61"/>
  <c r="C69" i="61"/>
  <c r="C70" i="60"/>
  <c r="G12" i="60"/>
  <c r="G13" i="60" s="1"/>
  <c r="H13" i="60"/>
  <c r="E12" i="60"/>
  <c r="H13" i="59"/>
  <c r="E13" i="59"/>
  <c r="K13" i="59"/>
  <c r="C70" i="59"/>
  <c r="G14" i="58"/>
  <c r="F12" i="58"/>
  <c r="I12" i="58" s="1"/>
  <c r="J12" i="58" s="1"/>
  <c r="E13" i="58"/>
  <c r="K14" i="58"/>
  <c r="C71" i="58"/>
  <c r="C71" i="57"/>
  <c r="H14" i="56"/>
  <c r="H15" i="56" s="1"/>
  <c r="F12" i="56"/>
  <c r="I12" i="56" s="1"/>
  <c r="J12" i="56" s="1"/>
  <c r="E13" i="56"/>
  <c r="C71" i="56"/>
  <c r="K14" i="56"/>
  <c r="I11" i="56"/>
  <c r="J11" i="56" s="1"/>
  <c r="G14" i="56"/>
  <c r="H12" i="55"/>
  <c r="H13" i="55" s="1"/>
  <c r="D12" i="55"/>
  <c r="G12" i="55"/>
  <c r="G13" i="55" s="1"/>
  <c r="K12" i="55"/>
  <c r="K13" i="55" s="1"/>
  <c r="C70" i="55"/>
  <c r="E12" i="55"/>
  <c r="E13" i="55" s="1"/>
  <c r="C70" i="54"/>
  <c r="E13" i="54"/>
  <c r="C70" i="53"/>
  <c r="K14" i="53"/>
  <c r="E13" i="53"/>
  <c r="F12" i="53"/>
  <c r="I12" i="53" s="1"/>
  <c r="J12" i="53" s="1"/>
  <c r="E12" i="52"/>
  <c r="G13" i="52"/>
  <c r="C69" i="52"/>
  <c r="P12" i="52"/>
  <c r="K12" i="52"/>
  <c r="H12" i="52"/>
  <c r="F12" i="50"/>
  <c r="I12" i="50" s="1"/>
  <c r="J12" i="50" s="1"/>
  <c r="E13" i="50"/>
  <c r="G13" i="50"/>
  <c r="C70" i="50"/>
  <c r="P13" i="50"/>
  <c r="H13" i="50"/>
  <c r="B16" i="49"/>
  <c r="E12" i="49"/>
  <c r="G12" i="49"/>
  <c r="G13" i="49" s="1"/>
  <c r="G14" i="49" s="1"/>
  <c r="G15" i="49" s="1"/>
  <c r="C72" i="49"/>
  <c r="L12" i="49"/>
  <c r="L13" i="49" s="1"/>
  <c r="L14" i="49" s="1"/>
  <c r="L15" i="49" s="1"/>
  <c r="H15" i="58" l="1"/>
  <c r="G15" i="57"/>
  <c r="K14" i="50"/>
  <c r="F13" i="57"/>
  <c r="I13" i="57" s="1"/>
  <c r="J13" i="57" s="1"/>
  <c r="I12" i="61"/>
  <c r="J12" i="61" s="1"/>
  <c r="H16" i="49"/>
  <c r="P14" i="54"/>
  <c r="G14" i="59"/>
  <c r="L16" i="49"/>
  <c r="G16" i="49"/>
  <c r="H15" i="57"/>
  <c r="K14" i="59"/>
  <c r="K15" i="56"/>
  <c r="E14" i="55"/>
  <c r="G14" i="55"/>
  <c r="G14" i="50"/>
  <c r="K13" i="52"/>
  <c r="K15" i="57"/>
  <c r="G13" i="61"/>
  <c r="P14" i="50"/>
  <c r="K14" i="55"/>
  <c r="K23" i="62"/>
  <c r="H23" i="62"/>
  <c r="F21" i="62"/>
  <c r="I21" i="62" s="1"/>
  <c r="J21" i="62" s="1"/>
  <c r="D22" i="62"/>
  <c r="F71" i="62"/>
  <c r="G24" i="62"/>
  <c r="C70" i="61"/>
  <c r="H14" i="61"/>
  <c r="K13" i="61"/>
  <c r="E13" i="61"/>
  <c r="F12" i="60"/>
  <c r="I12" i="60" s="1"/>
  <c r="J12" i="60" s="1"/>
  <c r="E13" i="60"/>
  <c r="C71" i="60"/>
  <c r="H14" i="60"/>
  <c r="K14" i="60"/>
  <c r="G14" i="60"/>
  <c r="C71" i="59"/>
  <c r="H14" i="59"/>
  <c r="E14" i="59"/>
  <c r="F13" i="59"/>
  <c r="I13" i="59" s="1"/>
  <c r="J13" i="59" s="1"/>
  <c r="F13" i="58"/>
  <c r="I13" i="58" s="1"/>
  <c r="J13" i="58" s="1"/>
  <c r="E14" i="58"/>
  <c r="G15" i="58"/>
  <c r="C72" i="58"/>
  <c r="K15" i="58"/>
  <c r="F14" i="57"/>
  <c r="I14" i="57" s="1"/>
  <c r="J14" i="57" s="1"/>
  <c r="E15" i="57"/>
  <c r="C72" i="57"/>
  <c r="C72" i="56"/>
  <c r="G15" i="56"/>
  <c r="F13" i="56"/>
  <c r="I13" i="56" s="1"/>
  <c r="J13" i="56" s="1"/>
  <c r="E14" i="56"/>
  <c r="D13" i="55"/>
  <c r="F12" i="55"/>
  <c r="I12" i="55" s="1"/>
  <c r="J12" i="55" s="1"/>
  <c r="C71" i="55"/>
  <c r="H14" i="55"/>
  <c r="E14" i="54"/>
  <c r="F13" i="54"/>
  <c r="I13" i="54" s="1"/>
  <c r="J13" i="54" s="1"/>
  <c r="C71" i="54"/>
  <c r="H15" i="54"/>
  <c r="K14" i="54"/>
  <c r="G14" i="54"/>
  <c r="H14" i="53"/>
  <c r="P14" i="53"/>
  <c r="G14" i="53"/>
  <c r="E14" i="53"/>
  <c r="F13" i="53"/>
  <c r="I13" i="53" s="1"/>
  <c r="J13" i="53" s="1"/>
  <c r="K15" i="53"/>
  <c r="C71" i="53"/>
  <c r="P13" i="52"/>
  <c r="H13" i="52"/>
  <c r="G14" i="52"/>
  <c r="C70" i="52"/>
  <c r="E13" i="52"/>
  <c r="F12" i="52"/>
  <c r="I12" i="52" s="1"/>
  <c r="J12" i="52" s="1"/>
  <c r="H14" i="50"/>
  <c r="C71" i="50"/>
  <c r="E14" i="50"/>
  <c r="F13" i="50"/>
  <c r="I13" i="50" s="1"/>
  <c r="J13" i="50" s="1"/>
  <c r="E13" i="49"/>
  <c r="F12" i="49"/>
  <c r="J12" i="49" s="1"/>
  <c r="K12" i="49" s="1"/>
  <c r="B17" i="49"/>
  <c r="C73" i="49"/>
  <c r="D16" i="49"/>
  <c r="K15" i="50" l="1"/>
  <c r="H16" i="58"/>
  <c r="H17" i="58" s="1"/>
  <c r="H17" i="49"/>
  <c r="H18" i="49" s="1"/>
  <c r="G15" i="60"/>
  <c r="K16" i="56"/>
  <c r="G15" i="59"/>
  <c r="G16" i="59" s="1"/>
  <c r="G16" i="56"/>
  <c r="H16" i="57"/>
  <c r="G15" i="55"/>
  <c r="K16" i="58"/>
  <c r="H15" i="59"/>
  <c r="H15" i="50"/>
  <c r="H15" i="55"/>
  <c r="K15" i="55"/>
  <c r="H15" i="60"/>
  <c r="H14" i="52"/>
  <c r="P15" i="54"/>
  <c r="K15" i="54"/>
  <c r="H24" i="62"/>
  <c r="G25" i="62"/>
  <c r="F72" i="62"/>
  <c r="K24" i="62"/>
  <c r="D23" i="62"/>
  <c r="F22" i="62"/>
  <c r="I22" i="62" s="1"/>
  <c r="J22" i="62" s="1"/>
  <c r="E24" i="62"/>
  <c r="F13" i="61"/>
  <c r="I13" i="61" s="1"/>
  <c r="J13" i="61" s="1"/>
  <c r="E14" i="61"/>
  <c r="K14" i="61"/>
  <c r="H15" i="61"/>
  <c r="C71" i="61"/>
  <c r="G14" i="61"/>
  <c r="C72" i="60"/>
  <c r="K15" i="60"/>
  <c r="F13" i="60"/>
  <c r="I13" i="60" s="1"/>
  <c r="J13" i="60" s="1"/>
  <c r="E14" i="60"/>
  <c r="C72" i="59"/>
  <c r="E15" i="59"/>
  <c r="F14" i="59"/>
  <c r="I14" i="59" s="1"/>
  <c r="J14" i="59" s="1"/>
  <c r="K15" i="59"/>
  <c r="C24" i="58"/>
  <c r="D24" i="58" s="1"/>
  <c r="F14" i="58"/>
  <c r="I14" i="58" s="1"/>
  <c r="J14" i="58" s="1"/>
  <c r="E15" i="58"/>
  <c r="G16" i="58"/>
  <c r="C73" i="58"/>
  <c r="K16" i="57"/>
  <c r="G16" i="57"/>
  <c r="E16" i="57"/>
  <c r="F15" i="57"/>
  <c r="I15" i="57" s="1"/>
  <c r="J15" i="57" s="1"/>
  <c r="C73" i="57"/>
  <c r="C73" i="56"/>
  <c r="H16" i="56"/>
  <c r="F14" i="56"/>
  <c r="I14" i="56" s="1"/>
  <c r="J14" i="56" s="1"/>
  <c r="E15" i="56"/>
  <c r="C72" i="55"/>
  <c r="F13" i="55"/>
  <c r="I13" i="55" s="1"/>
  <c r="J13" i="55" s="1"/>
  <c r="D14" i="55"/>
  <c r="E15" i="55"/>
  <c r="E15" i="54"/>
  <c r="F14" i="54"/>
  <c r="I14" i="54" s="1"/>
  <c r="J14" i="54" s="1"/>
  <c r="G15" i="54"/>
  <c r="C72" i="54"/>
  <c r="G15" i="53"/>
  <c r="P15" i="53"/>
  <c r="C72" i="53"/>
  <c r="K16" i="53"/>
  <c r="E15" i="53"/>
  <c r="F14" i="53"/>
  <c r="I14" i="53" s="1"/>
  <c r="J14" i="53" s="1"/>
  <c r="H15" i="53"/>
  <c r="E14" i="52"/>
  <c r="F13" i="52"/>
  <c r="I13" i="52" s="1"/>
  <c r="J13" i="52" s="1"/>
  <c r="K14" i="52"/>
  <c r="P14" i="52"/>
  <c r="G15" i="52"/>
  <c r="C71" i="52"/>
  <c r="G15" i="50"/>
  <c r="C72" i="50"/>
  <c r="P15" i="50"/>
  <c r="E15" i="50"/>
  <c r="F14" i="50"/>
  <c r="I14" i="50" s="1"/>
  <c r="J14" i="50" s="1"/>
  <c r="F13" i="49"/>
  <c r="J13" i="49" s="1"/>
  <c r="K13" i="49" s="1"/>
  <c r="E14" i="49"/>
  <c r="C74" i="49"/>
  <c r="D17" i="49"/>
  <c r="L17" i="49"/>
  <c r="G17" i="49"/>
  <c r="B18" i="49"/>
  <c r="K16" i="50" l="1"/>
  <c r="K17" i="50" s="1"/>
  <c r="H17" i="57"/>
  <c r="G16" i="60"/>
  <c r="P16" i="54"/>
  <c r="G16" i="55"/>
  <c r="H16" i="59"/>
  <c r="G17" i="56"/>
  <c r="L18" i="49"/>
  <c r="G16" i="53"/>
  <c r="K16" i="54"/>
  <c r="K17" i="56"/>
  <c r="P16" i="53"/>
  <c r="G16" i="54"/>
  <c r="H16" i="54"/>
  <c r="H17" i="56"/>
  <c r="H18" i="56" s="1"/>
  <c r="K17" i="57"/>
  <c r="G15" i="61"/>
  <c r="G18" i="49"/>
  <c r="H16" i="60"/>
  <c r="H15" i="52"/>
  <c r="E25" i="62"/>
  <c r="F73" i="62"/>
  <c r="G26" i="62"/>
  <c r="D24" i="62"/>
  <c r="F23" i="62"/>
  <c r="I23" i="62" s="1"/>
  <c r="J23" i="62" s="1"/>
  <c r="H25" i="62"/>
  <c r="K25" i="62"/>
  <c r="K15" i="61"/>
  <c r="F14" i="61"/>
  <c r="I14" i="61" s="1"/>
  <c r="J14" i="61" s="1"/>
  <c r="E15" i="61"/>
  <c r="H16" i="61"/>
  <c r="C72" i="61"/>
  <c r="K16" i="60"/>
  <c r="F14" i="60"/>
  <c r="I14" i="60" s="1"/>
  <c r="J14" i="60" s="1"/>
  <c r="E15" i="60"/>
  <c r="C73" i="60"/>
  <c r="E16" i="59"/>
  <c r="F15" i="59"/>
  <c r="I15" i="59" s="1"/>
  <c r="J15" i="59" s="1"/>
  <c r="K16" i="59"/>
  <c r="C73" i="59"/>
  <c r="G17" i="58"/>
  <c r="C74" i="58"/>
  <c r="H18" i="58"/>
  <c r="F15" i="58"/>
  <c r="I15" i="58" s="1"/>
  <c r="J15" i="58" s="1"/>
  <c r="E16" i="58"/>
  <c r="K17" i="58"/>
  <c r="F16" i="57"/>
  <c r="I16" i="57" s="1"/>
  <c r="J16" i="57" s="1"/>
  <c r="E17" i="57"/>
  <c r="C74" i="57"/>
  <c r="G17" i="57"/>
  <c r="C74" i="56"/>
  <c r="F15" i="56"/>
  <c r="I15" i="56" s="1"/>
  <c r="J15" i="56" s="1"/>
  <c r="E16" i="56"/>
  <c r="H16" i="55"/>
  <c r="C73" i="55"/>
  <c r="E16" i="55"/>
  <c r="D15" i="55"/>
  <c r="F14" i="55"/>
  <c r="I14" i="55" s="1"/>
  <c r="J14" i="55" s="1"/>
  <c r="K16" i="55"/>
  <c r="C73" i="54"/>
  <c r="F15" i="54"/>
  <c r="I15" i="54" s="1"/>
  <c r="J15" i="54" s="1"/>
  <c r="E16" i="54"/>
  <c r="H16" i="53"/>
  <c r="K17" i="53"/>
  <c r="C73" i="53"/>
  <c r="E16" i="53"/>
  <c r="F15" i="53"/>
  <c r="I15" i="53" s="1"/>
  <c r="J15" i="53" s="1"/>
  <c r="C72" i="52"/>
  <c r="G16" i="52"/>
  <c r="E15" i="52"/>
  <c r="F14" i="52"/>
  <c r="I14" i="52" s="1"/>
  <c r="J14" i="52" s="1"/>
  <c r="P15" i="52"/>
  <c r="K15" i="52"/>
  <c r="F15" i="50"/>
  <c r="I15" i="50" s="1"/>
  <c r="J15" i="50" s="1"/>
  <c r="E16" i="50"/>
  <c r="H16" i="50"/>
  <c r="G16" i="50"/>
  <c r="P16" i="50"/>
  <c r="C73" i="50"/>
  <c r="H19" i="49"/>
  <c r="F66" i="49"/>
  <c r="E15" i="49"/>
  <c r="F14" i="49"/>
  <c r="J14" i="49" s="1"/>
  <c r="K14" i="49" s="1"/>
  <c r="D18" i="49"/>
  <c r="B19" i="49"/>
  <c r="G17" i="60" l="1"/>
  <c r="H18" i="57"/>
  <c r="G17" i="55"/>
  <c r="P17" i="54"/>
  <c r="H17" i="59"/>
  <c r="K26" i="62"/>
  <c r="K16" i="52"/>
  <c r="P17" i="53"/>
  <c r="K17" i="55"/>
  <c r="K18" i="57"/>
  <c r="G17" i="59"/>
  <c r="G19" i="49"/>
  <c r="H17" i="50"/>
  <c r="K18" i="58"/>
  <c r="K17" i="59"/>
  <c r="K17" i="60"/>
  <c r="G18" i="56"/>
  <c r="H17" i="60"/>
  <c r="G17" i="53"/>
  <c r="H17" i="54"/>
  <c r="K18" i="56"/>
  <c r="K19" i="56" s="1"/>
  <c r="K16" i="61"/>
  <c r="H26" i="62"/>
  <c r="G27" i="62"/>
  <c r="F74" i="62"/>
  <c r="E26" i="62"/>
  <c r="F24" i="62"/>
  <c r="I24" i="62" s="1"/>
  <c r="J24" i="62" s="1"/>
  <c r="D25" i="62"/>
  <c r="H17" i="61"/>
  <c r="C73" i="61"/>
  <c r="G16" i="61"/>
  <c r="F15" i="61"/>
  <c r="I15" i="61" s="1"/>
  <c r="J15" i="61" s="1"/>
  <c r="E16" i="61"/>
  <c r="F15" i="60"/>
  <c r="I15" i="60" s="1"/>
  <c r="J15" i="60" s="1"/>
  <c r="E16" i="60"/>
  <c r="C74" i="60"/>
  <c r="G18" i="60"/>
  <c r="C74" i="59"/>
  <c r="E17" i="59"/>
  <c r="F16" i="59"/>
  <c r="I16" i="59" s="1"/>
  <c r="J16" i="59" s="1"/>
  <c r="F16" i="58"/>
  <c r="I16" i="58" s="1"/>
  <c r="J16" i="58" s="1"/>
  <c r="E17" i="58"/>
  <c r="G18" i="58"/>
  <c r="H19" i="58"/>
  <c r="F66" i="58"/>
  <c r="F66" i="57"/>
  <c r="F17" i="57"/>
  <c r="I17" i="57" s="1"/>
  <c r="J17" i="57" s="1"/>
  <c r="E18" i="57"/>
  <c r="G18" i="57"/>
  <c r="F66" i="56"/>
  <c r="F16" i="56"/>
  <c r="I16" i="56" s="1"/>
  <c r="J16" i="56" s="1"/>
  <c r="E17" i="56"/>
  <c r="C74" i="55"/>
  <c r="F15" i="55"/>
  <c r="I15" i="55" s="1"/>
  <c r="J15" i="55" s="1"/>
  <c r="D16" i="55"/>
  <c r="H17" i="55"/>
  <c r="E17" i="55"/>
  <c r="K17" i="54"/>
  <c r="C74" i="54"/>
  <c r="E17" i="54"/>
  <c r="F16" i="54"/>
  <c r="I16" i="54" s="1"/>
  <c r="J16" i="54" s="1"/>
  <c r="G17" i="54"/>
  <c r="H17" i="53"/>
  <c r="E17" i="53"/>
  <c r="F16" i="53"/>
  <c r="I16" i="53" s="1"/>
  <c r="J16" i="53" s="1"/>
  <c r="C74" i="53"/>
  <c r="K18" i="53"/>
  <c r="H16" i="52"/>
  <c r="G17" i="52"/>
  <c r="C73" i="52"/>
  <c r="E16" i="52"/>
  <c r="F15" i="52"/>
  <c r="I15" i="52" s="1"/>
  <c r="J15" i="52" s="1"/>
  <c r="P16" i="52"/>
  <c r="K18" i="50"/>
  <c r="C74" i="50"/>
  <c r="E17" i="50"/>
  <c r="F16" i="50"/>
  <c r="I16" i="50" s="1"/>
  <c r="J16" i="50" s="1"/>
  <c r="P17" i="50"/>
  <c r="G17" i="50"/>
  <c r="D19" i="49"/>
  <c r="F67" i="49"/>
  <c r="H20" i="49"/>
  <c r="L19" i="49"/>
  <c r="B20" i="49"/>
  <c r="E16" i="49"/>
  <c r="F15" i="49"/>
  <c r="J15" i="49" s="1"/>
  <c r="K15" i="49" s="1"/>
  <c r="G18" i="55" l="1"/>
  <c r="H19" i="57"/>
  <c r="P18" i="54"/>
  <c r="H18" i="59"/>
  <c r="G18" i="59"/>
  <c r="H19" i="56"/>
  <c r="H20" i="56" s="1"/>
  <c r="K17" i="61"/>
  <c r="G19" i="56"/>
  <c r="G19" i="57"/>
  <c r="L20" i="49"/>
  <c r="P18" i="53"/>
  <c r="H18" i="54"/>
  <c r="H18" i="60"/>
  <c r="G17" i="61"/>
  <c r="P17" i="52"/>
  <c r="G18" i="54"/>
  <c r="K19" i="57"/>
  <c r="F25" i="62"/>
  <c r="I25" i="62" s="1"/>
  <c r="J25" i="62" s="1"/>
  <c r="D26" i="62"/>
  <c r="H27" i="62"/>
  <c r="E27" i="62"/>
  <c r="K27" i="62"/>
  <c r="I66" i="62"/>
  <c r="F16" i="61"/>
  <c r="I16" i="61" s="1"/>
  <c r="J16" i="61" s="1"/>
  <c r="E17" i="61"/>
  <c r="H18" i="61"/>
  <c r="C74" i="61"/>
  <c r="K18" i="60"/>
  <c r="F16" i="60"/>
  <c r="I16" i="60" s="1"/>
  <c r="J16" i="60" s="1"/>
  <c r="E17" i="60"/>
  <c r="G19" i="60"/>
  <c r="F66" i="60"/>
  <c r="K18" i="59"/>
  <c r="F66" i="59"/>
  <c r="E18" i="59"/>
  <c r="F17" i="59"/>
  <c r="I17" i="59" s="1"/>
  <c r="J17" i="59" s="1"/>
  <c r="F17" i="58"/>
  <c r="I17" i="58" s="1"/>
  <c r="J17" i="58" s="1"/>
  <c r="E18" i="58"/>
  <c r="F67" i="58"/>
  <c r="H20" i="58"/>
  <c r="K19" i="58"/>
  <c r="G19" i="58"/>
  <c r="F67" i="57"/>
  <c r="F18" i="57"/>
  <c r="I18" i="57" s="1"/>
  <c r="J18" i="57" s="1"/>
  <c r="E19" i="57"/>
  <c r="F67" i="56"/>
  <c r="F17" i="56"/>
  <c r="I17" i="56" s="1"/>
  <c r="J17" i="56" s="1"/>
  <c r="E18" i="56"/>
  <c r="G19" i="55"/>
  <c r="F66" i="55"/>
  <c r="D17" i="55"/>
  <c r="F16" i="55"/>
  <c r="I16" i="55" s="1"/>
  <c r="J16" i="55" s="1"/>
  <c r="K18" i="55"/>
  <c r="E18" i="55"/>
  <c r="H18" i="55"/>
  <c r="E18" i="54"/>
  <c r="F17" i="54"/>
  <c r="I17" i="54" s="1"/>
  <c r="J17" i="54" s="1"/>
  <c r="F66" i="54"/>
  <c r="P19" i="54"/>
  <c r="K18" i="54"/>
  <c r="E18" i="53"/>
  <c r="F17" i="53"/>
  <c r="I17" i="53" s="1"/>
  <c r="J17" i="53" s="1"/>
  <c r="H18" i="53"/>
  <c r="K19" i="53"/>
  <c r="F66" i="53"/>
  <c r="G18" i="53"/>
  <c r="C74" i="52"/>
  <c r="G18" i="52"/>
  <c r="H17" i="52"/>
  <c r="E17" i="52"/>
  <c r="F16" i="52"/>
  <c r="I16" i="52" s="1"/>
  <c r="J16" i="52" s="1"/>
  <c r="K17" i="52"/>
  <c r="G18" i="50"/>
  <c r="H18" i="50"/>
  <c r="P18" i="50"/>
  <c r="K19" i="50"/>
  <c r="F66" i="50"/>
  <c r="E18" i="50"/>
  <c r="F17" i="50"/>
  <c r="I17" i="50" s="1"/>
  <c r="J17" i="50" s="1"/>
  <c r="B21" i="49"/>
  <c r="G20" i="49"/>
  <c r="D20" i="49"/>
  <c r="E17" i="49"/>
  <c r="F16" i="49"/>
  <c r="J16" i="49" s="1"/>
  <c r="K16" i="49" s="1"/>
  <c r="H21" i="49"/>
  <c r="F68" i="49"/>
  <c r="H20" i="57" l="1"/>
  <c r="H19" i="59"/>
  <c r="H20" i="59" s="1"/>
  <c r="K19" i="55"/>
  <c r="G20" i="57"/>
  <c r="G19" i="50"/>
  <c r="K20" i="58"/>
  <c r="K18" i="61"/>
  <c r="K20" i="57"/>
  <c r="P19" i="50"/>
  <c r="G19" i="54"/>
  <c r="H19" i="54"/>
  <c r="F26" i="62"/>
  <c r="I26" i="62" s="1"/>
  <c r="J26" i="62" s="1"/>
  <c r="D27" i="62"/>
  <c r="D28" i="62" s="1"/>
  <c r="G18" i="61"/>
  <c r="H28" i="62"/>
  <c r="I67" i="62"/>
  <c r="K28" i="62"/>
  <c r="E28" i="62"/>
  <c r="G28" i="62"/>
  <c r="F17" i="61"/>
  <c r="I17" i="61" s="1"/>
  <c r="J17" i="61" s="1"/>
  <c r="E18" i="61"/>
  <c r="H19" i="61"/>
  <c r="F66" i="61"/>
  <c r="H19" i="60"/>
  <c r="F17" i="60"/>
  <c r="I17" i="60" s="1"/>
  <c r="J17" i="60" s="1"/>
  <c r="E18" i="60"/>
  <c r="F67" i="60"/>
  <c r="G20" i="60"/>
  <c r="K19" i="60"/>
  <c r="E19" i="59"/>
  <c r="F18" i="59"/>
  <c r="I18" i="59" s="1"/>
  <c r="J18" i="59" s="1"/>
  <c r="G19" i="59"/>
  <c r="K19" i="59"/>
  <c r="F67" i="59"/>
  <c r="H21" i="58"/>
  <c r="F68" i="58"/>
  <c r="G20" i="58"/>
  <c r="F18" i="58"/>
  <c r="I18" i="58" s="1"/>
  <c r="J18" i="58" s="1"/>
  <c r="E19" i="58"/>
  <c r="E20" i="57"/>
  <c r="F19" i="57"/>
  <c r="I19" i="57" s="1"/>
  <c r="J19" i="57" s="1"/>
  <c r="F68" i="57"/>
  <c r="G20" i="56"/>
  <c r="K20" i="56"/>
  <c r="F68" i="56"/>
  <c r="H21" i="56"/>
  <c r="F18" i="56"/>
  <c r="I18" i="56" s="1"/>
  <c r="J18" i="56" s="1"/>
  <c r="E19" i="56"/>
  <c r="H19" i="55"/>
  <c r="F17" i="55"/>
  <c r="I17" i="55" s="1"/>
  <c r="J17" i="55" s="1"/>
  <c r="D18" i="55"/>
  <c r="E19" i="55"/>
  <c r="F67" i="55"/>
  <c r="G20" i="55"/>
  <c r="E19" i="54"/>
  <c r="F18" i="54"/>
  <c r="I18" i="54" s="1"/>
  <c r="J18" i="54" s="1"/>
  <c r="K19" i="54"/>
  <c r="P20" i="54"/>
  <c r="F67" i="54"/>
  <c r="F67" i="53"/>
  <c r="K20" i="53"/>
  <c r="E19" i="53"/>
  <c r="F18" i="53"/>
  <c r="I18" i="53" s="1"/>
  <c r="J18" i="53" s="1"/>
  <c r="G19" i="53"/>
  <c r="P19" i="53"/>
  <c r="H19" i="53"/>
  <c r="G19" i="52"/>
  <c r="F66" i="52"/>
  <c r="E18" i="52"/>
  <c r="F17" i="52"/>
  <c r="I17" i="52" s="1"/>
  <c r="J17" i="52" s="1"/>
  <c r="P18" i="52"/>
  <c r="K18" i="52"/>
  <c r="H18" i="52"/>
  <c r="E19" i="50"/>
  <c r="F18" i="50"/>
  <c r="I18" i="50" s="1"/>
  <c r="J18" i="50" s="1"/>
  <c r="H19" i="50"/>
  <c r="K20" i="50"/>
  <c r="F67" i="50"/>
  <c r="D21" i="49"/>
  <c r="E18" i="49"/>
  <c r="F17" i="49"/>
  <c r="J17" i="49" s="1"/>
  <c r="K17" i="49" s="1"/>
  <c r="L21" i="49"/>
  <c r="F69" i="49"/>
  <c r="H22" i="49"/>
  <c r="B22" i="49"/>
  <c r="G21" i="49"/>
  <c r="K21" i="57" l="1"/>
  <c r="F27" i="62"/>
  <c r="I27" i="62" s="1"/>
  <c r="J27" i="62" s="1"/>
  <c r="H19" i="52"/>
  <c r="K20" i="54"/>
  <c r="G20" i="54"/>
  <c r="K21" i="58"/>
  <c r="H20" i="55"/>
  <c r="K19" i="52"/>
  <c r="G21" i="58"/>
  <c r="K20" i="59"/>
  <c r="P19" i="52"/>
  <c r="H20" i="54"/>
  <c r="H21" i="54" s="1"/>
  <c r="E20" i="55"/>
  <c r="K20" i="55"/>
  <c r="G20" i="59"/>
  <c r="E29" i="62"/>
  <c r="H29" i="62"/>
  <c r="K29" i="62"/>
  <c r="G29" i="62"/>
  <c r="I68" i="62"/>
  <c r="D30" i="62"/>
  <c r="F28" i="62"/>
  <c r="I28" i="62" s="1"/>
  <c r="J28" i="62" s="1"/>
  <c r="K19" i="61"/>
  <c r="G19" i="61"/>
  <c r="F18" i="61"/>
  <c r="I18" i="61" s="1"/>
  <c r="J18" i="61" s="1"/>
  <c r="E19" i="61"/>
  <c r="H20" i="61"/>
  <c r="F67" i="61"/>
  <c r="F18" i="60"/>
  <c r="I18" i="60" s="1"/>
  <c r="J18" i="60" s="1"/>
  <c r="E19" i="60"/>
  <c r="K20" i="60"/>
  <c r="H20" i="60"/>
  <c r="G21" i="60"/>
  <c r="F68" i="60"/>
  <c r="H21" i="59"/>
  <c r="F68" i="59"/>
  <c r="E20" i="59"/>
  <c r="F19" i="59"/>
  <c r="I19" i="59" s="1"/>
  <c r="J19" i="59" s="1"/>
  <c r="F69" i="58"/>
  <c r="F19" i="58"/>
  <c r="I19" i="58" s="1"/>
  <c r="J19" i="58" s="1"/>
  <c r="E20" i="58"/>
  <c r="F20" i="57"/>
  <c r="I20" i="57" s="1"/>
  <c r="J20" i="57" s="1"/>
  <c r="E21" i="57"/>
  <c r="H21" i="57"/>
  <c r="K22" i="57"/>
  <c r="F69" i="57"/>
  <c r="G21" i="57"/>
  <c r="G21" i="56"/>
  <c r="F69" i="56"/>
  <c r="H22" i="56"/>
  <c r="F19" i="56"/>
  <c r="I19" i="56" s="1"/>
  <c r="J19" i="56" s="1"/>
  <c r="E20" i="56"/>
  <c r="K21" i="56"/>
  <c r="G21" i="55"/>
  <c r="F68" i="55"/>
  <c r="D19" i="55"/>
  <c r="F18" i="55"/>
  <c r="I18" i="55" s="1"/>
  <c r="J18" i="55" s="1"/>
  <c r="F68" i="54"/>
  <c r="E20" i="54"/>
  <c r="F19" i="54"/>
  <c r="I19" i="54" s="1"/>
  <c r="J19" i="54" s="1"/>
  <c r="G20" i="53"/>
  <c r="H20" i="53"/>
  <c r="E20" i="53"/>
  <c r="F19" i="53"/>
  <c r="I19" i="53" s="1"/>
  <c r="J19" i="53" s="1"/>
  <c r="P20" i="53"/>
  <c r="K21" i="53"/>
  <c r="F68" i="53"/>
  <c r="E19" i="52"/>
  <c r="F18" i="52"/>
  <c r="I18" i="52" s="1"/>
  <c r="J18" i="52" s="1"/>
  <c r="F67" i="52"/>
  <c r="G20" i="52"/>
  <c r="G20" i="50"/>
  <c r="K21" i="50"/>
  <c r="F68" i="50"/>
  <c r="E20" i="50"/>
  <c r="F19" i="50"/>
  <c r="I19" i="50" s="1"/>
  <c r="J19" i="50" s="1"/>
  <c r="P20" i="50"/>
  <c r="H20" i="50"/>
  <c r="E19" i="49"/>
  <c r="F18" i="49"/>
  <c r="J18" i="49" s="1"/>
  <c r="K18" i="49" s="1"/>
  <c r="G22" i="49"/>
  <c r="H23" i="49"/>
  <c r="F70" i="49"/>
  <c r="L22" i="49"/>
  <c r="D22" i="49"/>
  <c r="B23" i="49"/>
  <c r="G22" i="58" l="1"/>
  <c r="P20" i="52"/>
  <c r="G23" i="49"/>
  <c r="K20" i="52"/>
  <c r="G20" i="61"/>
  <c r="L23" i="49"/>
  <c r="K21" i="55"/>
  <c r="P21" i="50"/>
  <c r="H20" i="52"/>
  <c r="H30" i="62"/>
  <c r="D31" i="62"/>
  <c r="I69" i="62"/>
  <c r="E30" i="62"/>
  <c r="G30" i="62"/>
  <c r="F29" i="62"/>
  <c r="I29" i="62" s="1"/>
  <c r="J29" i="62" s="1"/>
  <c r="K30" i="62"/>
  <c r="F19" i="61"/>
  <c r="I19" i="61" s="1"/>
  <c r="J19" i="61" s="1"/>
  <c r="E20" i="61"/>
  <c r="F68" i="61"/>
  <c r="K20" i="61"/>
  <c r="F69" i="60"/>
  <c r="G22" i="60"/>
  <c r="F19" i="60"/>
  <c r="I19" i="60" s="1"/>
  <c r="J19" i="60" s="1"/>
  <c r="E20" i="60"/>
  <c r="H21" i="60"/>
  <c r="K21" i="60"/>
  <c r="K21" i="59"/>
  <c r="E21" i="59"/>
  <c r="F20" i="59"/>
  <c r="I20" i="59" s="1"/>
  <c r="J20" i="59" s="1"/>
  <c r="G21" i="59"/>
  <c r="F69" i="59"/>
  <c r="H22" i="59"/>
  <c r="K22" i="58"/>
  <c r="F70" i="58"/>
  <c r="H22" i="58"/>
  <c r="F20" i="58"/>
  <c r="I20" i="58" s="1"/>
  <c r="J20" i="58" s="1"/>
  <c r="E21" i="58"/>
  <c r="H22" i="57"/>
  <c r="F70" i="57"/>
  <c r="K23" i="57"/>
  <c r="G22" i="57"/>
  <c r="F21" i="57"/>
  <c r="I21" i="57" s="1"/>
  <c r="J21" i="57" s="1"/>
  <c r="E22" i="57"/>
  <c r="F20" i="56"/>
  <c r="I20" i="56" s="1"/>
  <c r="J20" i="56" s="1"/>
  <c r="E21" i="56"/>
  <c r="G22" i="56"/>
  <c r="K22" i="56"/>
  <c r="F70" i="56"/>
  <c r="H23" i="56"/>
  <c r="E21" i="55"/>
  <c r="F19" i="55"/>
  <c r="I19" i="55" s="1"/>
  <c r="J19" i="55" s="1"/>
  <c r="D20" i="55"/>
  <c r="F69" i="55"/>
  <c r="G22" i="55"/>
  <c r="H21" i="55"/>
  <c r="K21" i="54"/>
  <c r="F69" i="54"/>
  <c r="H22" i="54"/>
  <c r="P21" i="54"/>
  <c r="G21" i="54"/>
  <c r="E21" i="54"/>
  <c r="F20" i="54"/>
  <c r="I20" i="54" s="1"/>
  <c r="J20" i="54" s="1"/>
  <c r="F69" i="53"/>
  <c r="K22" i="53"/>
  <c r="F20" i="53"/>
  <c r="I20" i="53" s="1"/>
  <c r="J20" i="53" s="1"/>
  <c r="E21" i="53"/>
  <c r="H21" i="53"/>
  <c r="P21" i="53"/>
  <c r="G21" i="53"/>
  <c r="E20" i="52"/>
  <c r="F19" i="52"/>
  <c r="I19" i="52" s="1"/>
  <c r="J19" i="52" s="1"/>
  <c r="G21" i="52"/>
  <c r="F68" i="52"/>
  <c r="G21" i="50"/>
  <c r="E21" i="50"/>
  <c r="F20" i="50"/>
  <c r="I20" i="50" s="1"/>
  <c r="J20" i="50" s="1"/>
  <c r="H21" i="50"/>
  <c r="K22" i="50"/>
  <c r="F69" i="50"/>
  <c r="D23" i="49"/>
  <c r="B24" i="49"/>
  <c r="B25" i="49" s="1"/>
  <c r="B26" i="49" s="1"/>
  <c r="B27" i="49" s="1"/>
  <c r="B28" i="49" s="1"/>
  <c r="B29" i="49" s="1"/>
  <c r="B30" i="49" s="1"/>
  <c r="B31" i="49" s="1"/>
  <c r="B32" i="49" s="1"/>
  <c r="B33" i="49" s="1"/>
  <c r="B34" i="49" s="1"/>
  <c r="B35" i="49" s="1"/>
  <c r="B36" i="49" s="1"/>
  <c r="F71" i="49"/>
  <c r="H24" i="49"/>
  <c r="E20" i="49"/>
  <c r="F19" i="49"/>
  <c r="J19" i="49" s="1"/>
  <c r="K19" i="49" s="1"/>
  <c r="G23" i="58" l="1"/>
  <c r="G21" i="61"/>
  <c r="H21" i="61"/>
  <c r="G22" i="54"/>
  <c r="H23" i="58"/>
  <c r="K21" i="61"/>
  <c r="K22" i="55"/>
  <c r="H23" i="57"/>
  <c r="P22" i="54"/>
  <c r="L24" i="49"/>
  <c r="H21" i="52"/>
  <c r="G23" i="57"/>
  <c r="P22" i="50"/>
  <c r="K23" i="56"/>
  <c r="K22" i="54"/>
  <c r="G31" i="62"/>
  <c r="H31" i="62"/>
  <c r="E31" i="62"/>
  <c r="F30" i="62"/>
  <c r="I30" i="62" s="1"/>
  <c r="J30" i="62" s="1"/>
  <c r="K31" i="62"/>
  <c r="I70" i="62"/>
  <c r="D32" i="62"/>
  <c r="F20" i="61"/>
  <c r="I20" i="61" s="1"/>
  <c r="J20" i="61" s="1"/>
  <c r="E21" i="61"/>
  <c r="F69" i="61"/>
  <c r="K22" i="60"/>
  <c r="H22" i="60"/>
  <c r="G23" i="60"/>
  <c r="F70" i="60"/>
  <c r="F20" i="60"/>
  <c r="I20" i="60" s="1"/>
  <c r="J20" i="60" s="1"/>
  <c r="E21" i="60"/>
  <c r="E22" i="59"/>
  <c r="F21" i="59"/>
  <c r="I21" i="59" s="1"/>
  <c r="J21" i="59" s="1"/>
  <c r="H23" i="59"/>
  <c r="F70" i="59"/>
  <c r="K22" i="59"/>
  <c r="G22" i="59"/>
  <c r="F21" i="58"/>
  <c r="I21" i="58" s="1"/>
  <c r="J21" i="58" s="1"/>
  <c r="E22" i="58"/>
  <c r="F71" i="58"/>
  <c r="K23" i="58"/>
  <c r="F22" i="57"/>
  <c r="I22" i="57" s="1"/>
  <c r="J22" i="57" s="1"/>
  <c r="E23" i="57"/>
  <c r="F71" i="57"/>
  <c r="F71" i="56"/>
  <c r="G23" i="56"/>
  <c r="F21" i="56"/>
  <c r="I21" i="56" s="1"/>
  <c r="J21" i="56" s="1"/>
  <c r="E22" i="56"/>
  <c r="H22" i="55"/>
  <c r="D21" i="55"/>
  <c r="F20" i="55"/>
  <c r="I20" i="55" s="1"/>
  <c r="J20" i="55" s="1"/>
  <c r="E22" i="55"/>
  <c r="G23" i="55"/>
  <c r="F70" i="55"/>
  <c r="E22" i="54"/>
  <c r="F21" i="54"/>
  <c r="I21" i="54" s="1"/>
  <c r="J21" i="54" s="1"/>
  <c r="F70" i="54"/>
  <c r="H23" i="54"/>
  <c r="G22" i="53"/>
  <c r="P22" i="53"/>
  <c r="H22" i="53"/>
  <c r="K23" i="53"/>
  <c r="F70" i="53"/>
  <c r="E22" i="53"/>
  <c r="F21" i="53"/>
  <c r="I21" i="53" s="1"/>
  <c r="J21" i="53" s="1"/>
  <c r="F69" i="52"/>
  <c r="G22" i="52"/>
  <c r="E21" i="52"/>
  <c r="F20" i="52"/>
  <c r="I20" i="52" s="1"/>
  <c r="J20" i="52" s="1"/>
  <c r="P21" i="52"/>
  <c r="K21" i="52"/>
  <c r="K23" i="50"/>
  <c r="F70" i="50"/>
  <c r="E22" i="50"/>
  <c r="F21" i="50"/>
  <c r="I21" i="50" s="1"/>
  <c r="J21" i="50" s="1"/>
  <c r="G22" i="50"/>
  <c r="H22" i="50"/>
  <c r="H25" i="49"/>
  <c r="F72" i="49"/>
  <c r="D24" i="49"/>
  <c r="E21" i="49"/>
  <c r="F20" i="49"/>
  <c r="J20" i="49" s="1"/>
  <c r="K20" i="49" s="1"/>
  <c r="G24" i="49"/>
  <c r="H22" i="61" l="1"/>
  <c r="G24" i="57"/>
  <c r="K24" i="56"/>
  <c r="H24" i="58"/>
  <c r="K22" i="52"/>
  <c r="P22" i="52"/>
  <c r="G23" i="50"/>
  <c r="L25" i="49"/>
  <c r="H23" i="50"/>
  <c r="K23" i="54"/>
  <c r="H23" i="60"/>
  <c r="K32" i="62"/>
  <c r="G32" i="62"/>
  <c r="P23" i="53"/>
  <c r="G23" i="54"/>
  <c r="K23" i="60"/>
  <c r="G23" i="53"/>
  <c r="P23" i="54"/>
  <c r="H32" i="62"/>
  <c r="D33" i="62"/>
  <c r="I71" i="62"/>
  <c r="E32" i="62"/>
  <c r="F31" i="62"/>
  <c r="I31" i="62" s="1"/>
  <c r="J31" i="62" s="1"/>
  <c r="F70" i="61"/>
  <c r="G22" i="61"/>
  <c r="K22" i="61"/>
  <c r="F21" i="61"/>
  <c r="I21" i="61" s="1"/>
  <c r="J21" i="61" s="1"/>
  <c r="E22" i="61"/>
  <c r="F21" i="60"/>
  <c r="I21" i="60" s="1"/>
  <c r="J21" i="60" s="1"/>
  <c r="E22" i="60"/>
  <c r="F71" i="60"/>
  <c r="G24" i="60"/>
  <c r="F71" i="59"/>
  <c r="H24" i="59"/>
  <c r="G23" i="59"/>
  <c r="K23" i="59"/>
  <c r="E23" i="59"/>
  <c r="F22" i="59"/>
  <c r="I22" i="59" s="1"/>
  <c r="J22" i="59" s="1"/>
  <c r="K24" i="58"/>
  <c r="F22" i="58"/>
  <c r="I22" i="58" s="1"/>
  <c r="J22" i="58" s="1"/>
  <c r="E23" i="58"/>
  <c r="G24" i="58"/>
  <c r="F72" i="58"/>
  <c r="D25" i="58"/>
  <c r="F23" i="57"/>
  <c r="I23" i="57" s="1"/>
  <c r="J23" i="57" s="1"/>
  <c r="E24" i="57"/>
  <c r="H24" i="57"/>
  <c r="K24" i="57"/>
  <c r="F72" i="57"/>
  <c r="F72" i="56"/>
  <c r="H24" i="56"/>
  <c r="G24" i="56"/>
  <c r="F22" i="56"/>
  <c r="I22" i="56" s="1"/>
  <c r="J22" i="56" s="1"/>
  <c r="E23" i="56"/>
  <c r="F71" i="55"/>
  <c r="G24" i="55"/>
  <c r="H23" i="55"/>
  <c r="F21" i="55"/>
  <c r="I21" i="55" s="1"/>
  <c r="J21" i="55" s="1"/>
  <c r="D22" i="55"/>
  <c r="E23" i="55"/>
  <c r="K23" i="55"/>
  <c r="F71" i="54"/>
  <c r="E23" i="54"/>
  <c r="F22" i="54"/>
  <c r="I22" i="54" s="1"/>
  <c r="J22" i="54" s="1"/>
  <c r="E23" i="53"/>
  <c r="F22" i="53"/>
  <c r="I22" i="53" s="1"/>
  <c r="J22" i="53" s="1"/>
  <c r="H23" i="53"/>
  <c r="F71" i="53"/>
  <c r="K24" i="53"/>
  <c r="G23" i="52"/>
  <c r="F70" i="52"/>
  <c r="H22" i="52"/>
  <c r="E22" i="52"/>
  <c r="F21" i="52"/>
  <c r="I21" i="52" s="1"/>
  <c r="J21" i="52" s="1"/>
  <c r="P23" i="50"/>
  <c r="K24" i="50"/>
  <c r="F71" i="50"/>
  <c r="E23" i="50"/>
  <c r="F22" i="50"/>
  <c r="I22" i="50" s="1"/>
  <c r="J22" i="50" s="1"/>
  <c r="D25" i="49"/>
  <c r="E22" i="49"/>
  <c r="F21" i="49"/>
  <c r="J21" i="49" s="1"/>
  <c r="K21" i="49" s="1"/>
  <c r="F73" i="49"/>
  <c r="H26" i="49"/>
  <c r="G25" i="49"/>
  <c r="H23" i="61" l="1"/>
  <c r="G25" i="57"/>
  <c r="K25" i="56"/>
  <c r="K26" i="56" s="1"/>
  <c r="P24" i="54"/>
  <c r="P25" i="54" s="1"/>
  <c r="G25" i="56"/>
  <c r="K24" i="59"/>
  <c r="H24" i="60"/>
  <c r="G33" i="62"/>
  <c r="K23" i="61"/>
  <c r="K33" i="62"/>
  <c r="L26" i="49"/>
  <c r="G24" i="50"/>
  <c r="P24" i="53"/>
  <c r="K24" i="55"/>
  <c r="H24" i="55"/>
  <c r="K25" i="57"/>
  <c r="K26" i="57" s="1"/>
  <c r="E33" i="62"/>
  <c r="F33" i="62" s="1"/>
  <c r="H33" i="62"/>
  <c r="G25" i="58"/>
  <c r="H25" i="58"/>
  <c r="G24" i="59"/>
  <c r="G23" i="61"/>
  <c r="F32" i="62"/>
  <c r="I32" i="62" s="1"/>
  <c r="J32" i="62" s="1"/>
  <c r="I72" i="62"/>
  <c r="E34" i="62"/>
  <c r="F22" i="61"/>
  <c r="I22" i="61" s="1"/>
  <c r="J22" i="61" s="1"/>
  <c r="E23" i="61"/>
  <c r="F71" i="61"/>
  <c r="F22" i="60"/>
  <c r="I22" i="60" s="1"/>
  <c r="J22" i="60" s="1"/>
  <c r="E23" i="60"/>
  <c r="G25" i="60"/>
  <c r="F72" i="60"/>
  <c r="K24" i="60"/>
  <c r="E24" i="59"/>
  <c r="F23" i="59"/>
  <c r="I23" i="59" s="1"/>
  <c r="J23" i="59" s="1"/>
  <c r="H25" i="59"/>
  <c r="F72" i="59"/>
  <c r="E24" i="58"/>
  <c r="F23" i="58"/>
  <c r="I23" i="58" s="1"/>
  <c r="J23" i="58" s="1"/>
  <c r="F73" i="58"/>
  <c r="K25" i="58"/>
  <c r="F73" i="57"/>
  <c r="H25" i="57"/>
  <c r="F24" i="57"/>
  <c r="I24" i="57" s="1"/>
  <c r="J24" i="57" s="1"/>
  <c r="E25" i="57"/>
  <c r="H25" i="56"/>
  <c r="F73" i="56"/>
  <c r="F23" i="56"/>
  <c r="I23" i="56" s="1"/>
  <c r="J23" i="56" s="1"/>
  <c r="E24" i="56"/>
  <c r="D23" i="55"/>
  <c r="F22" i="55"/>
  <c r="I22" i="55" s="1"/>
  <c r="J22" i="55" s="1"/>
  <c r="G25" i="55"/>
  <c r="F72" i="55"/>
  <c r="E24" i="55"/>
  <c r="F72" i="54"/>
  <c r="E24" i="54"/>
  <c r="F23" i="54"/>
  <c r="I23" i="54" s="1"/>
  <c r="J23" i="54" s="1"/>
  <c r="K24" i="54"/>
  <c r="H24" i="54"/>
  <c r="G24" i="54"/>
  <c r="K25" i="53"/>
  <c r="F72" i="53"/>
  <c r="F23" i="53"/>
  <c r="I23" i="53" s="1"/>
  <c r="J23" i="53" s="1"/>
  <c r="E24" i="53"/>
  <c r="G24" i="53"/>
  <c r="H24" i="53"/>
  <c r="E23" i="52"/>
  <c r="F22" i="52"/>
  <c r="I22" i="52" s="1"/>
  <c r="J22" i="52" s="1"/>
  <c r="P23" i="52"/>
  <c r="H23" i="52"/>
  <c r="K23" i="52"/>
  <c r="G24" i="52"/>
  <c r="F71" i="52"/>
  <c r="F72" i="50"/>
  <c r="H24" i="50"/>
  <c r="E24" i="50"/>
  <c r="F23" i="50"/>
  <c r="I23" i="50" s="1"/>
  <c r="J23" i="50" s="1"/>
  <c r="P24" i="50"/>
  <c r="D26" i="49"/>
  <c r="H27" i="49"/>
  <c r="F74" i="49"/>
  <c r="E23" i="49"/>
  <c r="F22" i="49"/>
  <c r="J22" i="49" s="1"/>
  <c r="K22" i="49" s="1"/>
  <c r="G26" i="49"/>
  <c r="H25" i="54" l="1"/>
  <c r="H26" i="58"/>
  <c r="I33" i="62"/>
  <c r="J33" i="62" s="1"/>
  <c r="E25" i="55"/>
  <c r="G24" i="61"/>
  <c r="G27" i="49"/>
  <c r="H25" i="55"/>
  <c r="G26" i="57"/>
  <c r="K26" i="58"/>
  <c r="H25" i="60"/>
  <c r="H25" i="53"/>
  <c r="G25" i="53"/>
  <c r="P25" i="53"/>
  <c r="K25" i="60"/>
  <c r="E35" i="62"/>
  <c r="I73" i="62"/>
  <c r="D34" i="62"/>
  <c r="K34" i="62"/>
  <c r="G34" i="62"/>
  <c r="H34" i="62"/>
  <c r="H24" i="61"/>
  <c r="K24" i="61"/>
  <c r="F23" i="61"/>
  <c r="I23" i="61" s="1"/>
  <c r="J23" i="61" s="1"/>
  <c r="E24" i="61"/>
  <c r="G25" i="61"/>
  <c r="F72" i="61"/>
  <c r="F23" i="60"/>
  <c r="I23" i="60" s="1"/>
  <c r="J23" i="60" s="1"/>
  <c r="E24" i="60"/>
  <c r="F73" i="60"/>
  <c r="E25" i="59"/>
  <c r="F25" i="59" s="1"/>
  <c r="F24" i="59"/>
  <c r="I24" i="59" s="1"/>
  <c r="J24" i="59" s="1"/>
  <c r="G25" i="59"/>
  <c r="F73" i="59"/>
  <c r="D26" i="59"/>
  <c r="K25" i="59"/>
  <c r="E25" i="58"/>
  <c r="F24" i="58"/>
  <c r="I24" i="58" s="1"/>
  <c r="J24" i="58" s="1"/>
  <c r="G26" i="58"/>
  <c r="F74" i="58"/>
  <c r="D26" i="58"/>
  <c r="H26" i="57"/>
  <c r="F74" i="57"/>
  <c r="F25" i="57"/>
  <c r="I25" i="57" s="1"/>
  <c r="J25" i="57" s="1"/>
  <c r="E26" i="57"/>
  <c r="G26" i="56"/>
  <c r="F74" i="56"/>
  <c r="K27" i="56"/>
  <c r="E25" i="56"/>
  <c r="F24" i="56"/>
  <c r="I24" i="56" s="1"/>
  <c r="J24" i="56" s="1"/>
  <c r="H26" i="56"/>
  <c r="F23" i="55"/>
  <c r="I23" i="55" s="1"/>
  <c r="J23" i="55" s="1"/>
  <c r="D24" i="55"/>
  <c r="F73" i="55"/>
  <c r="G26" i="55"/>
  <c r="K25" i="55"/>
  <c r="K25" i="54"/>
  <c r="F73" i="54"/>
  <c r="P26" i="54"/>
  <c r="G25" i="54"/>
  <c r="E25" i="54"/>
  <c r="F24" i="54"/>
  <c r="I24" i="54" s="1"/>
  <c r="J24" i="54" s="1"/>
  <c r="F73" i="53"/>
  <c r="K26" i="53"/>
  <c r="F24" i="53"/>
  <c r="I24" i="53" s="1"/>
  <c r="J24" i="53" s="1"/>
  <c r="E25" i="53"/>
  <c r="G25" i="52"/>
  <c r="F72" i="52"/>
  <c r="P24" i="52"/>
  <c r="K24" i="52"/>
  <c r="E24" i="52"/>
  <c r="F23" i="52"/>
  <c r="I23" i="52" s="1"/>
  <c r="J23" i="52" s="1"/>
  <c r="H24" i="52"/>
  <c r="G25" i="50"/>
  <c r="H25" i="50"/>
  <c r="P25" i="50"/>
  <c r="F73" i="50"/>
  <c r="E25" i="50"/>
  <c r="F24" i="50"/>
  <c r="I24" i="50" s="1"/>
  <c r="J24" i="50" s="1"/>
  <c r="K25" i="50"/>
  <c r="D27" i="49"/>
  <c r="E24" i="49"/>
  <c r="F23" i="49"/>
  <c r="J23" i="49" s="1"/>
  <c r="K23" i="49" s="1"/>
  <c r="J66" i="49"/>
  <c r="H28" i="49"/>
  <c r="L27" i="49"/>
  <c r="I25" i="59" l="1"/>
  <c r="J25" i="59" s="1"/>
  <c r="G27" i="57"/>
  <c r="H26" i="53"/>
  <c r="H27" i="58"/>
  <c r="G35" i="62"/>
  <c r="G26" i="53"/>
  <c r="K26" i="50"/>
  <c r="H26" i="50"/>
  <c r="K26" i="54"/>
  <c r="H25" i="52"/>
  <c r="P25" i="52"/>
  <c r="P26" i="53"/>
  <c r="G26" i="54"/>
  <c r="H26" i="54"/>
  <c r="H35" i="62"/>
  <c r="F34" i="62"/>
  <c r="I34" i="62" s="1"/>
  <c r="J34" i="62" s="1"/>
  <c r="D35" i="62"/>
  <c r="I74" i="62"/>
  <c r="E36" i="62"/>
  <c r="K35" i="62"/>
  <c r="H25" i="61"/>
  <c r="G26" i="61"/>
  <c r="F73" i="61"/>
  <c r="K25" i="61"/>
  <c r="F24" i="61"/>
  <c r="I24" i="61" s="1"/>
  <c r="J24" i="61" s="1"/>
  <c r="E25" i="61"/>
  <c r="K26" i="60"/>
  <c r="H26" i="60"/>
  <c r="E25" i="60"/>
  <c r="F24" i="60"/>
  <c r="I24" i="60" s="1"/>
  <c r="J24" i="60" s="1"/>
  <c r="D27" i="60"/>
  <c r="F74" i="60"/>
  <c r="G26" i="60"/>
  <c r="H26" i="59"/>
  <c r="D27" i="59"/>
  <c r="F74" i="59"/>
  <c r="K26" i="59"/>
  <c r="G26" i="59"/>
  <c r="E26" i="59"/>
  <c r="E26" i="58"/>
  <c r="E27" i="58" s="1"/>
  <c r="F25" i="58"/>
  <c r="I25" i="58" s="1"/>
  <c r="J25" i="58" s="1"/>
  <c r="D27" i="58"/>
  <c r="I66" i="58"/>
  <c r="H28" i="58"/>
  <c r="K27" i="58"/>
  <c r="G27" i="58"/>
  <c r="K27" i="57"/>
  <c r="D28" i="57"/>
  <c r="I66" i="57"/>
  <c r="E27" i="57"/>
  <c r="F26" i="57"/>
  <c r="I26" i="57" s="1"/>
  <c r="J26" i="57" s="1"/>
  <c r="H27" i="57"/>
  <c r="E26" i="56"/>
  <c r="E27" i="56" s="1"/>
  <c r="F25" i="56"/>
  <c r="I25" i="56" s="1"/>
  <c r="J25" i="56" s="1"/>
  <c r="G27" i="56"/>
  <c r="H27" i="56"/>
  <c r="I66" i="56"/>
  <c r="K28" i="56"/>
  <c r="D27" i="56"/>
  <c r="K26" i="55"/>
  <c r="H26" i="55"/>
  <c r="G27" i="55"/>
  <c r="F74" i="55"/>
  <c r="E26" i="55"/>
  <c r="D25" i="55"/>
  <c r="F24" i="55"/>
  <c r="I24" i="55" s="1"/>
  <c r="J24" i="55" s="1"/>
  <c r="F25" i="54"/>
  <c r="I25" i="54" s="1"/>
  <c r="J25" i="54" s="1"/>
  <c r="E26" i="54"/>
  <c r="F74" i="54"/>
  <c r="E26" i="53"/>
  <c r="F25" i="53"/>
  <c r="I25" i="53" s="1"/>
  <c r="J25" i="53" s="1"/>
  <c r="K27" i="53"/>
  <c r="F74" i="53"/>
  <c r="G26" i="52"/>
  <c r="F73" i="52"/>
  <c r="E25" i="52"/>
  <c r="F24" i="52"/>
  <c r="I24" i="52" s="1"/>
  <c r="J24" i="52" s="1"/>
  <c r="K25" i="52"/>
  <c r="F74" i="50"/>
  <c r="E26" i="50"/>
  <c r="F25" i="50"/>
  <c r="I25" i="50" s="1"/>
  <c r="J25" i="50" s="1"/>
  <c r="P26" i="50"/>
  <c r="G26" i="50"/>
  <c r="L28" i="49"/>
  <c r="E25" i="49"/>
  <c r="F24" i="49"/>
  <c r="J24" i="49" s="1"/>
  <c r="K24" i="49" s="1"/>
  <c r="D28" i="49"/>
  <c r="H29" i="49"/>
  <c r="J67" i="49"/>
  <c r="G28" i="49"/>
  <c r="E27" i="59" l="1"/>
  <c r="F27" i="59" s="1"/>
  <c r="K27" i="54"/>
  <c r="H28" i="57"/>
  <c r="K27" i="50"/>
  <c r="H36" i="62"/>
  <c r="P27" i="50"/>
  <c r="G27" i="54"/>
  <c r="H27" i="53"/>
  <c r="H27" i="50"/>
  <c r="E27" i="50"/>
  <c r="F27" i="50" s="1"/>
  <c r="H27" i="54"/>
  <c r="P27" i="54"/>
  <c r="G27" i="50"/>
  <c r="E28" i="57"/>
  <c r="F28" i="57" s="1"/>
  <c r="K28" i="57"/>
  <c r="K36" i="62"/>
  <c r="E28" i="56"/>
  <c r="G28" i="57"/>
  <c r="G36" i="62"/>
  <c r="D36" i="62"/>
  <c r="F36" i="62" s="1"/>
  <c r="F35" i="62"/>
  <c r="I35" i="62" s="1"/>
  <c r="J35" i="62" s="1"/>
  <c r="F27" i="57"/>
  <c r="I27" i="57" s="1"/>
  <c r="J27" i="57" s="1"/>
  <c r="H26" i="61"/>
  <c r="F74" i="61"/>
  <c r="F25" i="61"/>
  <c r="I25" i="61" s="1"/>
  <c r="J25" i="61" s="1"/>
  <c r="E26" i="61"/>
  <c r="K26" i="61"/>
  <c r="I66" i="60"/>
  <c r="D28" i="60"/>
  <c r="H27" i="60"/>
  <c r="K27" i="60"/>
  <c r="G27" i="60"/>
  <c r="E26" i="60"/>
  <c r="F25" i="60"/>
  <c r="I25" i="60" s="1"/>
  <c r="J25" i="60" s="1"/>
  <c r="G27" i="59"/>
  <c r="K27" i="59"/>
  <c r="F26" i="59"/>
  <c r="I26" i="59" s="1"/>
  <c r="J26" i="59" s="1"/>
  <c r="H27" i="59"/>
  <c r="I66" i="59"/>
  <c r="D28" i="59"/>
  <c r="F26" i="58"/>
  <c r="I26" i="58" s="1"/>
  <c r="J26" i="58" s="1"/>
  <c r="K28" i="58"/>
  <c r="H29" i="58"/>
  <c r="I67" i="58"/>
  <c r="E28" i="58"/>
  <c r="G28" i="58"/>
  <c r="F27" i="58"/>
  <c r="I27" i="58" s="1"/>
  <c r="J27" i="58" s="1"/>
  <c r="D28" i="58"/>
  <c r="I67" i="57"/>
  <c r="D28" i="56"/>
  <c r="F27" i="56"/>
  <c r="I27" i="56" s="1"/>
  <c r="J27" i="56" s="1"/>
  <c r="H28" i="56"/>
  <c r="F26" i="56"/>
  <c r="I26" i="56" s="1"/>
  <c r="J26" i="56" s="1"/>
  <c r="G28" i="56"/>
  <c r="I67" i="56"/>
  <c r="F25" i="55"/>
  <c r="I25" i="55" s="1"/>
  <c r="J25" i="55" s="1"/>
  <c r="D26" i="55"/>
  <c r="H27" i="55"/>
  <c r="E27" i="55"/>
  <c r="K27" i="55"/>
  <c r="I66" i="55"/>
  <c r="I66" i="54"/>
  <c r="E27" i="54"/>
  <c r="F26" i="54"/>
  <c r="I26" i="54" s="1"/>
  <c r="J26" i="54" s="1"/>
  <c r="I66" i="53"/>
  <c r="K28" i="53"/>
  <c r="G27" i="53"/>
  <c r="P27" i="53"/>
  <c r="F26" i="53"/>
  <c r="I26" i="53" s="1"/>
  <c r="J26" i="53" s="1"/>
  <c r="E27" i="53"/>
  <c r="K26" i="52"/>
  <c r="H26" i="52"/>
  <c r="E26" i="52"/>
  <c r="F25" i="52"/>
  <c r="I25" i="52" s="1"/>
  <c r="J25" i="52" s="1"/>
  <c r="P26" i="52"/>
  <c r="G27" i="52"/>
  <c r="F74" i="52"/>
  <c r="F26" i="50"/>
  <c r="I26" i="50" s="1"/>
  <c r="J26" i="50" s="1"/>
  <c r="I66" i="50"/>
  <c r="J68" i="49"/>
  <c r="H30" i="49"/>
  <c r="L29" i="49"/>
  <c r="E26" i="49"/>
  <c r="F25" i="49"/>
  <c r="J25" i="49" s="1"/>
  <c r="K25" i="49" s="1"/>
  <c r="G29" i="49"/>
  <c r="D29" i="49"/>
  <c r="P28" i="54" l="1"/>
  <c r="I27" i="50"/>
  <c r="J27" i="50" s="1"/>
  <c r="I36" i="62"/>
  <c r="J36" i="62" s="1"/>
  <c r="E29" i="56"/>
  <c r="E29" i="57"/>
  <c r="I28" i="57"/>
  <c r="J28" i="57" s="1"/>
  <c r="L30" i="49"/>
  <c r="K28" i="50"/>
  <c r="G29" i="57"/>
  <c r="H28" i="53"/>
  <c r="F26" i="55"/>
  <c r="I26" i="55" s="1"/>
  <c r="J26" i="55" s="1"/>
  <c r="D27" i="55"/>
  <c r="D28" i="55" s="1"/>
  <c r="H29" i="57"/>
  <c r="G28" i="54"/>
  <c r="G29" i="54" s="1"/>
  <c r="K29" i="57"/>
  <c r="D29" i="57"/>
  <c r="H28" i="54"/>
  <c r="H28" i="59"/>
  <c r="E28" i="59"/>
  <c r="F28" i="59" s="1"/>
  <c r="H27" i="61"/>
  <c r="D28" i="61"/>
  <c r="I66" i="61"/>
  <c r="K27" i="61"/>
  <c r="E27" i="61"/>
  <c r="F26" i="61"/>
  <c r="I26" i="61" s="1"/>
  <c r="J26" i="61" s="1"/>
  <c r="G27" i="61"/>
  <c r="D29" i="60"/>
  <c r="I67" i="60"/>
  <c r="K28" i="60"/>
  <c r="E27" i="60"/>
  <c r="F26" i="60"/>
  <c r="I26" i="60" s="1"/>
  <c r="J26" i="60" s="1"/>
  <c r="G28" i="60"/>
  <c r="H28" i="60"/>
  <c r="D29" i="59"/>
  <c r="I67" i="59"/>
  <c r="G28" i="59"/>
  <c r="I27" i="59"/>
  <c r="J27" i="59" s="1"/>
  <c r="K28" i="59"/>
  <c r="D29" i="58"/>
  <c r="F28" i="58"/>
  <c r="I28" i="58" s="1"/>
  <c r="J28" i="58" s="1"/>
  <c r="K29" i="58"/>
  <c r="I68" i="58"/>
  <c r="H30" i="58"/>
  <c r="G29" i="58"/>
  <c r="E29" i="58"/>
  <c r="I68" i="57"/>
  <c r="K29" i="56"/>
  <c r="I68" i="56"/>
  <c r="H29" i="56"/>
  <c r="G29" i="56"/>
  <c r="F28" i="56"/>
  <c r="I28" i="56" s="1"/>
  <c r="J28" i="56" s="1"/>
  <c r="D29" i="56"/>
  <c r="H28" i="55"/>
  <c r="I67" i="55"/>
  <c r="K28" i="55"/>
  <c r="E28" i="55"/>
  <c r="G28" i="55"/>
  <c r="I67" i="54"/>
  <c r="K28" i="54"/>
  <c r="E28" i="54"/>
  <c r="F27" i="54"/>
  <c r="I27" i="54" s="1"/>
  <c r="J27" i="54" s="1"/>
  <c r="F27" i="53"/>
  <c r="I27" i="53" s="1"/>
  <c r="J27" i="53" s="1"/>
  <c r="E28" i="53"/>
  <c r="P28" i="53"/>
  <c r="K29" i="53"/>
  <c r="I67" i="53"/>
  <c r="G28" i="53"/>
  <c r="H27" i="52"/>
  <c r="I66" i="52"/>
  <c r="F26" i="52"/>
  <c r="I26" i="52" s="1"/>
  <c r="J26" i="52" s="1"/>
  <c r="E27" i="52"/>
  <c r="P27" i="52"/>
  <c r="K27" i="52"/>
  <c r="I67" i="50"/>
  <c r="E28" i="50"/>
  <c r="P28" i="50"/>
  <c r="G28" i="50"/>
  <c r="H28" i="50"/>
  <c r="H31" i="49"/>
  <c r="J69" i="49"/>
  <c r="G30" i="49"/>
  <c r="D30" i="49"/>
  <c r="E27" i="49"/>
  <c r="F26" i="49"/>
  <c r="J26" i="49" s="1"/>
  <c r="K26" i="49" s="1"/>
  <c r="K29" i="59" l="1"/>
  <c r="E30" i="56"/>
  <c r="F29" i="57"/>
  <c r="I29" i="57" s="1"/>
  <c r="J29" i="57" s="1"/>
  <c r="K29" i="50"/>
  <c r="D30" i="57"/>
  <c r="H29" i="54"/>
  <c r="F27" i="55"/>
  <c r="I27" i="55" s="1"/>
  <c r="J27" i="55" s="1"/>
  <c r="E28" i="61"/>
  <c r="F28" i="61" s="1"/>
  <c r="P29" i="54"/>
  <c r="G29" i="60"/>
  <c r="G30" i="56"/>
  <c r="K30" i="56"/>
  <c r="G30" i="58"/>
  <c r="H28" i="61"/>
  <c r="G29" i="53"/>
  <c r="K28" i="61"/>
  <c r="L31" i="49"/>
  <c r="G29" i="50"/>
  <c r="H29" i="53"/>
  <c r="K29" i="54"/>
  <c r="H30" i="56"/>
  <c r="E30" i="58"/>
  <c r="K30" i="58"/>
  <c r="I28" i="59"/>
  <c r="J28" i="59" s="1"/>
  <c r="G28" i="61"/>
  <c r="I67" i="61"/>
  <c r="F27" i="61"/>
  <c r="I27" i="61" s="1"/>
  <c r="J27" i="61" s="1"/>
  <c r="I68" i="60"/>
  <c r="D30" i="60"/>
  <c r="E28" i="60"/>
  <c r="F27" i="60"/>
  <c r="I27" i="60" s="1"/>
  <c r="J27" i="60" s="1"/>
  <c r="H29" i="60"/>
  <c r="K29" i="60"/>
  <c r="I68" i="59"/>
  <c r="E29" i="59"/>
  <c r="H29" i="59"/>
  <c r="G29" i="59"/>
  <c r="D30" i="58"/>
  <c r="F29" i="58"/>
  <c r="I29" i="58" s="1"/>
  <c r="J29" i="58" s="1"/>
  <c r="H31" i="58"/>
  <c r="I69" i="58"/>
  <c r="G30" i="57"/>
  <c r="E30" i="57"/>
  <c r="H30" i="57"/>
  <c r="K30" i="57"/>
  <c r="I69" i="57"/>
  <c r="D30" i="56"/>
  <c r="F29" i="56"/>
  <c r="I29" i="56" s="1"/>
  <c r="J29" i="56" s="1"/>
  <c r="I69" i="56"/>
  <c r="H29" i="55"/>
  <c r="K29" i="55"/>
  <c r="E29" i="55"/>
  <c r="F29" i="55" s="1"/>
  <c r="G29" i="55"/>
  <c r="I68" i="55"/>
  <c r="D30" i="55"/>
  <c r="F28" i="55"/>
  <c r="I28" i="55" s="1"/>
  <c r="J28" i="55" s="1"/>
  <c r="E29" i="54"/>
  <c r="F28" i="54"/>
  <c r="I28" i="54" s="1"/>
  <c r="J28" i="54" s="1"/>
  <c r="D30" i="54"/>
  <c r="I68" i="54"/>
  <c r="I68" i="53"/>
  <c r="D30" i="53"/>
  <c r="F28" i="53"/>
  <c r="I28" i="53" s="1"/>
  <c r="J28" i="53" s="1"/>
  <c r="E29" i="53"/>
  <c r="P29" i="53"/>
  <c r="H28" i="52"/>
  <c r="K28" i="52"/>
  <c r="I67" i="52"/>
  <c r="P28" i="52"/>
  <c r="E28" i="52"/>
  <c r="F27" i="52"/>
  <c r="I27" i="52" s="1"/>
  <c r="J27" i="52" s="1"/>
  <c r="G28" i="52"/>
  <c r="H29" i="50"/>
  <c r="E29" i="50"/>
  <c r="F28" i="50"/>
  <c r="I28" i="50" s="1"/>
  <c r="J28" i="50" s="1"/>
  <c r="I68" i="50"/>
  <c r="P29" i="50"/>
  <c r="J70" i="49"/>
  <c r="H32" i="49"/>
  <c r="E28" i="49"/>
  <c r="F27" i="49"/>
  <c r="J27" i="49" s="1"/>
  <c r="K27" i="49" s="1"/>
  <c r="D31" i="49"/>
  <c r="G31" i="49"/>
  <c r="K30" i="59" l="1"/>
  <c r="K30" i="50"/>
  <c r="D31" i="57"/>
  <c r="F30" i="57"/>
  <c r="I30" i="57" s="1"/>
  <c r="J30" i="57" s="1"/>
  <c r="K30" i="60"/>
  <c r="E29" i="61"/>
  <c r="H30" i="54"/>
  <c r="K31" i="56"/>
  <c r="P29" i="52"/>
  <c r="H29" i="52"/>
  <c r="G29" i="52"/>
  <c r="P30" i="53"/>
  <c r="E29" i="52"/>
  <c r="F29" i="52" s="1"/>
  <c r="K29" i="52"/>
  <c r="K31" i="57"/>
  <c r="G30" i="53"/>
  <c r="K30" i="54"/>
  <c r="P30" i="54"/>
  <c r="H31" i="56"/>
  <c r="E31" i="56"/>
  <c r="H30" i="53"/>
  <c r="G30" i="54"/>
  <c r="H30" i="55"/>
  <c r="G31" i="56"/>
  <c r="H31" i="57"/>
  <c r="G30" i="60"/>
  <c r="K29" i="61"/>
  <c r="G29" i="61"/>
  <c r="I68" i="61"/>
  <c r="E30" i="61"/>
  <c r="I28" i="61"/>
  <c r="J28" i="61" s="1"/>
  <c r="H29" i="61"/>
  <c r="D29" i="61"/>
  <c r="E29" i="60"/>
  <c r="F28" i="60"/>
  <c r="I28" i="60" s="1"/>
  <c r="J28" i="60" s="1"/>
  <c r="H30" i="60"/>
  <c r="I69" i="60"/>
  <c r="D30" i="59"/>
  <c r="G30" i="59"/>
  <c r="H30" i="59"/>
  <c r="I69" i="59"/>
  <c r="E30" i="59"/>
  <c r="F29" i="59"/>
  <c r="I29" i="59" s="1"/>
  <c r="J29" i="59" s="1"/>
  <c r="I70" i="58"/>
  <c r="H32" i="58"/>
  <c r="F30" i="58"/>
  <c r="I30" i="58" s="1"/>
  <c r="J30" i="58" s="1"/>
  <c r="D31" i="58"/>
  <c r="G31" i="58"/>
  <c r="K31" i="58"/>
  <c r="E31" i="58"/>
  <c r="E31" i="57"/>
  <c r="I70" i="57"/>
  <c r="G31" i="57"/>
  <c r="I70" i="56"/>
  <c r="F30" i="56"/>
  <c r="I30" i="56" s="1"/>
  <c r="J30" i="56" s="1"/>
  <c r="D31" i="56"/>
  <c r="D31" i="55"/>
  <c r="I69" i="55"/>
  <c r="K30" i="55"/>
  <c r="G30" i="55"/>
  <c r="I29" i="55"/>
  <c r="J29" i="55" s="1"/>
  <c r="E30" i="55"/>
  <c r="E30" i="54"/>
  <c r="F29" i="54"/>
  <c r="I29" i="54" s="1"/>
  <c r="J29" i="54" s="1"/>
  <c r="I69" i="54"/>
  <c r="I69" i="53"/>
  <c r="F29" i="53"/>
  <c r="I29" i="53" s="1"/>
  <c r="J29" i="53" s="1"/>
  <c r="E30" i="53"/>
  <c r="F30" i="53" s="1"/>
  <c r="K30" i="53"/>
  <c r="D30" i="52"/>
  <c r="I68" i="52"/>
  <c r="F28" i="52"/>
  <c r="I28" i="52" s="1"/>
  <c r="J28" i="52" s="1"/>
  <c r="G30" i="50"/>
  <c r="F29" i="50"/>
  <c r="I29" i="50" s="1"/>
  <c r="J29" i="50" s="1"/>
  <c r="I69" i="50"/>
  <c r="E30" i="50"/>
  <c r="H30" i="50"/>
  <c r="P30" i="50"/>
  <c r="D32" i="49"/>
  <c r="H33" i="49"/>
  <c r="J71" i="49"/>
  <c r="L32" i="49"/>
  <c r="G32" i="49"/>
  <c r="E29" i="49"/>
  <c r="F28" i="49"/>
  <c r="J28" i="49" s="1"/>
  <c r="K28" i="49" s="1"/>
  <c r="K31" i="59" l="1"/>
  <c r="K32" i="59" s="1"/>
  <c r="H31" i="54"/>
  <c r="H32" i="56"/>
  <c r="D32" i="57"/>
  <c r="F31" i="57"/>
  <c r="I31" i="57" s="1"/>
  <c r="J31" i="57" s="1"/>
  <c r="K31" i="50"/>
  <c r="P31" i="53"/>
  <c r="K31" i="53"/>
  <c r="H31" i="53"/>
  <c r="I30" i="53"/>
  <c r="J30" i="53" s="1"/>
  <c r="K32" i="58"/>
  <c r="I29" i="52"/>
  <c r="J29" i="52" s="1"/>
  <c r="G31" i="60"/>
  <c r="D31" i="53"/>
  <c r="D31" i="60"/>
  <c r="K31" i="60"/>
  <c r="P31" i="50"/>
  <c r="E32" i="58"/>
  <c r="H31" i="60"/>
  <c r="K30" i="61"/>
  <c r="E31" i="50"/>
  <c r="G31" i="50"/>
  <c r="G31" i="53"/>
  <c r="H30" i="61"/>
  <c r="G30" i="61"/>
  <c r="D30" i="61"/>
  <c r="F29" i="61"/>
  <c r="I29" i="61" s="1"/>
  <c r="J29" i="61" s="1"/>
  <c r="E31" i="61"/>
  <c r="I69" i="61"/>
  <c r="I70" i="60"/>
  <c r="H32" i="60"/>
  <c r="E30" i="60"/>
  <c r="F29" i="60"/>
  <c r="I29" i="60" s="1"/>
  <c r="J29" i="60" s="1"/>
  <c r="I70" i="59"/>
  <c r="H31" i="59"/>
  <c r="E31" i="59"/>
  <c r="G31" i="59"/>
  <c r="F30" i="59"/>
  <c r="I30" i="59" s="1"/>
  <c r="J30" i="59" s="1"/>
  <c r="D31" i="59"/>
  <c r="G32" i="58"/>
  <c r="I71" i="58"/>
  <c r="H33" i="58"/>
  <c r="F31" i="58"/>
  <c r="I31" i="58" s="1"/>
  <c r="J31" i="58" s="1"/>
  <c r="D32" i="58"/>
  <c r="H32" i="57"/>
  <c r="G32" i="57"/>
  <c r="K32" i="57"/>
  <c r="I71" i="57"/>
  <c r="E32" i="57"/>
  <c r="G32" i="56"/>
  <c r="I71" i="56"/>
  <c r="E32" i="56"/>
  <c r="D32" i="56"/>
  <c r="F31" i="56"/>
  <c r="I31" i="56" s="1"/>
  <c r="J31" i="56" s="1"/>
  <c r="K32" i="56"/>
  <c r="I70" i="55"/>
  <c r="D32" i="55"/>
  <c r="G31" i="55"/>
  <c r="H31" i="55"/>
  <c r="E31" i="55"/>
  <c r="F31" i="55" s="1"/>
  <c r="K31" i="55"/>
  <c r="F30" i="55"/>
  <c r="I30" i="55" s="1"/>
  <c r="J30" i="55" s="1"/>
  <c r="E31" i="54"/>
  <c r="D31" i="54"/>
  <c r="I70" i="54"/>
  <c r="K31" i="54"/>
  <c r="F30" i="54"/>
  <c r="I30" i="54" s="1"/>
  <c r="J30" i="54" s="1"/>
  <c r="P31" i="54"/>
  <c r="G31" i="54"/>
  <c r="I70" i="53"/>
  <c r="E31" i="53"/>
  <c r="P30" i="52"/>
  <c r="H30" i="52"/>
  <c r="D31" i="52"/>
  <c r="I69" i="52"/>
  <c r="K30" i="52"/>
  <c r="E30" i="52"/>
  <c r="G30" i="52"/>
  <c r="H31" i="50"/>
  <c r="D31" i="50"/>
  <c r="F30" i="50"/>
  <c r="I30" i="50" s="1"/>
  <c r="J30" i="50" s="1"/>
  <c r="I70" i="50"/>
  <c r="E30" i="49"/>
  <c r="F29" i="49"/>
  <c r="J29" i="49" s="1"/>
  <c r="K29" i="49" s="1"/>
  <c r="L33" i="49"/>
  <c r="D33" i="49"/>
  <c r="G33" i="49"/>
  <c r="J72" i="49"/>
  <c r="H34" i="49"/>
  <c r="H33" i="56" l="1"/>
  <c r="H32" i="54"/>
  <c r="K32" i="50"/>
  <c r="K33" i="50" s="1"/>
  <c r="D33" i="57"/>
  <c r="P32" i="53"/>
  <c r="G32" i="54"/>
  <c r="F31" i="53"/>
  <c r="I31" i="53" s="1"/>
  <c r="J31" i="53" s="1"/>
  <c r="G31" i="52"/>
  <c r="K31" i="52"/>
  <c r="P31" i="52"/>
  <c r="E31" i="52"/>
  <c r="F31" i="52" s="1"/>
  <c r="H31" i="52"/>
  <c r="K33" i="56"/>
  <c r="H33" i="57"/>
  <c r="K32" i="53"/>
  <c r="G33" i="56"/>
  <c r="G34" i="49"/>
  <c r="E33" i="56"/>
  <c r="K33" i="57"/>
  <c r="G32" i="59"/>
  <c r="L34" i="49"/>
  <c r="H32" i="53"/>
  <c r="G32" i="53"/>
  <c r="K32" i="54"/>
  <c r="E32" i="54"/>
  <c r="E33" i="57"/>
  <c r="G33" i="58"/>
  <c r="I31" i="55"/>
  <c r="J31" i="55" s="1"/>
  <c r="E32" i="61"/>
  <c r="I70" i="61"/>
  <c r="K31" i="61"/>
  <c r="G31" i="61"/>
  <c r="H31" i="61"/>
  <c r="F30" i="61"/>
  <c r="I30" i="61" s="1"/>
  <c r="J30" i="61" s="1"/>
  <c r="D31" i="61"/>
  <c r="H33" i="60"/>
  <c r="I71" i="60"/>
  <c r="D32" i="60"/>
  <c r="K32" i="60"/>
  <c r="E31" i="60"/>
  <c r="F30" i="60"/>
  <c r="I30" i="60" s="1"/>
  <c r="J30" i="60" s="1"/>
  <c r="G32" i="60"/>
  <c r="D32" i="59"/>
  <c r="F31" i="59"/>
  <c r="I31" i="59" s="1"/>
  <c r="J31" i="59" s="1"/>
  <c r="H32" i="59"/>
  <c r="K33" i="59"/>
  <c r="I71" i="59"/>
  <c r="E32" i="59"/>
  <c r="D33" i="58"/>
  <c r="F32" i="58"/>
  <c r="I32" i="58" s="1"/>
  <c r="J32" i="58" s="1"/>
  <c r="K33" i="58"/>
  <c r="E33" i="58"/>
  <c r="I72" i="58"/>
  <c r="H34" i="58"/>
  <c r="F32" i="57"/>
  <c r="I32" i="57" s="1"/>
  <c r="J32" i="57" s="1"/>
  <c r="G33" i="57"/>
  <c r="I72" i="57"/>
  <c r="F32" i="56"/>
  <c r="I32" i="56" s="1"/>
  <c r="J32" i="56" s="1"/>
  <c r="D33" i="56"/>
  <c r="I72" i="56"/>
  <c r="D33" i="55"/>
  <c r="I71" i="55"/>
  <c r="H32" i="55"/>
  <c r="K32" i="55"/>
  <c r="E32" i="55"/>
  <c r="G32" i="55"/>
  <c r="F31" i="54"/>
  <c r="I31" i="54" s="1"/>
  <c r="J31" i="54" s="1"/>
  <c r="D32" i="54"/>
  <c r="P32" i="54"/>
  <c r="I71" i="54"/>
  <c r="D32" i="53"/>
  <c r="E32" i="53"/>
  <c r="I71" i="53"/>
  <c r="I70" i="52"/>
  <c r="D32" i="52"/>
  <c r="F30" i="52"/>
  <c r="I30" i="52" s="1"/>
  <c r="J30" i="52" s="1"/>
  <c r="E32" i="50"/>
  <c r="I71" i="50"/>
  <c r="H32" i="50"/>
  <c r="G32" i="50"/>
  <c r="P32" i="50"/>
  <c r="D32" i="50"/>
  <c r="F31" i="50"/>
  <c r="I31" i="50" s="1"/>
  <c r="J31" i="50" s="1"/>
  <c r="H35" i="49"/>
  <c r="J73" i="49"/>
  <c r="D34" i="49"/>
  <c r="E31" i="49"/>
  <c r="F30" i="49"/>
  <c r="J30" i="49" s="1"/>
  <c r="K30" i="49" s="1"/>
  <c r="F33" i="57" l="1"/>
  <c r="I33" i="57" s="1"/>
  <c r="J33" i="57" s="1"/>
  <c r="P33" i="53"/>
  <c r="K34" i="57"/>
  <c r="K33" i="54"/>
  <c r="K34" i="54" s="1"/>
  <c r="I31" i="52"/>
  <c r="J31" i="52" s="1"/>
  <c r="G34" i="56"/>
  <c r="H34" i="56"/>
  <c r="G33" i="54"/>
  <c r="H33" i="50"/>
  <c r="E32" i="52"/>
  <c r="F32" i="52" s="1"/>
  <c r="P32" i="52"/>
  <c r="G35" i="49"/>
  <c r="K32" i="52"/>
  <c r="P33" i="54"/>
  <c r="G33" i="55"/>
  <c r="K34" i="56"/>
  <c r="P33" i="50"/>
  <c r="P34" i="50" s="1"/>
  <c r="F31" i="61"/>
  <c r="I31" i="61" s="1"/>
  <c r="J31" i="61" s="1"/>
  <c r="D32" i="61"/>
  <c r="K32" i="61"/>
  <c r="E33" i="61"/>
  <c r="I71" i="61"/>
  <c r="H32" i="61"/>
  <c r="G32" i="61"/>
  <c r="G33" i="60"/>
  <c r="D33" i="60"/>
  <c r="I72" i="60"/>
  <c r="H34" i="60"/>
  <c r="E32" i="60"/>
  <c r="E33" i="60" s="1"/>
  <c r="F31" i="60"/>
  <c r="I31" i="60" s="1"/>
  <c r="J31" i="60" s="1"/>
  <c r="K33" i="60"/>
  <c r="E33" i="59"/>
  <c r="I72" i="59"/>
  <c r="K34" i="59"/>
  <c r="F32" i="59"/>
  <c r="I32" i="59" s="1"/>
  <c r="J32" i="59" s="1"/>
  <c r="D33" i="59"/>
  <c r="G33" i="59"/>
  <c r="H33" i="59"/>
  <c r="G34" i="58"/>
  <c r="E34" i="58"/>
  <c r="D34" i="58"/>
  <c r="F33" i="58"/>
  <c r="I33" i="58" s="1"/>
  <c r="J33" i="58" s="1"/>
  <c r="I73" i="58"/>
  <c r="H35" i="58"/>
  <c r="K34" i="58"/>
  <c r="E34" i="57"/>
  <c r="D34" i="57"/>
  <c r="H34" i="57"/>
  <c r="G34" i="57"/>
  <c r="I73" i="57"/>
  <c r="K35" i="57"/>
  <c r="D34" i="56"/>
  <c r="F33" i="56"/>
  <c r="I33" i="56" s="1"/>
  <c r="J33" i="56" s="1"/>
  <c r="E34" i="56"/>
  <c r="I73" i="56"/>
  <c r="I72" i="55"/>
  <c r="D34" i="55"/>
  <c r="E33" i="55"/>
  <c r="K33" i="55"/>
  <c r="H33" i="55"/>
  <c r="F32" i="55"/>
  <c r="I32" i="55" s="1"/>
  <c r="J32" i="55" s="1"/>
  <c r="F32" i="54"/>
  <c r="I32" i="54" s="1"/>
  <c r="J32" i="54" s="1"/>
  <c r="D33" i="54"/>
  <c r="E33" i="54"/>
  <c r="H33" i="54"/>
  <c r="I72" i="54"/>
  <c r="E33" i="53"/>
  <c r="H33" i="53"/>
  <c r="I72" i="53"/>
  <c r="K33" i="53"/>
  <c r="G33" i="53"/>
  <c r="D33" i="53"/>
  <c r="F32" i="53"/>
  <c r="I32" i="53" s="1"/>
  <c r="J32" i="53" s="1"/>
  <c r="G32" i="52"/>
  <c r="H32" i="52"/>
  <c r="D33" i="52"/>
  <c r="I71" i="52"/>
  <c r="D33" i="50"/>
  <c r="F32" i="50"/>
  <c r="I32" i="50" s="1"/>
  <c r="J32" i="50" s="1"/>
  <c r="I72" i="50"/>
  <c r="G33" i="50"/>
  <c r="E33" i="50"/>
  <c r="E32" i="49"/>
  <c r="F31" i="49"/>
  <c r="J31" i="49" s="1"/>
  <c r="K31" i="49" s="1"/>
  <c r="J74" i="49"/>
  <c r="H36" i="49"/>
  <c r="D35" i="49"/>
  <c r="L35" i="49"/>
  <c r="P34" i="53" l="1"/>
  <c r="H35" i="56"/>
  <c r="H34" i="59"/>
  <c r="K34" i="55"/>
  <c r="E34" i="55"/>
  <c r="F34" i="55" s="1"/>
  <c r="G34" i="55"/>
  <c r="G34" i="59"/>
  <c r="K34" i="53"/>
  <c r="E34" i="53"/>
  <c r="E34" i="54"/>
  <c r="E35" i="56"/>
  <c r="P34" i="54"/>
  <c r="H34" i="50"/>
  <c r="G34" i="54"/>
  <c r="H33" i="61"/>
  <c r="G36" i="49"/>
  <c r="L36" i="49"/>
  <c r="E34" i="50"/>
  <c r="K34" i="50"/>
  <c r="G34" i="53"/>
  <c r="H34" i="53"/>
  <c r="H34" i="54"/>
  <c r="H34" i="55"/>
  <c r="K35" i="56"/>
  <c r="G35" i="56"/>
  <c r="E34" i="60"/>
  <c r="G33" i="61"/>
  <c r="K33" i="61"/>
  <c r="F32" i="61"/>
  <c r="I32" i="61" s="1"/>
  <c r="J32" i="61" s="1"/>
  <c r="D33" i="61"/>
  <c r="E34" i="61"/>
  <c r="I72" i="61"/>
  <c r="F32" i="60"/>
  <c r="I32" i="60" s="1"/>
  <c r="J32" i="60" s="1"/>
  <c r="G34" i="60"/>
  <c r="D34" i="60"/>
  <c r="F33" i="60"/>
  <c r="I33" i="60" s="1"/>
  <c r="J33" i="60" s="1"/>
  <c r="K34" i="60"/>
  <c r="H35" i="60"/>
  <c r="I73" i="60"/>
  <c r="D34" i="59"/>
  <c r="F33" i="59"/>
  <c r="I33" i="59" s="1"/>
  <c r="J33" i="59" s="1"/>
  <c r="E34" i="59"/>
  <c r="K35" i="59"/>
  <c r="I73" i="59"/>
  <c r="K35" i="58"/>
  <c r="E35" i="58"/>
  <c r="F34" i="58"/>
  <c r="I34" i="58" s="1"/>
  <c r="J34" i="58" s="1"/>
  <c r="D35" i="58"/>
  <c r="I74" i="58"/>
  <c r="H36" i="58"/>
  <c r="G35" i="58"/>
  <c r="K36" i="57"/>
  <c r="I74" i="57"/>
  <c r="E35" i="57"/>
  <c r="G35" i="57"/>
  <c r="H35" i="57"/>
  <c r="F34" i="57"/>
  <c r="I34" i="57" s="1"/>
  <c r="J34" i="57" s="1"/>
  <c r="D35" i="57"/>
  <c r="F34" i="56"/>
  <c r="I34" i="56" s="1"/>
  <c r="J34" i="56" s="1"/>
  <c r="D35" i="56"/>
  <c r="I74" i="56"/>
  <c r="D35" i="55"/>
  <c r="I73" i="55"/>
  <c r="F33" i="55"/>
  <c r="I33" i="55" s="1"/>
  <c r="J33" i="55" s="1"/>
  <c r="I73" i="54"/>
  <c r="D34" i="54"/>
  <c r="F33" i="54"/>
  <c r="I33" i="54" s="1"/>
  <c r="J33" i="54" s="1"/>
  <c r="F33" i="53"/>
  <c r="I33" i="53" s="1"/>
  <c r="J33" i="53" s="1"/>
  <c r="D34" i="53"/>
  <c r="I73" i="53"/>
  <c r="K33" i="52"/>
  <c r="I32" i="52"/>
  <c r="J32" i="52" s="1"/>
  <c r="H33" i="52"/>
  <c r="P33" i="52"/>
  <c r="E33" i="52"/>
  <c r="D34" i="52"/>
  <c r="I72" i="52"/>
  <c r="G33" i="52"/>
  <c r="P35" i="50"/>
  <c r="I73" i="50"/>
  <c r="G34" i="50"/>
  <c r="D34" i="50"/>
  <c r="F33" i="50"/>
  <c r="I33" i="50" s="1"/>
  <c r="J33" i="50" s="1"/>
  <c r="D36" i="49"/>
  <c r="E33" i="49"/>
  <c r="F32" i="49"/>
  <c r="J32" i="49" s="1"/>
  <c r="K32" i="49" s="1"/>
  <c r="P35" i="53" l="1"/>
  <c r="P36" i="53" s="1"/>
  <c r="E36" i="56"/>
  <c r="P35" i="54"/>
  <c r="H36" i="57"/>
  <c r="G35" i="55"/>
  <c r="I34" i="55"/>
  <c r="J34" i="55" s="1"/>
  <c r="G36" i="58"/>
  <c r="G35" i="54"/>
  <c r="H35" i="55"/>
  <c r="G36" i="56"/>
  <c r="H36" i="56"/>
  <c r="K36" i="56"/>
  <c r="E35" i="54"/>
  <c r="G34" i="61"/>
  <c r="H34" i="61"/>
  <c r="E35" i="61"/>
  <c r="I73" i="61"/>
  <c r="K34" i="61"/>
  <c r="D34" i="61"/>
  <c r="F33" i="61"/>
  <c r="I33" i="61" s="1"/>
  <c r="J33" i="61" s="1"/>
  <c r="D35" i="60"/>
  <c r="F34" i="60"/>
  <c r="I34" i="60" s="1"/>
  <c r="J34" i="60" s="1"/>
  <c r="K35" i="60"/>
  <c r="G35" i="60"/>
  <c r="E35" i="60"/>
  <c r="I74" i="60"/>
  <c r="H36" i="60"/>
  <c r="E35" i="59"/>
  <c r="H35" i="59"/>
  <c r="I74" i="59"/>
  <c r="K36" i="59"/>
  <c r="F34" i="59"/>
  <c r="I34" i="59" s="1"/>
  <c r="J34" i="59" s="1"/>
  <c r="D35" i="59"/>
  <c r="G35" i="59"/>
  <c r="E36" i="58"/>
  <c r="K36" i="58"/>
  <c r="F35" i="58"/>
  <c r="I35" i="58" s="1"/>
  <c r="J35" i="58" s="1"/>
  <c r="D36" i="58"/>
  <c r="G36" i="57"/>
  <c r="D36" i="57"/>
  <c r="F35" i="57"/>
  <c r="I35" i="57" s="1"/>
  <c r="J35" i="57" s="1"/>
  <c r="E36" i="57"/>
  <c r="D36" i="56"/>
  <c r="F35" i="56"/>
  <c r="I35" i="56" s="1"/>
  <c r="J35" i="56" s="1"/>
  <c r="K35" i="55"/>
  <c r="E35" i="55"/>
  <c r="I74" i="55"/>
  <c r="D36" i="55"/>
  <c r="H35" i="54"/>
  <c r="D35" i="54"/>
  <c r="F34" i="54"/>
  <c r="I34" i="54" s="1"/>
  <c r="J34" i="54" s="1"/>
  <c r="I74" i="54"/>
  <c r="E36" i="54"/>
  <c r="K35" i="54"/>
  <c r="H35" i="53"/>
  <c r="G35" i="53"/>
  <c r="K35" i="53"/>
  <c r="I74" i="53"/>
  <c r="E35" i="53"/>
  <c r="D35" i="53"/>
  <c r="F34" i="53"/>
  <c r="I34" i="53" s="1"/>
  <c r="J34" i="53" s="1"/>
  <c r="K34" i="52"/>
  <c r="E34" i="52"/>
  <c r="F34" i="52" s="1"/>
  <c r="G34" i="52"/>
  <c r="P34" i="52"/>
  <c r="F33" i="52"/>
  <c r="I33" i="52" s="1"/>
  <c r="J33" i="52" s="1"/>
  <c r="D35" i="52"/>
  <c r="I73" i="52"/>
  <c r="H34" i="52"/>
  <c r="F34" i="50"/>
  <c r="I34" i="50" s="1"/>
  <c r="J34" i="50" s="1"/>
  <c r="D35" i="50"/>
  <c r="P36" i="50"/>
  <c r="I74" i="50"/>
  <c r="G35" i="50"/>
  <c r="E35" i="50"/>
  <c r="H35" i="50"/>
  <c r="K35" i="50"/>
  <c r="E34" i="49"/>
  <c r="F33" i="49"/>
  <c r="J33" i="49" s="1"/>
  <c r="K33" i="49" s="1"/>
  <c r="F36" i="56" l="1"/>
  <c r="I36" i="56" s="1"/>
  <c r="J36" i="56" s="1"/>
  <c r="G36" i="59"/>
  <c r="E36" i="53"/>
  <c r="H36" i="50"/>
  <c r="H35" i="61"/>
  <c r="G36" i="54"/>
  <c r="K35" i="61"/>
  <c r="G35" i="61"/>
  <c r="G36" i="50"/>
  <c r="P36" i="54"/>
  <c r="H36" i="59"/>
  <c r="K36" i="54"/>
  <c r="F36" i="57"/>
  <c r="I36" i="57" s="1"/>
  <c r="J36" i="57" s="1"/>
  <c r="D35" i="61"/>
  <c r="F34" i="61"/>
  <c r="I34" i="61" s="1"/>
  <c r="J34" i="61" s="1"/>
  <c r="I74" i="61"/>
  <c r="E36" i="61"/>
  <c r="K36" i="60"/>
  <c r="E36" i="60"/>
  <c r="F35" i="60"/>
  <c r="I35" i="60" s="1"/>
  <c r="J35" i="60" s="1"/>
  <c r="D36" i="60"/>
  <c r="G36" i="60"/>
  <c r="E36" i="59"/>
  <c r="D36" i="59"/>
  <c r="F35" i="59"/>
  <c r="I35" i="59" s="1"/>
  <c r="J35" i="59" s="1"/>
  <c r="F36" i="58"/>
  <c r="I36" i="58" s="1"/>
  <c r="J36" i="58" s="1"/>
  <c r="H36" i="55"/>
  <c r="G36" i="55"/>
  <c r="E36" i="55"/>
  <c r="F36" i="55" s="1"/>
  <c r="F35" i="55"/>
  <c r="I35" i="55" s="1"/>
  <c r="J35" i="55" s="1"/>
  <c r="K36" i="55"/>
  <c r="D36" i="54"/>
  <c r="F36" i="54" s="1"/>
  <c r="F35" i="54"/>
  <c r="I35" i="54" s="1"/>
  <c r="J35" i="54" s="1"/>
  <c r="H36" i="54"/>
  <c r="H36" i="53"/>
  <c r="F35" i="53"/>
  <c r="I35" i="53" s="1"/>
  <c r="J35" i="53" s="1"/>
  <c r="D36" i="53"/>
  <c r="K36" i="53"/>
  <c r="G36" i="53"/>
  <c r="I34" i="52"/>
  <c r="J34" i="52" s="1"/>
  <c r="H35" i="52"/>
  <c r="E35" i="52"/>
  <c r="K35" i="52"/>
  <c r="P35" i="52"/>
  <c r="I74" i="52"/>
  <c r="D36" i="52"/>
  <c r="G35" i="52"/>
  <c r="E36" i="50"/>
  <c r="D36" i="50"/>
  <c r="F35" i="50"/>
  <c r="I35" i="50" s="1"/>
  <c r="J35" i="50" s="1"/>
  <c r="K36" i="50"/>
  <c r="E35" i="49"/>
  <c r="F34" i="49"/>
  <c r="J34" i="49" s="1"/>
  <c r="K34" i="49" s="1"/>
  <c r="I36" i="54" l="1"/>
  <c r="J36" i="54" s="1"/>
  <c r="F36" i="53"/>
  <c r="I36" i="53" s="1"/>
  <c r="J36" i="53" s="1"/>
  <c r="F36" i="50"/>
  <c r="I36" i="50" s="1"/>
  <c r="J36" i="50" s="1"/>
  <c r="D36" i="61"/>
  <c r="F36" i="61" s="1"/>
  <c r="F35" i="61"/>
  <c r="I35" i="61" s="1"/>
  <c r="J35" i="61" s="1"/>
  <c r="G36" i="61"/>
  <c r="H36" i="61"/>
  <c r="K36" i="61"/>
  <c r="F36" i="60"/>
  <c r="I36" i="60" s="1"/>
  <c r="J36" i="60" s="1"/>
  <c r="F36" i="59"/>
  <c r="I36" i="59" s="1"/>
  <c r="J36" i="59" s="1"/>
  <c r="I36" i="55"/>
  <c r="J36" i="55" s="1"/>
  <c r="H36" i="52"/>
  <c r="E36" i="52"/>
  <c r="F36" i="52" s="1"/>
  <c r="P36" i="52"/>
  <c r="F35" i="52"/>
  <c r="I35" i="52" s="1"/>
  <c r="J35" i="52" s="1"/>
  <c r="G36" i="52"/>
  <c r="K36" i="52"/>
  <c r="E36" i="49"/>
  <c r="F36" i="49" s="1"/>
  <c r="J36" i="49" s="1"/>
  <c r="K36" i="49" s="1"/>
  <c r="F35" i="49"/>
  <c r="J35" i="49" s="1"/>
  <c r="K35" i="49" s="1"/>
  <c r="I36" i="52" l="1"/>
  <c r="J36" i="52" s="1"/>
  <c r="I36" i="61"/>
  <c r="J36" i="61" s="1"/>
  <c r="E11" i="42" l="1"/>
  <c r="C14" i="43"/>
  <c r="B11" i="43" l="1"/>
  <c r="B12" i="43"/>
  <c r="B13" i="43" s="1"/>
  <c r="H11" i="43" l="1"/>
  <c r="D14" i="43"/>
  <c r="G11" i="43" l="1"/>
  <c r="L11" i="43"/>
  <c r="E11" i="43"/>
  <c r="H12" i="43" l="1"/>
  <c r="H13" i="43" l="1"/>
  <c r="H14" i="43" s="1"/>
  <c r="H15" i="43" s="1"/>
  <c r="H16" i="43" s="1"/>
  <c r="H17" i="43" s="1"/>
  <c r="H18" i="43" s="1"/>
  <c r="H19" i="43" s="1"/>
  <c r="C65" i="62"/>
  <c r="C65" i="49"/>
  <c r="C65" i="58"/>
  <c r="C65" i="61"/>
  <c r="C65" i="56"/>
  <c r="C65" i="55"/>
  <c r="C65" i="54"/>
  <c r="C65" i="52"/>
  <c r="C65" i="60"/>
  <c r="C65" i="59"/>
  <c r="C65" i="57"/>
  <c r="C65" i="53"/>
  <c r="C65" i="50"/>
  <c r="C11" i="47" l="1"/>
  <c r="CX5" i="25"/>
  <c r="B66" i="25" l="1"/>
  <c r="B56" i="25" l="1"/>
  <c r="C43" i="47" l="1"/>
  <c r="C42" i="47"/>
  <c r="B13" i="47"/>
  <c r="B14" i="47" s="1"/>
  <c r="B15" i="47" s="1"/>
  <c r="B16" i="47" s="1"/>
  <c r="B17" i="47" s="1"/>
  <c r="B18" i="47" s="1"/>
  <c r="B19" i="47" s="1"/>
  <c r="B20" i="47" s="1"/>
  <c r="B21" i="47" s="1"/>
  <c r="B22" i="47" s="1"/>
  <c r="B23" i="47" s="1"/>
  <c r="B24" i="47" s="1"/>
  <c r="B25" i="47" s="1"/>
  <c r="B26" i="47" s="1"/>
  <c r="B27" i="47" s="1"/>
  <c r="B28" i="47" s="1"/>
  <c r="B29" i="47" s="1"/>
  <c r="B30" i="47" s="1"/>
  <c r="B31" i="47" s="1"/>
  <c r="B32" i="47" s="1"/>
  <c r="B12" i="47"/>
  <c r="E11" i="47"/>
  <c r="B11" i="47"/>
  <c r="B9" i="47"/>
  <c r="C44" i="47" l="1"/>
  <c r="C10" i="47" l="1"/>
  <c r="E10" i="47" s="1"/>
  <c r="C45" i="47"/>
  <c r="C40" i="47"/>
  <c r="C46" i="47" l="1"/>
  <c r="C47" i="47" l="1"/>
  <c r="C12" i="47"/>
  <c r="E12" i="47" l="1"/>
  <c r="C13" i="47"/>
  <c r="C48" i="47"/>
  <c r="C10" i="25"/>
  <c r="E13" i="47" l="1"/>
  <c r="C49" i="47"/>
  <c r="C14" i="47"/>
  <c r="E14" i="47" l="1"/>
  <c r="C15" i="47"/>
  <c r="F41" i="47"/>
  <c r="E15" i="47" l="1"/>
  <c r="C16" i="47"/>
  <c r="F42" i="47"/>
  <c r="E16" i="47" l="1"/>
  <c r="C17" i="47"/>
  <c r="F43" i="47"/>
  <c r="C67" i="44"/>
  <c r="C68" i="44" s="1"/>
  <c r="D47" i="44"/>
  <c r="D46" i="44"/>
  <c r="C49" i="44"/>
  <c r="D48" i="44"/>
  <c r="C48" i="44"/>
  <c r="C47" i="44"/>
  <c r="C46" i="44"/>
  <c r="C45" i="44"/>
  <c r="B11" i="44"/>
  <c r="B12" i="44" s="1"/>
  <c r="B13" i="44" s="1"/>
  <c r="B14" i="44" s="1"/>
  <c r="P10" i="44"/>
  <c r="D46" i="43"/>
  <c r="C67" i="43"/>
  <c r="C68" i="43" s="1"/>
  <c r="C49" i="43"/>
  <c r="D48" i="43"/>
  <c r="C48" i="43"/>
  <c r="C47" i="43"/>
  <c r="C46" i="43"/>
  <c r="C45" i="43"/>
  <c r="E17" i="47" l="1"/>
  <c r="F44" i="47"/>
  <c r="C18" i="47"/>
  <c r="B3" i="44"/>
  <c r="C52" i="44" s="1"/>
  <c r="B9" i="44" s="1"/>
  <c r="C69" i="44"/>
  <c r="C70" i="44" s="1"/>
  <c r="B15" i="44"/>
  <c r="P11" i="44"/>
  <c r="D47" i="43"/>
  <c r="B3" i="43"/>
  <c r="C52" i="43" s="1"/>
  <c r="B9" i="43" s="1"/>
  <c r="C69" i="43"/>
  <c r="E18" i="47" l="1"/>
  <c r="C19" i="47"/>
  <c r="F45" i="47"/>
  <c r="L12" i="43"/>
  <c r="L13" i="43" s="1"/>
  <c r="K12" i="44"/>
  <c r="K13" i="44" s="1"/>
  <c r="E12" i="43"/>
  <c r="E13" i="43" s="1"/>
  <c r="F11" i="44"/>
  <c r="I11" i="44" s="1"/>
  <c r="J11" i="44" s="1"/>
  <c r="F11" i="43"/>
  <c r="J11" i="43" s="1"/>
  <c r="G12" i="43"/>
  <c r="G13" i="43" s="1"/>
  <c r="C71" i="44"/>
  <c r="G12" i="44"/>
  <c r="G13" i="44" s="1"/>
  <c r="E12" i="44"/>
  <c r="E13" i="44" s="1"/>
  <c r="H12" i="44"/>
  <c r="H13" i="44" s="1"/>
  <c r="P12" i="44"/>
  <c r="B16" i="44"/>
  <c r="C70" i="43"/>
  <c r="K11" i="43" l="1"/>
  <c r="E19" i="47"/>
  <c r="C20" i="47"/>
  <c r="F46" i="47"/>
  <c r="F12" i="43"/>
  <c r="J12" i="43" s="1"/>
  <c r="K14" i="44"/>
  <c r="K15" i="44" s="1"/>
  <c r="E14" i="43"/>
  <c r="H14" i="44"/>
  <c r="H15" i="44" s="1"/>
  <c r="H16" i="44" s="1"/>
  <c r="G14" i="44"/>
  <c r="G15" i="44" s="1"/>
  <c r="E14" i="44"/>
  <c r="E15" i="44" s="1"/>
  <c r="C72" i="44"/>
  <c r="B17" i="44"/>
  <c r="P13" i="44"/>
  <c r="C71" i="43"/>
  <c r="G14" i="43"/>
  <c r="L14" i="43"/>
  <c r="B14" i="43"/>
  <c r="F13" i="43"/>
  <c r="J13" i="43" s="1"/>
  <c r="K12" i="43" l="1"/>
  <c r="E20" i="47"/>
  <c r="C21" i="47"/>
  <c r="F47" i="47"/>
  <c r="F12" i="44"/>
  <c r="I12" i="44" s="1"/>
  <c r="J12" i="44" s="1"/>
  <c r="K16" i="44"/>
  <c r="E15" i="43"/>
  <c r="E16" i="44"/>
  <c r="G16" i="44"/>
  <c r="C73" i="44"/>
  <c r="F13" i="44"/>
  <c r="P14" i="44"/>
  <c r="B18" i="44"/>
  <c r="B15" i="43"/>
  <c r="D15" i="43"/>
  <c r="F14" i="43"/>
  <c r="J14" i="43" s="1"/>
  <c r="L15" i="43"/>
  <c r="C72" i="43"/>
  <c r="K13" i="43"/>
  <c r="G15" i="43"/>
  <c r="K14" i="43" l="1"/>
  <c r="E21" i="47"/>
  <c r="C22" i="47"/>
  <c r="F48" i="47"/>
  <c r="E16" i="43"/>
  <c r="K17" i="44"/>
  <c r="G17" i="44"/>
  <c r="H17" i="44"/>
  <c r="C74" i="44"/>
  <c r="E17" i="44"/>
  <c r="B19" i="44"/>
  <c r="I13" i="44"/>
  <c r="J13" i="44" s="1"/>
  <c r="P15" i="44"/>
  <c r="F14" i="44"/>
  <c r="I14" i="44" s="1"/>
  <c r="J14" i="44" s="1"/>
  <c r="F15" i="43"/>
  <c r="J15" i="43" s="1"/>
  <c r="D16" i="43"/>
  <c r="C73" i="43"/>
  <c r="G16" i="43"/>
  <c r="L16" i="43"/>
  <c r="B16" i="43"/>
  <c r="E22" i="47" l="1"/>
  <c r="C23" i="47"/>
  <c r="F49" i="47"/>
  <c r="E17" i="43"/>
  <c r="E18" i="44"/>
  <c r="K18" i="44"/>
  <c r="L17" i="43"/>
  <c r="G18" i="44"/>
  <c r="G17" i="43"/>
  <c r="H18" i="44"/>
  <c r="F66" i="44"/>
  <c r="F15" i="44"/>
  <c r="B20" i="44"/>
  <c r="P16" i="44"/>
  <c r="B17" i="43"/>
  <c r="C74" i="43"/>
  <c r="D17" i="43"/>
  <c r="F16" i="43"/>
  <c r="J16" i="43" s="1"/>
  <c r="K15" i="43"/>
  <c r="E23" i="47" l="1"/>
  <c r="I41" i="47"/>
  <c r="C24" i="47"/>
  <c r="L18" i="43"/>
  <c r="E19" i="44"/>
  <c r="K19" i="44"/>
  <c r="G18" i="43"/>
  <c r="G19" i="44"/>
  <c r="H19" i="44"/>
  <c r="F67" i="44"/>
  <c r="E18" i="43"/>
  <c r="F16" i="44"/>
  <c r="B21" i="44"/>
  <c r="P17" i="44"/>
  <c r="I15" i="44"/>
  <c r="J15" i="44" s="1"/>
  <c r="F17" i="43"/>
  <c r="J17" i="43" s="1"/>
  <c r="D18" i="43"/>
  <c r="F66" i="43"/>
  <c r="H20" i="43" s="1"/>
  <c r="K16" i="43"/>
  <c r="B18" i="43"/>
  <c r="E24" i="47" l="1"/>
  <c r="C25" i="47"/>
  <c r="I42" i="47"/>
  <c r="E20" i="44"/>
  <c r="K20" i="44"/>
  <c r="H20" i="44"/>
  <c r="E19" i="43"/>
  <c r="G20" i="44"/>
  <c r="F68" i="44"/>
  <c r="L19" i="43"/>
  <c r="G19" i="43"/>
  <c r="F17" i="44"/>
  <c r="B22" i="44"/>
  <c r="I16" i="44"/>
  <c r="J16" i="44" s="1"/>
  <c r="P18" i="44"/>
  <c r="F67" i="43"/>
  <c r="H21" i="43" s="1"/>
  <c r="D19" i="43"/>
  <c r="F18" i="43"/>
  <c r="J18" i="43" s="1"/>
  <c r="B19" i="43"/>
  <c r="K17" i="43"/>
  <c r="E25" i="47" l="1"/>
  <c r="C26" i="47"/>
  <c r="I43" i="47"/>
  <c r="E21" i="44"/>
  <c r="K21" i="44"/>
  <c r="E20" i="43"/>
  <c r="L20" i="43"/>
  <c r="F69" i="44"/>
  <c r="G21" i="44"/>
  <c r="H21" i="44"/>
  <c r="P19" i="44"/>
  <c r="I17" i="44"/>
  <c r="J17" i="44" s="1"/>
  <c r="F18" i="44"/>
  <c r="B23" i="44"/>
  <c r="F68" i="43"/>
  <c r="H22" i="43" s="1"/>
  <c r="F19" i="43"/>
  <c r="J19" i="43" s="1"/>
  <c r="D20" i="43"/>
  <c r="G20" i="43"/>
  <c r="K18" i="43"/>
  <c r="B20" i="43"/>
  <c r="E26" i="47" l="1"/>
  <c r="C27" i="47"/>
  <c r="I44" i="47"/>
  <c r="E22" i="44"/>
  <c r="E21" i="43"/>
  <c r="E22" i="43" s="1"/>
  <c r="K22" i="44"/>
  <c r="H22" i="44"/>
  <c r="G22" i="44"/>
  <c r="F70" i="44"/>
  <c r="G21" i="43"/>
  <c r="L21" i="43"/>
  <c r="F19" i="44"/>
  <c r="I19" i="44" s="1"/>
  <c r="J19" i="44" s="1"/>
  <c r="B24" i="44"/>
  <c r="P20" i="44"/>
  <c r="I18" i="44"/>
  <c r="J18" i="44" s="1"/>
  <c r="K19" i="43"/>
  <c r="B21" i="43"/>
  <c r="D21" i="43"/>
  <c r="F20" i="43"/>
  <c r="J20" i="43" s="1"/>
  <c r="F69" i="43"/>
  <c r="H23" i="43" s="1"/>
  <c r="E27" i="47" l="1"/>
  <c r="I45" i="47"/>
  <c r="C28" i="47"/>
  <c r="E23" i="44"/>
  <c r="E24" i="44" s="1"/>
  <c r="K23" i="44"/>
  <c r="L22" i="43"/>
  <c r="G23" i="44"/>
  <c r="F71" i="44"/>
  <c r="H23" i="44"/>
  <c r="G22" i="43"/>
  <c r="P21" i="44"/>
  <c r="F20" i="44"/>
  <c r="B25" i="44"/>
  <c r="K20" i="43"/>
  <c r="F70" i="43"/>
  <c r="H24" i="43" s="1"/>
  <c r="E23" i="43"/>
  <c r="B22" i="43"/>
  <c r="F21" i="43"/>
  <c r="J21" i="43" s="1"/>
  <c r="D22" i="43"/>
  <c r="K21" i="43" l="1"/>
  <c r="C29" i="47"/>
  <c r="E28" i="47"/>
  <c r="I46" i="47"/>
  <c r="K24" i="44"/>
  <c r="H24" i="44"/>
  <c r="G24" i="44"/>
  <c r="E25" i="44"/>
  <c r="F72" i="44"/>
  <c r="G23" i="43"/>
  <c r="B26" i="44"/>
  <c r="F21" i="44"/>
  <c r="I21" i="44" s="1"/>
  <c r="J21" i="44" s="1"/>
  <c r="P22" i="44"/>
  <c r="I20" i="44"/>
  <c r="J20" i="44" s="1"/>
  <c r="B23" i="43"/>
  <c r="L23" i="43"/>
  <c r="F71" i="43"/>
  <c r="H25" i="43" s="1"/>
  <c r="E24" i="43"/>
  <c r="D23" i="43"/>
  <c r="F22" i="43"/>
  <c r="J22" i="43" s="1"/>
  <c r="E29" i="47" l="1"/>
  <c r="C30" i="47"/>
  <c r="I47" i="47"/>
  <c r="K25" i="44"/>
  <c r="H25" i="44"/>
  <c r="F73" i="44"/>
  <c r="E26" i="44"/>
  <c r="G25" i="44"/>
  <c r="P23" i="44"/>
  <c r="B27" i="44"/>
  <c r="F22" i="44"/>
  <c r="I22" i="44" s="1"/>
  <c r="J22" i="44" s="1"/>
  <c r="K22" i="43"/>
  <c r="L24" i="43"/>
  <c r="B24" i="43"/>
  <c r="G24" i="43"/>
  <c r="F72" i="43"/>
  <c r="H26" i="43" s="1"/>
  <c r="E25" i="43"/>
  <c r="F23" i="43"/>
  <c r="J23" i="43" s="1"/>
  <c r="D24" i="43"/>
  <c r="K23" i="43" l="1"/>
  <c r="E30" i="47"/>
  <c r="C31" i="47"/>
  <c r="I48" i="47"/>
  <c r="K26" i="44"/>
  <c r="G26" i="44"/>
  <c r="E27" i="44"/>
  <c r="F74" i="44"/>
  <c r="H26" i="44"/>
  <c r="B28" i="44"/>
  <c r="P24" i="44"/>
  <c r="F23" i="44"/>
  <c r="I23" i="44" s="1"/>
  <c r="J23" i="44" s="1"/>
  <c r="B25" i="43"/>
  <c r="F73" i="43"/>
  <c r="H27" i="43" s="1"/>
  <c r="E26" i="43"/>
  <c r="L25" i="43"/>
  <c r="D25" i="43"/>
  <c r="F24" i="43"/>
  <c r="J24" i="43" s="1"/>
  <c r="G25" i="43"/>
  <c r="K24" i="43" l="1"/>
  <c r="E31" i="47"/>
  <c r="C32" i="47"/>
  <c r="E32" i="47" s="1"/>
  <c r="I49" i="47"/>
  <c r="K27" i="44"/>
  <c r="H27" i="44"/>
  <c r="L26" i="43"/>
  <c r="G27" i="44"/>
  <c r="E28" i="44"/>
  <c r="I66" i="44"/>
  <c r="G26" i="43"/>
  <c r="P25" i="44"/>
  <c r="B29" i="44"/>
  <c r="F24" i="44"/>
  <c r="I24" i="44" s="1"/>
  <c r="J24" i="44" s="1"/>
  <c r="F74" i="43"/>
  <c r="H28" i="43" s="1"/>
  <c r="F25" i="43"/>
  <c r="J25" i="43" s="1"/>
  <c r="D26" i="43"/>
  <c r="B26" i="43"/>
  <c r="L27" i="43" l="1"/>
  <c r="K28" i="44"/>
  <c r="K29" i="44" s="1"/>
  <c r="H28" i="44"/>
  <c r="G28" i="44"/>
  <c r="E29" i="44"/>
  <c r="I67" i="44"/>
  <c r="G27" i="43"/>
  <c r="E27" i="43"/>
  <c r="B30" i="44"/>
  <c r="P26" i="44"/>
  <c r="F25" i="44"/>
  <c r="K25" i="43"/>
  <c r="B27" i="43"/>
  <c r="D27" i="43"/>
  <c r="F26" i="43"/>
  <c r="J26" i="43" s="1"/>
  <c r="J66" i="43"/>
  <c r="H29" i="43" s="1"/>
  <c r="G28" i="43" l="1"/>
  <c r="K30" i="44"/>
  <c r="I68" i="44"/>
  <c r="E30" i="44"/>
  <c r="E28" i="43"/>
  <c r="H29" i="44"/>
  <c r="G29" i="44"/>
  <c r="P27" i="44"/>
  <c r="I25" i="44"/>
  <c r="J25" i="44" s="1"/>
  <c r="F26" i="44"/>
  <c r="B31" i="44"/>
  <c r="K26" i="43"/>
  <c r="B28" i="43"/>
  <c r="L28" i="43"/>
  <c r="F27" i="43"/>
  <c r="J27" i="43" s="1"/>
  <c r="D28" i="43"/>
  <c r="J67" i="43"/>
  <c r="H30" i="43" s="1"/>
  <c r="K27" i="43" l="1"/>
  <c r="G29" i="43"/>
  <c r="K31" i="44"/>
  <c r="G30" i="44"/>
  <c r="H30" i="44"/>
  <c r="E31" i="44"/>
  <c r="I69" i="44"/>
  <c r="E29" i="43"/>
  <c r="B32" i="44"/>
  <c r="P28" i="44"/>
  <c r="I26" i="44"/>
  <c r="J26" i="44" s="1"/>
  <c r="D28" i="44"/>
  <c r="F27" i="44"/>
  <c r="I27" i="44" s="1"/>
  <c r="J27" i="44" s="1"/>
  <c r="B29" i="43"/>
  <c r="L29" i="43"/>
  <c r="D29" i="43"/>
  <c r="F28" i="43"/>
  <c r="J28" i="43" s="1"/>
  <c r="J68" i="43"/>
  <c r="H31" i="43" s="1"/>
  <c r="G30" i="43" l="1"/>
  <c r="K32" i="44"/>
  <c r="H31" i="44"/>
  <c r="G31" i="44"/>
  <c r="I70" i="44"/>
  <c r="E32" i="44"/>
  <c r="E30" i="43"/>
  <c r="B33" i="44"/>
  <c r="F28" i="44"/>
  <c r="D29" i="44"/>
  <c r="P29" i="44"/>
  <c r="K28" i="43"/>
  <c r="B30" i="43"/>
  <c r="F29" i="43"/>
  <c r="J29" i="43" s="1"/>
  <c r="D30" i="43"/>
  <c r="J69" i="43"/>
  <c r="H32" i="43" s="1"/>
  <c r="L30" i="43"/>
  <c r="G31" i="43" l="1"/>
  <c r="K33" i="44"/>
  <c r="G32" i="44"/>
  <c r="H32" i="44"/>
  <c r="E33" i="44"/>
  <c r="I71" i="44"/>
  <c r="L31" i="43"/>
  <c r="B34" i="44"/>
  <c r="D30" i="44"/>
  <c r="F29" i="44"/>
  <c r="P30" i="44"/>
  <c r="I28" i="44"/>
  <c r="J28" i="44" s="1"/>
  <c r="J70" i="43"/>
  <c r="H33" i="43" s="1"/>
  <c r="B31" i="43"/>
  <c r="K29" i="43"/>
  <c r="D31" i="43"/>
  <c r="F30" i="43"/>
  <c r="J30" i="43" s="1"/>
  <c r="E31" i="43"/>
  <c r="G32" i="43" l="1"/>
  <c r="K34" i="44"/>
  <c r="H33" i="44"/>
  <c r="I72" i="44"/>
  <c r="E34" i="44"/>
  <c r="G33" i="44"/>
  <c r="B35" i="44"/>
  <c r="I29" i="44"/>
  <c r="J29" i="44" s="1"/>
  <c r="P31" i="44"/>
  <c r="D31" i="44"/>
  <c r="F30" i="44"/>
  <c r="I30" i="44" s="1"/>
  <c r="J30" i="44" s="1"/>
  <c r="B32" i="43"/>
  <c r="E32" i="43"/>
  <c r="K30" i="43"/>
  <c r="L32" i="43"/>
  <c r="J71" i="43"/>
  <c r="H34" i="43" s="1"/>
  <c r="F31" i="43"/>
  <c r="J31" i="43" s="1"/>
  <c r="D32" i="43"/>
  <c r="G33" i="43" l="1"/>
  <c r="K35" i="44"/>
  <c r="G34" i="44"/>
  <c r="I73" i="44"/>
  <c r="E35" i="44"/>
  <c r="H34" i="44"/>
  <c r="D32" i="44"/>
  <c r="F31" i="44"/>
  <c r="P32" i="44"/>
  <c r="B36" i="44"/>
  <c r="E33" i="43"/>
  <c r="D33" i="43"/>
  <c r="F32" i="43"/>
  <c r="J32" i="43" s="1"/>
  <c r="J72" i="43"/>
  <c r="H35" i="43" s="1"/>
  <c r="K31" i="43"/>
  <c r="L33" i="43"/>
  <c r="B33" i="43"/>
  <c r="G34" i="43" l="1"/>
  <c r="K36" i="44"/>
  <c r="L34" i="43"/>
  <c r="H35" i="44"/>
  <c r="G35" i="44"/>
  <c r="E36" i="44"/>
  <c r="I74" i="44"/>
  <c r="P33" i="44"/>
  <c r="I31" i="44"/>
  <c r="J31" i="44" s="1"/>
  <c r="F32" i="44"/>
  <c r="D33" i="44"/>
  <c r="K32" i="43"/>
  <c r="E34" i="43"/>
  <c r="F33" i="43"/>
  <c r="J33" i="43" s="1"/>
  <c r="D34" i="43"/>
  <c r="B34" i="43"/>
  <c r="J73" i="43"/>
  <c r="H36" i="43" s="1"/>
  <c r="G35" i="43" l="1"/>
  <c r="G36" i="44"/>
  <c r="H36" i="44"/>
  <c r="D34" i="44"/>
  <c r="F33" i="44"/>
  <c r="I33" i="44" s="1"/>
  <c r="J33" i="44" s="1"/>
  <c r="I32" i="44"/>
  <c r="J32" i="44" s="1"/>
  <c r="P34" i="44"/>
  <c r="E35" i="43"/>
  <c r="B35" i="43"/>
  <c r="L35" i="43"/>
  <c r="D35" i="43"/>
  <c r="F34" i="43"/>
  <c r="J34" i="43" s="1"/>
  <c r="J74" i="43"/>
  <c r="K33" i="43"/>
  <c r="G36" i="43" l="1"/>
  <c r="P35" i="44"/>
  <c r="D35" i="44"/>
  <c r="F34" i="44"/>
  <c r="I34" i="44" s="1"/>
  <c r="J34" i="44" s="1"/>
  <c r="F35" i="43"/>
  <c r="J35" i="43" s="1"/>
  <c r="D36" i="43"/>
  <c r="L36" i="43"/>
  <c r="E36" i="43"/>
  <c r="K34" i="43"/>
  <c r="B36" i="43"/>
  <c r="F35" i="44" l="1"/>
  <c r="D36" i="44"/>
  <c r="F36" i="44" s="1"/>
  <c r="P36" i="44"/>
  <c r="F36" i="43"/>
  <c r="J36" i="43" s="1"/>
  <c r="K35" i="43"/>
  <c r="K36" i="43" l="1"/>
  <c r="I36" i="44"/>
  <c r="J36" i="44" s="1"/>
  <c r="I35" i="44"/>
  <c r="J35" i="44" s="1"/>
  <c r="C67" i="42" l="1"/>
  <c r="C68" i="42" s="1"/>
  <c r="H11" i="42"/>
  <c r="C49" i="42"/>
  <c r="D48" i="42"/>
  <c r="C48" i="42"/>
  <c r="C47" i="42"/>
  <c r="D46" i="42"/>
  <c r="C46" i="42"/>
  <c r="C45" i="42"/>
  <c r="B11" i="42"/>
  <c r="B12" i="42" s="1"/>
  <c r="B13" i="42" s="1"/>
  <c r="B14" i="42" s="1"/>
  <c r="B15" i="42" s="1"/>
  <c r="B16" i="42" s="1"/>
  <c r="B17" i="42" s="1"/>
  <c r="B18" i="42" s="1"/>
  <c r="B19" i="42" s="1"/>
  <c r="B20" i="42" s="1"/>
  <c r="B21" i="42" s="1"/>
  <c r="B22" i="42" s="1"/>
  <c r="B23" i="42" s="1"/>
  <c r="B24" i="42" s="1"/>
  <c r="B25" i="42" s="1"/>
  <c r="P10" i="42"/>
  <c r="P11" i="42" l="1"/>
  <c r="G12" i="42"/>
  <c r="G13" i="42" s="1"/>
  <c r="B26" i="42"/>
  <c r="C69" i="42"/>
  <c r="B3" i="42"/>
  <c r="C52" i="42" s="1"/>
  <c r="B9" i="42" s="1"/>
  <c r="D47" i="42"/>
  <c r="E12" i="42" l="1"/>
  <c r="E13" i="42" s="1"/>
  <c r="H12" i="42"/>
  <c r="H13" i="42" s="1"/>
  <c r="P12" i="42"/>
  <c r="F11" i="42"/>
  <c r="I11" i="42" s="1"/>
  <c r="K12" i="42"/>
  <c r="K13" i="42" s="1"/>
  <c r="C70" i="42"/>
  <c r="G14" i="42"/>
  <c r="B27" i="42"/>
  <c r="J11" i="42" l="1"/>
  <c r="H14" i="42"/>
  <c r="P13" i="42"/>
  <c r="P14" i="42" s="1"/>
  <c r="K14" i="42"/>
  <c r="G15" i="42"/>
  <c r="C71" i="42"/>
  <c r="F12" i="42"/>
  <c r="B28" i="42"/>
  <c r="E14" i="42"/>
  <c r="K15" i="42" l="1"/>
  <c r="E15" i="42"/>
  <c r="H15" i="42"/>
  <c r="I12" i="42"/>
  <c r="C72" i="42"/>
  <c r="G16" i="42"/>
  <c r="F13" i="42"/>
  <c r="I13" i="42" s="1"/>
  <c r="B29" i="42"/>
  <c r="P15" i="42"/>
  <c r="J13" i="42" l="1"/>
  <c r="J12" i="42"/>
  <c r="H16" i="42"/>
  <c r="E16" i="42"/>
  <c r="K16" i="42"/>
  <c r="P16" i="42"/>
  <c r="G17" i="42"/>
  <c r="C73" i="42"/>
  <c r="B30" i="42"/>
  <c r="F14" i="42"/>
  <c r="I14" i="42" s="1"/>
  <c r="D46" i="41"/>
  <c r="C67" i="41"/>
  <c r="C49" i="41"/>
  <c r="D48" i="41"/>
  <c r="C48" i="41"/>
  <c r="C47" i="41"/>
  <c r="C46" i="41"/>
  <c r="C45" i="41"/>
  <c r="B11" i="41"/>
  <c r="B12" i="41" s="1"/>
  <c r="B13" i="41" s="1"/>
  <c r="B14" i="41" s="1"/>
  <c r="B15" i="41" s="1"/>
  <c r="B16" i="41" s="1"/>
  <c r="B17" i="41" s="1"/>
  <c r="B18" i="41" s="1"/>
  <c r="B19" i="41" s="1"/>
  <c r="B20" i="41" s="1"/>
  <c r="B21" i="41" s="1"/>
  <c r="B22" i="41" s="1"/>
  <c r="B23" i="41" s="1"/>
  <c r="B24" i="41" s="1"/>
  <c r="B25" i="41" s="1"/>
  <c r="J14" i="42" l="1"/>
  <c r="C68" i="41"/>
  <c r="E17" i="42"/>
  <c r="G12" i="41"/>
  <c r="G13" i="41" s="1"/>
  <c r="E12" i="41"/>
  <c r="K12" i="41"/>
  <c r="H17" i="42"/>
  <c r="P17" i="42"/>
  <c r="C74" i="42"/>
  <c r="G18" i="42"/>
  <c r="B31" i="42"/>
  <c r="K17" i="42"/>
  <c r="F15" i="42"/>
  <c r="I15" i="42" s="1"/>
  <c r="B26" i="41"/>
  <c r="B3" i="41"/>
  <c r="C52" i="41" s="1"/>
  <c r="B9" i="41" s="1"/>
  <c r="D47" i="41"/>
  <c r="C69" i="41"/>
  <c r="J15" i="42" l="1"/>
  <c r="K13" i="41"/>
  <c r="F11" i="41"/>
  <c r="H18" i="42"/>
  <c r="E13" i="41"/>
  <c r="P18" i="42"/>
  <c r="E18" i="42"/>
  <c r="K18" i="42"/>
  <c r="G19" i="42"/>
  <c r="F66" i="42"/>
  <c r="F16" i="42"/>
  <c r="I16" i="42" s="1"/>
  <c r="B32" i="42"/>
  <c r="C70" i="41"/>
  <c r="G14" i="41"/>
  <c r="B27" i="41"/>
  <c r="J16" i="42" l="1"/>
  <c r="F12" i="41"/>
  <c r="H12" i="41"/>
  <c r="H13" i="41" s="1"/>
  <c r="H14" i="41" s="1"/>
  <c r="E19" i="42"/>
  <c r="K19" i="42"/>
  <c r="H19" i="42"/>
  <c r="F67" i="42"/>
  <c r="G20" i="42"/>
  <c r="P19" i="42"/>
  <c r="F17" i="42"/>
  <c r="I17" i="42" s="1"/>
  <c r="B33" i="42"/>
  <c r="E14" i="41"/>
  <c r="G15" i="41"/>
  <c r="C71" i="41"/>
  <c r="B28" i="41"/>
  <c r="K14" i="41"/>
  <c r="J17" i="42" l="1"/>
  <c r="I12" i="41"/>
  <c r="J12" i="41" s="1"/>
  <c r="H20" i="42"/>
  <c r="I11" i="41"/>
  <c r="J11" i="41" s="1"/>
  <c r="H15" i="41"/>
  <c r="G21" i="42"/>
  <c r="F68" i="42"/>
  <c r="F18" i="42"/>
  <c r="I18" i="42" s="1"/>
  <c r="E20" i="42"/>
  <c r="P20" i="42"/>
  <c r="K20" i="42"/>
  <c r="B34" i="42"/>
  <c r="B29" i="41"/>
  <c r="C72" i="41"/>
  <c r="G16" i="41"/>
  <c r="K15" i="41"/>
  <c r="E15" i="41"/>
  <c r="F13" i="41" l="1"/>
  <c r="I13" i="41" s="1"/>
  <c r="J13" i="41" s="1"/>
  <c r="J18" i="42"/>
  <c r="E21" i="42"/>
  <c r="E16" i="41"/>
  <c r="H16" i="41"/>
  <c r="K16" i="41"/>
  <c r="H21" i="42"/>
  <c r="P21" i="42"/>
  <c r="B35" i="42"/>
  <c r="K21" i="42"/>
  <c r="F19" i="42"/>
  <c r="I19" i="42" s="1"/>
  <c r="F69" i="42"/>
  <c r="G22" i="42"/>
  <c r="G17" i="41"/>
  <c r="C73" i="41"/>
  <c r="F14" i="41"/>
  <c r="I14" i="41" s="1"/>
  <c r="J14" i="41" s="1"/>
  <c r="B30" i="41"/>
  <c r="G23" i="42" l="1"/>
  <c r="J19" i="42"/>
  <c r="H22" i="42"/>
  <c r="H23" i="42" s="1"/>
  <c r="H17" i="41"/>
  <c r="B36" i="42"/>
  <c r="F70" i="42"/>
  <c r="E22" i="42"/>
  <c r="E23" i="42" s="1"/>
  <c r="F23" i="42" s="1"/>
  <c r="F20" i="42"/>
  <c r="I20" i="42" s="1"/>
  <c r="P22" i="42"/>
  <c r="K22" i="42"/>
  <c r="K23" i="42" s="1"/>
  <c r="C74" i="41"/>
  <c r="G18" i="41"/>
  <c r="F15" i="41"/>
  <c r="I15" i="41" s="1"/>
  <c r="J15" i="41" s="1"/>
  <c r="K17" i="41"/>
  <c r="E17" i="41"/>
  <c r="B31" i="41"/>
  <c r="I23" i="42" l="1"/>
  <c r="J23" i="42" s="1"/>
  <c r="J20" i="42"/>
  <c r="H18" i="41"/>
  <c r="P23" i="42"/>
  <c r="F21" i="42"/>
  <c r="I21" i="42" s="1"/>
  <c r="F71" i="42"/>
  <c r="G24" i="42"/>
  <c r="K18" i="41"/>
  <c r="G19" i="41"/>
  <c r="F66" i="41"/>
  <c r="B32" i="41"/>
  <c r="E18" i="41"/>
  <c r="F16" i="41"/>
  <c r="I16" i="41" s="1"/>
  <c r="J16" i="41" s="1"/>
  <c r="J21" i="42" l="1"/>
  <c r="H24" i="42"/>
  <c r="H19" i="41"/>
  <c r="E19" i="41"/>
  <c r="K19" i="41"/>
  <c r="E24" i="42"/>
  <c r="K24" i="42"/>
  <c r="P24" i="42"/>
  <c r="G25" i="42"/>
  <c r="F72" i="42"/>
  <c r="F22" i="42"/>
  <c r="I22" i="42" s="1"/>
  <c r="F17" i="41"/>
  <c r="I17" i="41" s="1"/>
  <c r="J17" i="41" s="1"/>
  <c r="B33" i="41"/>
  <c r="F67" i="41"/>
  <c r="G20" i="41"/>
  <c r="J22" i="42" l="1"/>
  <c r="K20" i="41"/>
  <c r="E25" i="42"/>
  <c r="K25" i="42"/>
  <c r="H20" i="41"/>
  <c r="H25" i="42"/>
  <c r="F73" i="42"/>
  <c r="G26" i="42"/>
  <c r="P25" i="42"/>
  <c r="B34" i="41"/>
  <c r="E20" i="41"/>
  <c r="G21" i="41"/>
  <c r="F68" i="41"/>
  <c r="F18" i="41"/>
  <c r="I18" i="41" s="1"/>
  <c r="J18" i="41" s="1"/>
  <c r="K26" i="42" l="1"/>
  <c r="H26" i="42"/>
  <c r="H21" i="41"/>
  <c r="P26" i="42"/>
  <c r="D25" i="42"/>
  <c r="F24" i="42"/>
  <c r="I24" i="42" s="1"/>
  <c r="E26" i="42"/>
  <c r="G27" i="42"/>
  <c r="F74" i="42"/>
  <c r="F69" i="41"/>
  <c r="G22" i="41"/>
  <c r="B35" i="41"/>
  <c r="F19" i="41"/>
  <c r="I19" i="41" s="1"/>
  <c r="J19" i="41" s="1"/>
  <c r="K21" i="41"/>
  <c r="E21" i="41"/>
  <c r="J24" i="42" l="1"/>
  <c r="H22" i="41"/>
  <c r="H27" i="42"/>
  <c r="K27" i="42"/>
  <c r="E27" i="42"/>
  <c r="P27" i="42"/>
  <c r="I66" i="42"/>
  <c r="G28" i="42"/>
  <c r="D26" i="42"/>
  <c r="F25" i="42"/>
  <c r="I25" i="42" s="1"/>
  <c r="E22" i="41"/>
  <c r="G23" i="41"/>
  <c r="F70" i="41"/>
  <c r="K22" i="41"/>
  <c r="B36" i="41"/>
  <c r="F20" i="41"/>
  <c r="I20" i="41" s="1"/>
  <c r="J20" i="41" s="1"/>
  <c r="J25" i="42" l="1"/>
  <c r="H28" i="42"/>
  <c r="H23" i="41"/>
  <c r="G29" i="42"/>
  <c r="I67" i="42"/>
  <c r="K28" i="42"/>
  <c r="F26" i="42"/>
  <c r="I26" i="42" s="1"/>
  <c r="D27" i="42"/>
  <c r="P28" i="42"/>
  <c r="E28" i="42"/>
  <c r="F71" i="41"/>
  <c r="G24" i="41"/>
  <c r="E23" i="41"/>
  <c r="F21" i="41"/>
  <c r="I21" i="41" s="1"/>
  <c r="J21" i="41" s="1"/>
  <c r="K23" i="41"/>
  <c r="J26" i="42" l="1"/>
  <c r="E24" i="41"/>
  <c r="H24" i="41"/>
  <c r="H29" i="42"/>
  <c r="K29" i="42"/>
  <c r="P29" i="42"/>
  <c r="I68" i="42"/>
  <c r="G30" i="42"/>
  <c r="F27" i="42"/>
  <c r="I27" i="42" s="1"/>
  <c r="D28" i="42"/>
  <c r="E29" i="42"/>
  <c r="G25" i="41"/>
  <c r="F72" i="41"/>
  <c r="F22" i="41"/>
  <c r="I22" i="41" s="1"/>
  <c r="J22" i="41" s="1"/>
  <c r="K24" i="41"/>
  <c r="J27" i="42" l="1"/>
  <c r="K25" i="41"/>
  <c r="E25" i="41"/>
  <c r="H30" i="42"/>
  <c r="E30" i="42"/>
  <c r="H25" i="41"/>
  <c r="P30" i="42"/>
  <c r="F28" i="42"/>
  <c r="I28" i="42" s="1"/>
  <c r="D29" i="42"/>
  <c r="K30" i="42"/>
  <c r="G31" i="42"/>
  <c r="I69" i="42"/>
  <c r="F73" i="41"/>
  <c r="G26" i="41"/>
  <c r="F23" i="41"/>
  <c r="I23" i="41" s="1"/>
  <c r="J23" i="41" s="1"/>
  <c r="J28" i="42" l="1"/>
  <c r="H26" i="41"/>
  <c r="H31" i="42"/>
  <c r="E31" i="42"/>
  <c r="K31" i="42"/>
  <c r="P31" i="42"/>
  <c r="I70" i="42"/>
  <c r="G32" i="42"/>
  <c r="D30" i="42"/>
  <c r="F29" i="42"/>
  <c r="I29" i="42" s="1"/>
  <c r="E26" i="41"/>
  <c r="G27" i="41"/>
  <c r="F74" i="41"/>
  <c r="K26" i="41"/>
  <c r="F24" i="41"/>
  <c r="I24" i="41" s="1"/>
  <c r="J24" i="41" s="1"/>
  <c r="D25" i="41"/>
  <c r="J29" i="42" l="1"/>
  <c r="E27" i="41"/>
  <c r="H32" i="42"/>
  <c r="K27" i="41"/>
  <c r="H27" i="41"/>
  <c r="D31" i="42"/>
  <c r="F30" i="42"/>
  <c r="I30" i="42" s="1"/>
  <c r="P32" i="42"/>
  <c r="K32" i="42"/>
  <c r="G33" i="42"/>
  <c r="I71" i="42"/>
  <c r="E32" i="42"/>
  <c r="D26" i="41"/>
  <c r="F25" i="41"/>
  <c r="I25" i="41" s="1"/>
  <c r="J25" i="41" s="1"/>
  <c r="I66" i="41"/>
  <c r="G28" i="41"/>
  <c r="J30" i="42" l="1"/>
  <c r="H28" i="41"/>
  <c r="H33" i="42"/>
  <c r="I72" i="42"/>
  <c r="G34" i="42"/>
  <c r="P33" i="42"/>
  <c r="K33" i="42"/>
  <c r="F31" i="42"/>
  <c r="I31" i="42" s="1"/>
  <c r="D32" i="42"/>
  <c r="E33" i="42"/>
  <c r="K28" i="41"/>
  <c r="E28" i="41"/>
  <c r="G29" i="41"/>
  <c r="I67" i="41"/>
  <c r="D27" i="41"/>
  <c r="F26" i="41"/>
  <c r="I26" i="41" s="1"/>
  <c r="J26" i="41" s="1"/>
  <c r="J31" i="42" l="1"/>
  <c r="H34" i="42"/>
  <c r="H29" i="41"/>
  <c r="F32" i="42"/>
  <c r="I32" i="42" s="1"/>
  <c r="D33" i="42"/>
  <c r="P34" i="42"/>
  <c r="K34" i="42"/>
  <c r="G35" i="42"/>
  <c r="I73" i="42"/>
  <c r="E34" i="42"/>
  <c r="I68" i="41"/>
  <c r="G30" i="41"/>
  <c r="F27" i="41"/>
  <c r="I27" i="41" s="1"/>
  <c r="J27" i="41" s="1"/>
  <c r="D28" i="41"/>
  <c r="K29" i="41"/>
  <c r="E29" i="41"/>
  <c r="J32" i="42" l="1"/>
  <c r="H30" i="41"/>
  <c r="H35" i="42"/>
  <c r="D34" i="42"/>
  <c r="F33" i="42"/>
  <c r="I33" i="42" s="1"/>
  <c r="K35" i="42"/>
  <c r="I74" i="42"/>
  <c r="G36" i="42"/>
  <c r="P35" i="42"/>
  <c r="E35" i="42"/>
  <c r="K30" i="41"/>
  <c r="G31" i="41"/>
  <c r="I69" i="41"/>
  <c r="E30" i="41"/>
  <c r="F28" i="41"/>
  <c r="I28" i="41" s="1"/>
  <c r="J28" i="41" s="1"/>
  <c r="D29" i="41"/>
  <c r="J33" i="42" l="1"/>
  <c r="E31" i="41"/>
  <c r="E36" i="42"/>
  <c r="H36" i="42"/>
  <c r="H31" i="41"/>
  <c r="K36" i="42"/>
  <c r="P36" i="42"/>
  <c r="F34" i="42"/>
  <c r="I34" i="42" s="1"/>
  <c r="D35" i="42"/>
  <c r="I70" i="41"/>
  <c r="G32" i="41"/>
  <c r="K31" i="41"/>
  <c r="D30" i="41"/>
  <c r="F29" i="41"/>
  <c r="I29" i="41" s="1"/>
  <c r="J29" i="41" s="1"/>
  <c r="J34" i="42" l="1"/>
  <c r="H32" i="41"/>
  <c r="K32" i="41"/>
  <c r="F35" i="42"/>
  <c r="I35" i="42" s="1"/>
  <c r="D36" i="42"/>
  <c r="F36" i="42" s="1"/>
  <c r="I36" i="42" s="1"/>
  <c r="D31" i="41"/>
  <c r="F30" i="41"/>
  <c r="I30" i="41" s="1"/>
  <c r="J30" i="41" s="1"/>
  <c r="E32" i="41"/>
  <c r="G33" i="41"/>
  <c r="I71" i="41"/>
  <c r="J36" i="42" l="1"/>
  <c r="J35" i="42"/>
  <c r="H33" i="41"/>
  <c r="K33" i="41"/>
  <c r="E33" i="41"/>
  <c r="D32" i="41"/>
  <c r="F31" i="41"/>
  <c r="I31" i="41" s="1"/>
  <c r="J31" i="41" s="1"/>
  <c r="I72" i="41"/>
  <c r="G34" i="41"/>
  <c r="H34" i="41" l="1"/>
  <c r="E34" i="41"/>
  <c r="G35" i="41"/>
  <c r="I73" i="41"/>
  <c r="F32" i="41"/>
  <c r="I32" i="41" s="1"/>
  <c r="J32" i="41" s="1"/>
  <c r="D33" i="41"/>
  <c r="K34" i="41"/>
  <c r="H35" i="41" l="1"/>
  <c r="D34" i="41"/>
  <c r="F33" i="41"/>
  <c r="I33" i="41" s="1"/>
  <c r="J33" i="41" s="1"/>
  <c r="I74" i="41"/>
  <c r="G36" i="41"/>
  <c r="E35" i="41"/>
  <c r="K35" i="41"/>
  <c r="K36" i="41" l="1"/>
  <c r="H36" i="41"/>
  <c r="E36" i="41"/>
  <c r="D35" i="41"/>
  <c r="F34" i="41"/>
  <c r="I34" i="41" s="1"/>
  <c r="J34" i="41" s="1"/>
  <c r="F35" i="41" l="1"/>
  <c r="I35" i="41" s="1"/>
  <c r="J35" i="41" s="1"/>
  <c r="D36" i="41"/>
  <c r="F36" i="41" s="1"/>
  <c r="I36" i="41" s="1"/>
  <c r="J36" i="41" s="1"/>
  <c r="C67" i="40" l="1"/>
  <c r="C68" i="40" s="1"/>
  <c r="C49" i="40"/>
  <c r="D48" i="40"/>
  <c r="C48" i="40"/>
  <c r="D47" i="40"/>
  <c r="C47" i="40"/>
  <c r="D46" i="40"/>
  <c r="C46" i="40"/>
  <c r="C45" i="40"/>
  <c r="B11" i="40"/>
  <c r="B12" i="40" s="1"/>
  <c r="B13" i="40" s="1"/>
  <c r="B14" i="40" s="1"/>
  <c r="B15" i="40" s="1"/>
  <c r="B16" i="40" s="1"/>
  <c r="B17" i="40" s="1"/>
  <c r="B18" i="40" s="1"/>
  <c r="B19" i="40" s="1"/>
  <c r="B20" i="40" s="1"/>
  <c r="B21" i="40" s="1"/>
  <c r="B22" i="40" s="1"/>
  <c r="B23" i="40" s="1"/>
  <c r="B24" i="40" s="1"/>
  <c r="B25" i="40" s="1"/>
  <c r="B3" i="40"/>
  <c r="C52" i="40" s="1"/>
  <c r="B9" i="40" s="1"/>
  <c r="D11" i="40" l="1"/>
  <c r="B26" i="40"/>
  <c r="C69" i="40"/>
  <c r="G12" i="40" l="1"/>
  <c r="G13" i="40" s="1"/>
  <c r="B27" i="40"/>
  <c r="E12" i="40"/>
  <c r="E13" i="40" s="1"/>
  <c r="D12" i="40"/>
  <c r="D13" i="40" s="1"/>
  <c r="K12" i="40"/>
  <c r="K13" i="40" s="1"/>
  <c r="F11" i="40"/>
  <c r="C70" i="40"/>
  <c r="G14" i="40" l="1"/>
  <c r="H12" i="40"/>
  <c r="H13" i="40" s="1"/>
  <c r="H14" i="40" s="1"/>
  <c r="F12" i="40"/>
  <c r="E14" i="40"/>
  <c r="K14" i="40"/>
  <c r="D14" i="40"/>
  <c r="B28" i="40"/>
  <c r="C71" i="40"/>
  <c r="G15" i="40" l="1"/>
  <c r="H15" i="40"/>
  <c r="I11" i="40"/>
  <c r="J11" i="40" s="1"/>
  <c r="I12" i="40"/>
  <c r="J12" i="40" s="1"/>
  <c r="D15" i="40"/>
  <c r="K15" i="40"/>
  <c r="E15" i="40"/>
  <c r="B29" i="40"/>
  <c r="F13" i="40"/>
  <c r="I13" i="40" s="1"/>
  <c r="J13" i="40" s="1"/>
  <c r="C72" i="40"/>
  <c r="F14" i="40"/>
  <c r="G16" i="40" l="1"/>
  <c r="H16" i="40"/>
  <c r="I14" i="40"/>
  <c r="J14" i="40" s="1"/>
  <c r="K16" i="40"/>
  <c r="D16" i="40"/>
  <c r="B30" i="40"/>
  <c r="E16" i="40"/>
  <c r="C73" i="40"/>
  <c r="F15" i="40"/>
  <c r="I15" i="40" s="1"/>
  <c r="J15" i="40" s="1"/>
  <c r="G17" i="40" l="1"/>
  <c r="H17" i="40"/>
  <c r="D17" i="40"/>
  <c r="E17" i="40"/>
  <c r="K17" i="40"/>
  <c r="B31" i="40"/>
  <c r="C74" i="40"/>
  <c r="F16" i="40"/>
  <c r="G18" i="40" l="1"/>
  <c r="H18" i="40"/>
  <c r="I16" i="40"/>
  <c r="J16" i="40" s="1"/>
  <c r="E18" i="40"/>
  <c r="B32" i="40"/>
  <c r="D18" i="40"/>
  <c r="K18" i="40"/>
  <c r="F66" i="40"/>
  <c r="F17" i="40"/>
  <c r="I17" i="40" s="1"/>
  <c r="J17" i="40" s="1"/>
  <c r="G19" i="40" l="1"/>
  <c r="H19" i="40"/>
  <c r="B33" i="40"/>
  <c r="K19" i="40"/>
  <c r="E19" i="40"/>
  <c r="D19" i="40"/>
  <c r="F67" i="40"/>
  <c r="F18" i="40"/>
  <c r="I18" i="40" s="1"/>
  <c r="J18" i="40" s="1"/>
  <c r="G20" i="40" l="1"/>
  <c r="H20" i="40"/>
  <c r="K20" i="40"/>
  <c r="D20" i="40"/>
  <c r="B34" i="40"/>
  <c r="E20" i="40"/>
  <c r="F68" i="40"/>
  <c r="F19" i="40"/>
  <c r="I19" i="40" s="1"/>
  <c r="J19" i="40" s="1"/>
  <c r="G21" i="40" l="1"/>
  <c r="G22" i="40" s="1"/>
  <c r="H21" i="40"/>
  <c r="D21" i="40"/>
  <c r="E21" i="40"/>
  <c r="K21" i="40"/>
  <c r="B35" i="40"/>
  <c r="F69" i="40"/>
  <c r="F20" i="40"/>
  <c r="I20" i="40" s="1"/>
  <c r="J20" i="40" s="1"/>
  <c r="H22" i="40" l="1"/>
  <c r="E22" i="40"/>
  <c r="B36" i="40"/>
  <c r="D22" i="40"/>
  <c r="K22" i="40"/>
  <c r="G23" i="40"/>
  <c r="F70" i="40"/>
  <c r="F21" i="40"/>
  <c r="I21" i="40" s="1"/>
  <c r="J21" i="40" s="1"/>
  <c r="H23" i="40" l="1"/>
  <c r="K23" i="40"/>
  <c r="E23" i="40"/>
  <c r="D23" i="40"/>
  <c r="F71" i="40"/>
  <c r="G24" i="40"/>
  <c r="H24" i="40" l="1"/>
  <c r="D24" i="40"/>
  <c r="E24" i="40"/>
  <c r="K24" i="40"/>
  <c r="G25" i="40"/>
  <c r="F72" i="40"/>
  <c r="H25" i="40" l="1"/>
  <c r="K25" i="40"/>
  <c r="E25" i="40"/>
  <c r="D25" i="40"/>
  <c r="F73" i="40"/>
  <c r="G26" i="40"/>
  <c r="H26" i="40" l="1"/>
  <c r="D26" i="40"/>
  <c r="E26" i="40"/>
  <c r="K26" i="40"/>
  <c r="F22" i="40"/>
  <c r="I22" i="40" s="1"/>
  <c r="J22" i="40" s="1"/>
  <c r="G27" i="40"/>
  <c r="F74" i="40"/>
  <c r="H27" i="40" l="1"/>
  <c r="K27" i="40"/>
  <c r="E27" i="40"/>
  <c r="I66" i="40"/>
  <c r="G28" i="40"/>
  <c r="F23" i="40"/>
  <c r="I23" i="40" s="1"/>
  <c r="J23" i="40" s="1"/>
  <c r="H28" i="40" l="1"/>
  <c r="D28" i="40"/>
  <c r="E28" i="40"/>
  <c r="K28" i="40"/>
  <c r="F24" i="40"/>
  <c r="I24" i="40" s="1"/>
  <c r="J24" i="40" s="1"/>
  <c r="G29" i="40"/>
  <c r="I67" i="40"/>
  <c r="H29" i="40" l="1"/>
  <c r="K29" i="40"/>
  <c r="E29" i="40"/>
  <c r="D29" i="40"/>
  <c r="I68" i="40"/>
  <c r="G30" i="40"/>
  <c r="F25" i="40"/>
  <c r="I25" i="40" s="1"/>
  <c r="J25" i="40" s="1"/>
  <c r="H30" i="40" l="1"/>
  <c r="D30" i="40"/>
  <c r="E30" i="40"/>
  <c r="K30" i="40"/>
  <c r="F26" i="40"/>
  <c r="I26" i="40" s="1"/>
  <c r="J26" i="40" s="1"/>
  <c r="G31" i="40"/>
  <c r="I69" i="40"/>
  <c r="H31" i="40" l="1"/>
  <c r="K31" i="40"/>
  <c r="E31" i="40"/>
  <c r="D31" i="40"/>
  <c r="I70" i="40"/>
  <c r="G32" i="40"/>
  <c r="F27" i="40"/>
  <c r="I27" i="40" s="1"/>
  <c r="J27" i="40" s="1"/>
  <c r="H32" i="40" l="1"/>
  <c r="D32" i="40"/>
  <c r="E32" i="40"/>
  <c r="K32" i="40"/>
  <c r="G33" i="40"/>
  <c r="I71" i="40"/>
  <c r="F28" i="40"/>
  <c r="I28" i="40" s="1"/>
  <c r="J28" i="40" s="1"/>
  <c r="H33" i="40" l="1"/>
  <c r="K33" i="40"/>
  <c r="E33" i="40"/>
  <c r="D33" i="40"/>
  <c r="F29" i="40"/>
  <c r="I29" i="40" s="1"/>
  <c r="J29" i="40" s="1"/>
  <c r="I72" i="40"/>
  <c r="G34" i="40"/>
  <c r="H34" i="40" l="1"/>
  <c r="D34" i="40"/>
  <c r="E34" i="40"/>
  <c r="K34" i="40"/>
  <c r="G35" i="40"/>
  <c r="I73" i="40"/>
  <c r="F30" i="40"/>
  <c r="I30" i="40" s="1"/>
  <c r="J30" i="40" s="1"/>
  <c r="H35" i="40" l="1"/>
  <c r="K35" i="40"/>
  <c r="E35" i="40"/>
  <c r="F34" i="40"/>
  <c r="D35" i="40"/>
  <c r="F31" i="40"/>
  <c r="I31" i="40" s="1"/>
  <c r="J31" i="40" s="1"/>
  <c r="I74" i="40"/>
  <c r="G36" i="40"/>
  <c r="H36" i="40" l="1"/>
  <c r="I34" i="40"/>
  <c r="J34" i="40" s="1"/>
  <c r="E36" i="40"/>
  <c r="K36" i="40"/>
  <c r="F35" i="40"/>
  <c r="D36" i="40"/>
  <c r="F33" i="40"/>
  <c r="I33" i="40" s="1"/>
  <c r="J33" i="40" s="1"/>
  <c r="F32" i="40"/>
  <c r="I32" i="40" s="1"/>
  <c r="J32" i="40" s="1"/>
  <c r="F36" i="40" l="1"/>
  <c r="I36" i="40" s="1"/>
  <c r="J36" i="40" s="1"/>
  <c r="I35" i="40"/>
  <c r="J35" i="40" s="1"/>
  <c r="D9" i="28"/>
  <c r="E9" i="28"/>
  <c r="K343" i="28" l="1"/>
  <c r="K341" i="28"/>
  <c r="D49" i="43"/>
  <c r="D49" i="44"/>
  <c r="D49" i="42"/>
  <c r="D49" i="41"/>
  <c r="D49" i="40"/>
  <c r="K342" i="28"/>
  <c r="C65" i="44" l="1"/>
  <c r="C65" i="43"/>
  <c r="C65" i="42"/>
  <c r="C65" i="41"/>
  <c r="C65" i="40"/>
  <c r="K340" i="28"/>
  <c r="K339" i="28"/>
  <c r="K338" i="28"/>
  <c r="K337" i="28"/>
  <c r="K336" i="28"/>
  <c r="K335" i="28"/>
  <c r="K334" i="28"/>
  <c r="K333" i="28"/>
  <c r="K332" i="28"/>
  <c r="K331" i="28"/>
  <c r="K330" i="28"/>
  <c r="K329" i="28"/>
  <c r="B70" i="25" l="1"/>
  <c r="B44" i="28" l="1"/>
  <c r="K302" i="28" l="1"/>
  <c r="K301" i="28"/>
  <c r="K300" i="28"/>
  <c r="K298" i="28"/>
  <c r="K297" i="28"/>
  <c r="K296" i="28"/>
  <c r="K294" i="28"/>
  <c r="K293" i="28"/>
  <c r="K292" i="28"/>
  <c r="K290" i="28"/>
  <c r="K289" i="28"/>
  <c r="K288" i="28"/>
  <c r="K286" i="28"/>
  <c r="K285" i="28"/>
  <c r="K284" i="28"/>
  <c r="K282" i="28"/>
  <c r="K281" i="28"/>
  <c r="K304" i="28"/>
  <c r="K283" i="28" l="1"/>
  <c r="K287" i="28"/>
  <c r="K291" i="28"/>
  <c r="K295" i="28"/>
  <c r="K299" i="28"/>
  <c r="K303" i="28"/>
  <c r="K328" i="28" l="1"/>
  <c r="K327" i="28"/>
  <c r="K326" i="28"/>
  <c r="K324" i="28"/>
  <c r="K323" i="28"/>
  <c r="K322" i="28"/>
  <c r="K320" i="28"/>
  <c r="K319" i="28"/>
  <c r="K318" i="28"/>
  <c r="K316" i="28"/>
  <c r="K315" i="28"/>
  <c r="K314" i="28"/>
  <c r="K312" i="28"/>
  <c r="K311" i="28"/>
  <c r="K310" i="28"/>
  <c r="K308" i="28"/>
  <c r="K307" i="28"/>
  <c r="K306" i="28"/>
  <c r="K280" i="28"/>
  <c r="K279" i="28"/>
  <c r="K278" i="28"/>
  <c r="K276" i="28"/>
  <c r="K275" i="28"/>
  <c r="K274" i="28"/>
  <c r="K272" i="28"/>
  <c r="K271" i="28"/>
  <c r="K270" i="28"/>
  <c r="K268" i="28"/>
  <c r="K267" i="28"/>
  <c r="K266" i="28"/>
  <c r="K264" i="28"/>
  <c r="K263" i="28"/>
  <c r="K262" i="28"/>
  <c r="K260" i="28"/>
  <c r="K259" i="28"/>
  <c r="K258" i="28"/>
  <c r="K256" i="28"/>
  <c r="K255" i="28"/>
  <c r="K254" i="28"/>
  <c r="K251" i="28"/>
  <c r="K250" i="28"/>
  <c r="K249" i="28"/>
  <c r="K247" i="28"/>
  <c r="K246" i="28"/>
  <c r="K245" i="28"/>
  <c r="K243" i="28"/>
  <c r="K242" i="28"/>
  <c r="K241" i="28"/>
  <c r="K239" i="28"/>
  <c r="K238" i="28"/>
  <c r="K237" i="28"/>
  <c r="K235" i="28"/>
  <c r="K234" i="28"/>
  <c r="K233" i="28"/>
  <c r="K231" i="28"/>
  <c r="K230" i="28"/>
  <c r="K229" i="28"/>
  <c r="K227" i="28"/>
  <c r="K226" i="28"/>
  <c r="K225" i="28"/>
  <c r="K223" i="28"/>
  <c r="K222" i="28"/>
  <c r="K221" i="28"/>
  <c r="K219" i="28"/>
  <c r="K218" i="28"/>
  <c r="K217" i="28"/>
  <c r="K215" i="28"/>
  <c r="K214" i="28"/>
  <c r="K213" i="28"/>
  <c r="K211" i="28"/>
  <c r="K210" i="28"/>
  <c r="K209" i="28"/>
  <c r="K207" i="28"/>
  <c r="K206" i="28"/>
  <c r="K205" i="28"/>
  <c r="K203" i="28"/>
  <c r="K202" i="28"/>
  <c r="K201" i="28"/>
  <c r="K199" i="28"/>
  <c r="K197" i="28"/>
  <c r="K195" i="28"/>
  <c r="K193" i="28"/>
  <c r="K191" i="28"/>
  <c r="K190" i="28"/>
  <c r="K189" i="28"/>
  <c r="K187" i="28"/>
  <c r="K185" i="28"/>
  <c r="K183" i="28"/>
  <c r="K181" i="28"/>
  <c r="K179" i="28"/>
  <c r="K178" i="28"/>
  <c r="K177" i="28"/>
  <c r="K175" i="28"/>
  <c r="K174" i="28"/>
  <c r="K173" i="28"/>
  <c r="K171" i="28"/>
  <c r="K169" i="28"/>
  <c r="K167" i="28"/>
  <c r="K166" i="28"/>
  <c r="K165" i="28"/>
  <c r="K163" i="28"/>
  <c r="K161" i="28"/>
  <c r="K186" i="28" l="1"/>
  <c r="K162" i="28"/>
  <c r="K194" i="28"/>
  <c r="K170" i="28"/>
  <c r="K224" i="28"/>
  <c r="K253" i="28"/>
  <c r="K265" i="28"/>
  <c r="K273" i="28"/>
  <c r="K305" i="28"/>
  <c r="K325" i="28"/>
  <c r="K172" i="28"/>
  <c r="K196" i="28"/>
  <c r="K244" i="28"/>
  <c r="K182" i="28"/>
  <c r="K198" i="28"/>
  <c r="K200" i="28"/>
  <c r="K248" i="28"/>
  <c r="K208" i="28"/>
  <c r="K240" i="28"/>
  <c r="K257" i="28"/>
  <c r="K261" i="28"/>
  <c r="K269" i="28"/>
  <c r="K277" i="28"/>
  <c r="K309" i="28"/>
  <c r="K313" i="28"/>
  <c r="K317" i="28"/>
  <c r="K321" i="28"/>
  <c r="K164" i="28"/>
  <c r="K180" i="28"/>
  <c r="K188" i="28"/>
  <c r="K212" i="28"/>
  <c r="K228" i="28"/>
  <c r="K216" i="28"/>
  <c r="K232" i="28"/>
  <c r="K168" i="28"/>
  <c r="K176" i="28"/>
  <c r="K184" i="28"/>
  <c r="K192" i="28"/>
  <c r="K204" i="28"/>
  <c r="K220" i="28"/>
  <c r="K236" i="28"/>
  <c r="K252" i="28"/>
  <c r="B15" i="28" l="1"/>
  <c r="B16" i="28" l="1"/>
  <c r="B17" i="28" l="1"/>
  <c r="B18" i="28" l="1"/>
  <c r="B19" i="28" l="1"/>
  <c r="B20" i="28" l="1"/>
  <c r="B21" i="28" l="1"/>
  <c r="B3" i="31"/>
  <c r="B22" i="28" l="1"/>
  <c r="B23" i="28" l="1"/>
  <c r="B24" i="28" l="1"/>
  <c r="B25" i="28" l="1"/>
  <c r="B26" i="28" l="1"/>
  <c r="B27" i="28" l="1"/>
  <c r="B28" i="28" l="1"/>
  <c r="B29" i="28" l="1"/>
  <c r="B30" i="28" l="1"/>
  <c r="B31" i="28" l="1"/>
  <c r="B32" i="28" l="1"/>
  <c r="B33" i="28" l="1"/>
  <c r="B34" i="28" l="1"/>
  <c r="B35" i="28" l="1"/>
  <c r="B36" i="28" l="1"/>
  <c r="B37" i="28" l="1"/>
  <c r="B38" i="28" l="1"/>
  <c r="B39" i="28" l="1"/>
  <c r="B40" i="28" l="1"/>
  <c r="K148" i="28" l="1"/>
  <c r="K147" i="28"/>
  <c r="K146" i="28"/>
  <c r="K145" i="28"/>
  <c r="K144" i="28"/>
  <c r="K143" i="28"/>
  <c r="K141" i="28"/>
  <c r="K140" i="28"/>
  <c r="K139" i="28"/>
  <c r="K138" i="28"/>
  <c r="K137" i="28"/>
  <c r="K142" i="28"/>
  <c r="K160" i="28" l="1"/>
  <c r="K159" i="28"/>
  <c r="K158" i="28"/>
  <c r="K157" i="28"/>
  <c r="K156" i="28"/>
  <c r="K155" i="28"/>
  <c r="K154" i="28"/>
  <c r="K153" i="28"/>
  <c r="K152" i="28"/>
  <c r="K151" i="28"/>
  <c r="K150" i="28"/>
  <c r="K149" i="28"/>
  <c r="K136" i="28"/>
  <c r="K135" i="28"/>
  <c r="K134" i="28"/>
  <c r="K132" i="28"/>
  <c r="K131" i="28"/>
  <c r="K130" i="28"/>
  <c r="K129" i="28"/>
  <c r="K128" i="28"/>
  <c r="K127" i="28"/>
  <c r="K126" i="28"/>
  <c r="K125" i="28"/>
  <c r="K124" i="28"/>
  <c r="K122" i="28"/>
  <c r="K121" i="28"/>
  <c r="K120" i="28"/>
  <c r="K118" i="28"/>
  <c r="K117" i="28"/>
  <c r="K116" i="28"/>
  <c r="K115" i="28"/>
  <c r="K114" i="28"/>
  <c r="K113" i="28" l="1"/>
  <c r="K119" i="28"/>
  <c r="K123" i="28"/>
  <c r="K133" i="28"/>
  <c r="K112" i="28" l="1"/>
  <c r="K111" i="28"/>
  <c r="K110" i="28"/>
  <c r="K109" i="28"/>
  <c r="K108" i="28"/>
  <c r="K107" i="28"/>
  <c r="K106" i="28"/>
  <c r="K105" i="28"/>
  <c r="K104" i="28"/>
  <c r="K103" i="28"/>
  <c r="K102" i="28"/>
  <c r="K101" i="28"/>
  <c r="K100" i="28"/>
  <c r="K99" i="28"/>
  <c r="K98" i="28"/>
  <c r="K97" i="28"/>
  <c r="K96" i="28"/>
  <c r="K95" i="28"/>
  <c r="K94" i="28"/>
  <c r="K93" i="28"/>
  <c r="K92" i="28"/>
  <c r="K91" i="28"/>
  <c r="K90" i="28"/>
  <c r="K89" i="28"/>
  <c r="K88" i="28"/>
  <c r="K87" i="28"/>
  <c r="K86" i="28"/>
  <c r="K85" i="28"/>
  <c r="K84" i="28"/>
  <c r="K83" i="28"/>
  <c r="K82" i="28"/>
  <c r="K81" i="28"/>
  <c r="K80" i="28"/>
  <c r="K79" i="28"/>
  <c r="K78" i="28"/>
  <c r="K77" i="28"/>
  <c r="K76" i="28"/>
  <c r="K75" i="28"/>
  <c r="K74" i="28"/>
  <c r="K73" i="28"/>
  <c r="K72" i="28"/>
  <c r="K71" i="28"/>
  <c r="K70" i="28"/>
  <c r="K69" i="28"/>
  <c r="K68" i="28"/>
  <c r="K67" i="28"/>
  <c r="K66" i="28"/>
  <c r="K65" i="28"/>
  <c r="K64" i="28"/>
  <c r="K63" i="28"/>
  <c r="K62" i="28"/>
  <c r="K61" i="28"/>
  <c r="K60" i="28"/>
  <c r="K59" i="28"/>
  <c r="K58" i="28"/>
  <c r="K57" i="28"/>
  <c r="K56" i="28"/>
  <c r="K55" i="28"/>
  <c r="K54" i="28"/>
  <c r="K53" i="28"/>
  <c r="K52" i="28"/>
  <c r="K51" i="28"/>
  <c r="K50" i="28"/>
  <c r="K49" i="28"/>
  <c r="K48" i="28"/>
  <c r="K47" i="28"/>
  <c r="K46" i="28"/>
  <c r="K45" i="28"/>
  <c r="K43" i="28"/>
  <c r="K41" i="28"/>
  <c r="K39" i="28"/>
  <c r="K37" i="28"/>
  <c r="K35" i="28"/>
  <c r="K33" i="28"/>
  <c r="K31" i="28"/>
  <c r="K29" i="28"/>
  <c r="K27" i="28"/>
  <c r="K25" i="28"/>
  <c r="K23" i="28"/>
  <c r="K21" i="28"/>
  <c r="K19" i="28"/>
  <c r="K17" i="28"/>
  <c r="K18" i="28" l="1"/>
  <c r="K20" i="28"/>
  <c r="K22" i="28"/>
  <c r="K24" i="28"/>
  <c r="K26" i="28"/>
  <c r="K28" i="28"/>
  <c r="K30" i="28"/>
  <c r="K32" i="28"/>
  <c r="K34" i="28"/>
  <c r="K36" i="28"/>
  <c r="K38" i="28"/>
  <c r="K40" i="28"/>
  <c r="K42" i="28"/>
  <c r="K44" i="28"/>
  <c r="E14" i="28" l="1"/>
  <c r="E39" i="28"/>
  <c r="D37" i="28"/>
  <c r="E35" i="28"/>
  <c r="E33" i="28"/>
  <c r="E31" i="28"/>
  <c r="D29" i="28"/>
  <c r="E27" i="28"/>
  <c r="E25" i="28"/>
  <c r="E23" i="28"/>
  <c r="D21" i="28"/>
  <c r="E19" i="28"/>
  <c r="E17" i="28"/>
  <c r="E15" i="28"/>
  <c r="D39" i="28"/>
  <c r="E37" i="28"/>
  <c r="D35" i="28"/>
  <c r="D33" i="28"/>
  <c r="D31" i="28"/>
  <c r="E29" i="28"/>
  <c r="D27" i="28"/>
  <c r="D25" i="28"/>
  <c r="D23" i="28"/>
  <c r="E21" i="28"/>
  <c r="D19" i="28"/>
  <c r="D17" i="28"/>
  <c r="D15" i="28"/>
  <c r="E40" i="28"/>
  <c r="E38" i="28"/>
  <c r="E36" i="28"/>
  <c r="E34" i="28"/>
  <c r="E32" i="28"/>
  <c r="E30" i="28"/>
  <c r="E28" i="28"/>
  <c r="E26" i="28"/>
  <c r="E24" i="28"/>
  <c r="E22" i="28"/>
  <c r="D20" i="28"/>
  <c r="E18" i="28"/>
  <c r="E16" i="28"/>
  <c r="D14" i="28"/>
  <c r="D40" i="28"/>
  <c r="D38" i="28"/>
  <c r="D36" i="28"/>
  <c r="D34" i="28"/>
  <c r="D32" i="28"/>
  <c r="D30" i="28"/>
  <c r="D28" i="28"/>
  <c r="D26" i="28"/>
  <c r="D24" i="28"/>
  <c r="D22" i="28"/>
  <c r="E20" i="28"/>
  <c r="D18" i="28"/>
  <c r="D16" i="28"/>
  <c r="J9" i="31" l="1"/>
  <c r="B8" i="31" s="1"/>
  <c r="J8" i="31" l="1"/>
  <c r="I133" i="31" l="1"/>
  <c r="I253" i="31" s="1"/>
  <c r="I25" i="31"/>
  <c r="I14" i="31"/>
  <c r="K9" i="31"/>
  <c r="I134" i="31" l="1"/>
  <c r="I254" i="31" s="1"/>
  <c r="I145" i="31"/>
  <c r="I26" i="31"/>
  <c r="I15" i="31"/>
  <c r="I37" i="31"/>
  <c r="I157" i="31" l="1"/>
  <c r="I49" i="31"/>
  <c r="I146" i="31"/>
  <c r="I38" i="31"/>
  <c r="I135" i="31"/>
  <c r="I255" i="31" s="1"/>
  <c r="I27" i="31"/>
  <c r="I16" i="31"/>
  <c r="I147" i="31" l="1"/>
  <c r="I39" i="31"/>
  <c r="I169" i="31"/>
  <c r="I61" i="31"/>
  <c r="I136" i="31"/>
  <c r="I256" i="31" s="1"/>
  <c r="I17" i="31"/>
  <c r="I28" i="31"/>
  <c r="I158" i="31"/>
  <c r="I50" i="31"/>
  <c r="I170" i="31" l="1"/>
  <c r="I62" i="31"/>
  <c r="I148" i="31"/>
  <c r="I40" i="31"/>
  <c r="I159" i="31"/>
  <c r="I51" i="31"/>
  <c r="I137" i="31"/>
  <c r="I257" i="31" s="1"/>
  <c r="I29" i="31"/>
  <c r="I18" i="31"/>
  <c r="I181" i="31"/>
  <c r="I73" i="31"/>
  <c r="I193" i="31" s="1"/>
  <c r="I138" i="31" l="1"/>
  <c r="I258" i="31" s="1"/>
  <c r="I19" i="31"/>
  <c r="I30" i="31"/>
  <c r="I182" i="31"/>
  <c r="I74" i="31"/>
  <c r="I194" i="31" s="1"/>
  <c r="I85" i="31"/>
  <c r="I205" i="31" s="1"/>
  <c r="I149" i="31"/>
  <c r="I41" i="31"/>
  <c r="I171" i="31"/>
  <c r="I63" i="31"/>
  <c r="I160" i="31"/>
  <c r="I52" i="31"/>
  <c r="I172" i="31" l="1"/>
  <c r="I64" i="31"/>
  <c r="I161" i="31"/>
  <c r="I53" i="31"/>
  <c r="I97" i="31"/>
  <c r="I150" i="31"/>
  <c r="I42" i="31"/>
  <c r="I183" i="31"/>
  <c r="I75" i="31"/>
  <c r="I195" i="31" s="1"/>
  <c r="I86" i="31"/>
  <c r="I206" i="31" s="1"/>
  <c r="I139" i="31"/>
  <c r="I259" i="31" s="1"/>
  <c r="I31" i="31"/>
  <c r="I20" i="31"/>
  <c r="I151" i="31" l="1"/>
  <c r="I43" i="31"/>
  <c r="I87" i="31"/>
  <c r="I207" i="31" s="1"/>
  <c r="I162" i="31"/>
  <c r="I54" i="31"/>
  <c r="I109" i="31"/>
  <c r="I184" i="31"/>
  <c r="I76" i="31"/>
  <c r="I196" i="31" s="1"/>
  <c r="I140" i="31"/>
  <c r="I260" i="31" s="1"/>
  <c r="I21" i="31"/>
  <c r="I32" i="31"/>
  <c r="I98" i="31"/>
  <c r="I173" i="31"/>
  <c r="I65" i="31"/>
  <c r="I152" i="31" l="1"/>
  <c r="I44" i="31"/>
  <c r="I174" i="31"/>
  <c r="I66" i="31"/>
  <c r="I185" i="31"/>
  <c r="I77" i="31"/>
  <c r="I197" i="31" s="1"/>
  <c r="I110" i="31"/>
  <c r="I141" i="31"/>
  <c r="I261" i="31" s="1"/>
  <c r="I33" i="31"/>
  <c r="I22" i="31"/>
  <c r="I88" i="31"/>
  <c r="I208" i="31" s="1"/>
  <c r="I121" i="31"/>
  <c r="I241" i="31" s="1"/>
  <c r="I99" i="31"/>
  <c r="I163" i="31"/>
  <c r="I55" i="31"/>
  <c r="I175" i="31" l="1"/>
  <c r="I67" i="31"/>
  <c r="I100" i="31"/>
  <c r="I153" i="31"/>
  <c r="I45" i="31"/>
  <c r="I122" i="31"/>
  <c r="I242" i="31" s="1"/>
  <c r="I164" i="31"/>
  <c r="I56" i="31"/>
  <c r="I111" i="31"/>
  <c r="I142" i="31"/>
  <c r="I262" i="31" s="1"/>
  <c r="I23" i="31"/>
  <c r="I34" i="31"/>
  <c r="I89" i="31"/>
  <c r="I209" i="31" s="1"/>
  <c r="I186" i="31"/>
  <c r="I78" i="31"/>
  <c r="I198" i="31" s="1"/>
  <c r="I90" i="31" l="1"/>
  <c r="I210" i="31" s="1"/>
  <c r="I143" i="31"/>
  <c r="I263" i="31" s="1"/>
  <c r="I35" i="31"/>
  <c r="I24" i="31"/>
  <c r="I123" i="31"/>
  <c r="I243" i="31" s="1"/>
  <c r="I187" i="31"/>
  <c r="I79" i="31"/>
  <c r="I199" i="31" s="1"/>
  <c r="I101" i="31"/>
  <c r="I154" i="31"/>
  <c r="I46" i="31"/>
  <c r="I176" i="31"/>
  <c r="I68" i="31"/>
  <c r="I165" i="31"/>
  <c r="I57" i="31"/>
  <c r="I112" i="31"/>
  <c r="I177" i="31" l="1"/>
  <c r="I69" i="31"/>
  <c r="I188" i="31"/>
  <c r="I80" i="31"/>
  <c r="I200" i="31" s="1"/>
  <c r="I113" i="31"/>
  <c r="I91" i="31"/>
  <c r="I211" i="31" s="1"/>
  <c r="I155" i="31"/>
  <c r="I47" i="31"/>
  <c r="I124" i="31"/>
  <c r="I244" i="31" s="1"/>
  <c r="I166" i="31"/>
  <c r="I58" i="31"/>
  <c r="I144" i="31"/>
  <c r="I264" i="31" s="1"/>
  <c r="I36" i="31"/>
  <c r="I102" i="31"/>
  <c r="I114" i="31" l="1"/>
  <c r="I103" i="31"/>
  <c r="I189" i="31"/>
  <c r="I81" i="31"/>
  <c r="I201" i="31" s="1"/>
  <c r="I156" i="31"/>
  <c r="I48" i="31"/>
  <c r="I178" i="31"/>
  <c r="I70" i="31"/>
  <c r="I167" i="31"/>
  <c r="I59" i="31"/>
  <c r="I125" i="31"/>
  <c r="I245" i="31" s="1"/>
  <c r="I92" i="31"/>
  <c r="I212" i="31" s="1"/>
  <c r="I104" i="31" l="1"/>
  <c r="I190" i="31"/>
  <c r="I82" i="31"/>
  <c r="I202" i="31" s="1"/>
  <c r="I93" i="31"/>
  <c r="I213" i="31" s="1"/>
  <c r="I179" i="31"/>
  <c r="I71" i="31"/>
  <c r="I168" i="31"/>
  <c r="I60" i="31"/>
  <c r="I115" i="31"/>
  <c r="I126" i="31"/>
  <c r="I246" i="31" s="1"/>
  <c r="I127" i="31" l="1"/>
  <c r="I247" i="31" s="1"/>
  <c r="I191" i="31"/>
  <c r="I83" i="31"/>
  <c r="I203" i="31" s="1"/>
  <c r="I105" i="31"/>
  <c r="I94" i="31"/>
  <c r="I214" i="31" s="1"/>
  <c r="I180" i="31"/>
  <c r="I72" i="31"/>
  <c r="I116" i="31"/>
  <c r="I117" i="31" l="1"/>
  <c r="I95" i="31"/>
  <c r="I215" i="31" s="1"/>
  <c r="I128" i="31"/>
  <c r="I248" i="31" s="1"/>
  <c r="I192" i="31"/>
  <c r="I84" i="31"/>
  <c r="I204" i="31" s="1"/>
  <c r="I106" i="31"/>
  <c r="I118" i="31" l="1"/>
  <c r="I107" i="31"/>
  <c r="I96" i="31"/>
  <c r="I216" i="31" s="1"/>
  <c r="I129" i="31"/>
  <c r="I249" i="31" s="1"/>
  <c r="I119" i="31" l="1"/>
  <c r="I108" i="31"/>
  <c r="I130" i="31"/>
  <c r="I250" i="31" s="1"/>
  <c r="I131" i="31" l="1"/>
  <c r="I251" i="31" s="1"/>
  <c r="I120" i="31"/>
  <c r="I132" i="31" l="1"/>
  <c r="I252" i="31" s="1"/>
  <c r="B73" i="25" l="1"/>
  <c r="K264" i="31" l="1"/>
  <c r="B74" i="25" l="1"/>
  <c r="M16" i="28"/>
  <c r="C9" i="28" l="1"/>
  <c r="C14" i="28" l="1"/>
  <c r="C39" i="28"/>
  <c r="C34" i="28"/>
  <c r="C27" i="28"/>
  <c r="C17" i="28"/>
  <c r="C33" i="28"/>
  <c r="C23" i="28"/>
  <c r="C40" i="28"/>
  <c r="C25" i="28"/>
  <c r="C29" i="28"/>
  <c r="C19" i="28"/>
  <c r="C18" i="28"/>
  <c r="C15" i="28"/>
  <c r="C35" i="28"/>
  <c r="C24" i="28"/>
  <c r="C28" i="28"/>
  <c r="C20" i="28"/>
  <c r="C30" i="28"/>
  <c r="C26" i="28"/>
  <c r="C21" i="28"/>
  <c r="C31" i="28"/>
  <c r="C37" i="28"/>
  <c r="C16" i="28"/>
  <c r="C32" i="28"/>
  <c r="C38" i="28"/>
  <c r="C36" i="28"/>
  <c r="C22" i="28"/>
  <c r="J13" i="31" l="1"/>
  <c r="B13" i="25" s="1"/>
  <c r="B14" i="31"/>
  <c r="L16" i="31"/>
  <c r="L17" i="31" s="1"/>
  <c r="L18" i="31" s="1"/>
  <c r="L19" i="31" s="1"/>
  <c r="L20" i="31" s="1"/>
  <c r="L21" i="31" s="1"/>
  <c r="L22" i="31" s="1"/>
  <c r="L23" i="31" s="1"/>
  <c r="L24" i="31" s="1"/>
  <c r="L25" i="31" s="1"/>
  <c r="L26" i="31" s="1"/>
  <c r="L27" i="31" l="1"/>
  <c r="B15" i="31"/>
  <c r="J14" i="31"/>
  <c r="O13" i="25"/>
  <c r="B14" i="25"/>
  <c r="AO13" i="25" l="1"/>
  <c r="AW13" i="25"/>
  <c r="AQ13" i="25"/>
  <c r="AT13" i="25"/>
  <c r="AU13" i="25"/>
  <c r="AY13" i="25"/>
  <c r="BB13" i="25"/>
  <c r="BC13" i="25"/>
  <c r="AR13" i="25"/>
  <c r="AP13" i="25"/>
  <c r="AX13" i="25"/>
  <c r="B15" i="25"/>
  <c r="O14" i="25"/>
  <c r="AZ13" i="25"/>
  <c r="BD13" i="25"/>
  <c r="BA13" i="25"/>
  <c r="BO13" i="25"/>
  <c r="CJ13" i="25" s="1"/>
  <c r="BR13" i="25"/>
  <c r="BK13" i="25"/>
  <c r="BF13" i="25"/>
  <c r="BW13" i="25"/>
  <c r="BY13" i="25"/>
  <c r="BN13" i="25"/>
  <c r="BQ13" i="25"/>
  <c r="BS13" i="25"/>
  <c r="AL13" i="25"/>
  <c r="BJ13" i="25"/>
  <c r="BV13" i="25"/>
  <c r="BU13" i="25"/>
  <c r="BM13" i="25"/>
  <c r="CW13" i="25"/>
  <c r="CX13" i="25" s="1"/>
  <c r="CY13" i="25" s="1"/>
  <c r="AS13" i="25"/>
  <c r="AV13" i="25"/>
  <c r="AN13" i="25"/>
  <c r="BI13" i="25"/>
  <c r="BG13" i="25"/>
  <c r="BX13" i="25"/>
  <c r="BT13" i="25"/>
  <c r="BH13" i="25"/>
  <c r="BP13" i="25"/>
  <c r="AM13" i="25"/>
  <c r="BL13" i="25"/>
  <c r="J15" i="31"/>
  <c r="B16" i="31"/>
  <c r="L28" i="31"/>
  <c r="CE13" i="25" l="1"/>
  <c r="AQ14" i="25"/>
  <c r="AM14" i="25"/>
  <c r="BD14" i="25"/>
  <c r="AP14" i="25"/>
  <c r="AL14" i="25"/>
  <c r="BA14" i="25"/>
  <c r="AN14" i="25"/>
  <c r="AS14" i="25"/>
  <c r="AX14" i="25"/>
  <c r="AY14" i="25"/>
  <c r="BC14" i="25"/>
  <c r="AT14" i="25"/>
  <c r="AU14" i="25"/>
  <c r="AO14" i="25"/>
  <c r="BB14" i="25"/>
  <c r="CS13" i="25"/>
  <c r="CD13" i="25"/>
  <c r="CG13" i="25"/>
  <c r="B17" i="31"/>
  <c r="J16" i="31"/>
  <c r="CC13" i="25"/>
  <c r="CF13" i="25"/>
  <c r="CL13" i="25"/>
  <c r="CK13" i="25"/>
  <c r="CQ13" i="25"/>
  <c r="BJ14" i="25"/>
  <c r="CE14" i="25" s="1"/>
  <c r="BX14" i="25"/>
  <c r="BQ14" i="25"/>
  <c r="BT14" i="25"/>
  <c r="BG14" i="25"/>
  <c r="AR14" i="25"/>
  <c r="AK14" i="25"/>
  <c r="BU14" i="25"/>
  <c r="BK14" i="25"/>
  <c r="AZ14" i="25"/>
  <c r="BI14" i="25"/>
  <c r="CW14" i="25"/>
  <c r="CX14" i="25" s="1"/>
  <c r="CY14" i="25" s="1"/>
  <c r="BV14" i="25"/>
  <c r="AW14" i="25"/>
  <c r="AV14" i="25"/>
  <c r="BO14" i="25"/>
  <c r="CJ14" i="25" s="1"/>
  <c r="BY14" i="25"/>
  <c r="BM14" i="25"/>
  <c r="BL14" i="25"/>
  <c r="BS14" i="25"/>
  <c r="BH14" i="25"/>
  <c r="BN14" i="25"/>
  <c r="BP14" i="25"/>
  <c r="BF14" i="25"/>
  <c r="BW14" i="25"/>
  <c r="BR14" i="25"/>
  <c r="L29" i="31"/>
  <c r="CH13" i="25"/>
  <c r="CM13" i="25"/>
  <c r="CB13" i="25"/>
  <c r="CT13" i="25"/>
  <c r="O15" i="25"/>
  <c r="B16" i="25"/>
  <c r="CR13" i="25"/>
  <c r="CI13" i="25"/>
  <c r="AK13" i="25"/>
  <c r="CN13" i="25"/>
  <c r="CO13" i="25"/>
  <c r="CP13" i="25"/>
  <c r="CB14" i="25" l="1"/>
  <c r="CM14" i="25"/>
  <c r="CF14" i="25"/>
  <c r="CH14" i="25"/>
  <c r="BA15" i="25"/>
  <c r="AZ15" i="25"/>
  <c r="AQ15" i="25"/>
  <c r="AP15" i="25"/>
  <c r="AM15" i="25"/>
  <c r="AL15" i="25"/>
  <c r="BB15" i="25"/>
  <c r="BC15" i="25"/>
  <c r="AT15" i="25"/>
  <c r="AU15" i="25"/>
  <c r="AY15" i="25"/>
  <c r="AX15" i="25"/>
  <c r="CQ14" i="25"/>
  <c r="CR14" i="25"/>
  <c r="AW15" i="25"/>
  <c r="CI14" i="25"/>
  <c r="CO14" i="25"/>
  <c r="CN14" i="25"/>
  <c r="CP14" i="25"/>
  <c r="CK14" i="25"/>
  <c r="CT14" i="25"/>
  <c r="CC14" i="25"/>
  <c r="CL14" i="25"/>
  <c r="CD14" i="25"/>
  <c r="CS14" i="25"/>
  <c r="CG14" i="25"/>
  <c r="L30" i="31"/>
  <c r="J17" i="31"/>
  <c r="B18" i="31"/>
  <c r="BO15" i="25"/>
  <c r="CJ15" i="25" s="1"/>
  <c r="BS15" i="25"/>
  <c r="BX15" i="25"/>
  <c r="BU15" i="25"/>
  <c r="BY15" i="25"/>
  <c r="BM15" i="25"/>
  <c r="BV15" i="25"/>
  <c r="BP15" i="25"/>
  <c r="BJ15" i="25"/>
  <c r="BW15" i="25"/>
  <c r="BL15" i="25"/>
  <c r="CW15" i="25"/>
  <c r="CX15" i="25" s="1"/>
  <c r="CY15" i="25" s="1"/>
  <c r="BD15" i="25"/>
  <c r="AS15" i="25"/>
  <c r="BN15" i="25"/>
  <c r="BF15" i="25"/>
  <c r="AV15" i="25"/>
  <c r="AR15" i="25"/>
  <c r="AO15" i="25"/>
  <c r="BI15" i="25"/>
  <c r="BR15" i="25"/>
  <c r="AN15" i="25"/>
  <c r="BH15" i="25"/>
  <c r="BQ15" i="25"/>
  <c r="BT15" i="25"/>
  <c r="BG15" i="25"/>
  <c r="BK15" i="25"/>
  <c r="CA13" i="25"/>
  <c r="CU13" i="25" s="1"/>
  <c r="C13" i="25" s="1"/>
  <c r="CA14" i="25"/>
  <c r="O16" i="25"/>
  <c r="B17" i="25"/>
  <c r="CE15" i="25" l="1"/>
  <c r="AM16" i="25"/>
  <c r="BD16" i="25"/>
  <c r="AV16" i="25"/>
  <c r="AL16" i="25"/>
  <c r="AS16" i="25"/>
  <c r="AR16" i="25"/>
  <c r="BA16" i="25"/>
  <c r="AO16" i="25"/>
  <c r="AZ16" i="25"/>
  <c r="AN16" i="25"/>
  <c r="AT16" i="25"/>
  <c r="AU16" i="25"/>
  <c r="AX16" i="25"/>
  <c r="AY16" i="25"/>
  <c r="BC16" i="25"/>
  <c r="CQ15" i="25"/>
  <c r="CO15" i="25"/>
  <c r="CC15" i="25"/>
  <c r="CM15" i="25"/>
  <c r="CB15" i="25"/>
  <c r="CI15" i="25"/>
  <c r="CF15" i="25"/>
  <c r="CS15" i="25"/>
  <c r="CU14" i="25"/>
  <c r="C14" i="25" s="1"/>
  <c r="CN15" i="25"/>
  <c r="AK15" i="25"/>
  <c r="CL15" i="25"/>
  <c r="CH15" i="25"/>
  <c r="CG15" i="25"/>
  <c r="CT15" i="25"/>
  <c r="CD15" i="25"/>
  <c r="CR15" i="25"/>
  <c r="CK15" i="25"/>
  <c r="CP15" i="25"/>
  <c r="B18" i="25"/>
  <c r="O17" i="25"/>
  <c r="BB16" i="25"/>
  <c r="BJ16" i="25"/>
  <c r="BL16" i="25"/>
  <c r="BK16" i="25"/>
  <c r="BQ16" i="25"/>
  <c r="BS16" i="25"/>
  <c r="AQ16" i="25"/>
  <c r="BW16" i="25"/>
  <c r="BH16" i="25"/>
  <c r="AK16" i="25"/>
  <c r="BP16" i="25"/>
  <c r="BR16" i="25"/>
  <c r="BV16" i="25"/>
  <c r="BT16" i="25"/>
  <c r="AW16" i="25"/>
  <c r="AP16" i="25"/>
  <c r="BN16" i="25"/>
  <c r="CW16" i="25"/>
  <c r="CX16" i="25" s="1"/>
  <c r="CY16" i="25" s="1"/>
  <c r="BG16" i="25"/>
  <c r="BF16" i="25"/>
  <c r="BM16" i="25"/>
  <c r="BI16" i="25"/>
  <c r="BY16" i="25"/>
  <c r="BU16" i="25"/>
  <c r="BX16" i="25"/>
  <c r="BO16" i="25"/>
  <c r="CJ16" i="25" s="1"/>
  <c r="CA15" i="25"/>
  <c r="J18" i="31"/>
  <c r="B19" i="31"/>
  <c r="L31" i="31"/>
  <c r="CE16" i="25" l="1"/>
  <c r="AK17" i="25"/>
  <c r="AR17" i="25"/>
  <c r="AN17" i="25"/>
  <c r="AW17" i="25"/>
  <c r="AV17" i="25"/>
  <c r="AL17" i="25"/>
  <c r="AQ17" i="25"/>
  <c r="AU17" i="25"/>
  <c r="AX17" i="25"/>
  <c r="BB17" i="25"/>
  <c r="BC17" i="25"/>
  <c r="CT16" i="25"/>
  <c r="CS16" i="25"/>
  <c r="AT17" i="25"/>
  <c r="CI16" i="25"/>
  <c r="CA16" i="25"/>
  <c r="CP16" i="25"/>
  <c r="CD16" i="25"/>
  <c r="CU15" i="25"/>
  <c r="C15" i="25" s="1"/>
  <c r="CB16" i="25"/>
  <c r="CO16" i="25"/>
  <c r="CR16" i="25"/>
  <c r="CN16" i="25"/>
  <c r="CQ16" i="25"/>
  <c r="CL16" i="25"/>
  <c r="CH16" i="25"/>
  <c r="CM16" i="25"/>
  <c r="CF16" i="25"/>
  <c r="CK16" i="25"/>
  <c r="CC16" i="25"/>
  <c r="CG16" i="25"/>
  <c r="B20" i="31"/>
  <c r="J19" i="31"/>
  <c r="BD17" i="25"/>
  <c r="AZ17" i="25"/>
  <c r="AP17" i="25"/>
  <c r="BN17" i="25"/>
  <c r="BY17" i="25"/>
  <c r="BW17" i="25"/>
  <c r="BU17" i="25"/>
  <c r="CW17" i="25"/>
  <c r="CX17" i="25" s="1"/>
  <c r="CY17" i="25" s="1"/>
  <c r="BV17" i="25"/>
  <c r="BQ17" i="25"/>
  <c r="BX17" i="25"/>
  <c r="AO17" i="25"/>
  <c r="BM17" i="25"/>
  <c r="BR17" i="25"/>
  <c r="BT17" i="25"/>
  <c r="AM17" i="25"/>
  <c r="BJ17" i="25"/>
  <c r="BF17" i="25"/>
  <c r="BL17" i="25"/>
  <c r="AS17" i="25"/>
  <c r="BA17" i="25"/>
  <c r="AY17" i="25"/>
  <c r="BO17" i="25"/>
  <c r="CJ17" i="25" s="1"/>
  <c r="BS17" i="25"/>
  <c r="BH17" i="25"/>
  <c r="BI17" i="25"/>
  <c r="BP17" i="25"/>
  <c r="BG17" i="25"/>
  <c r="BK17" i="25"/>
  <c r="L32" i="31"/>
  <c r="B19" i="25"/>
  <c r="O18" i="25"/>
  <c r="CC17" i="25" l="1"/>
  <c r="CE17" i="25"/>
  <c r="CF17" i="25"/>
  <c r="CD17" i="25"/>
  <c r="BD18" i="25"/>
  <c r="AP18" i="25"/>
  <c r="AZ18" i="25"/>
  <c r="AS18" i="25"/>
  <c r="AR18" i="25"/>
  <c r="AX18" i="25"/>
  <c r="AY18" i="25"/>
  <c r="BC18" i="25"/>
  <c r="AT18" i="25"/>
  <c r="AO18" i="25"/>
  <c r="BB18" i="25"/>
  <c r="CN17" i="25"/>
  <c r="CK17" i="25"/>
  <c r="CT17" i="25"/>
  <c r="CR17" i="25"/>
  <c r="CM17" i="25"/>
  <c r="CA17" i="25"/>
  <c r="CU16" i="25"/>
  <c r="C16" i="25" s="1"/>
  <c r="CI17" i="25"/>
  <c r="CH17" i="25"/>
  <c r="CS17" i="25"/>
  <c r="CP17" i="25"/>
  <c r="CB17" i="25"/>
  <c r="CG17" i="25"/>
  <c r="CL17" i="25"/>
  <c r="CO17" i="25"/>
  <c r="CQ17" i="25"/>
  <c r="O19" i="25"/>
  <c r="B20" i="25"/>
  <c r="BA18" i="25"/>
  <c r="AV18" i="25"/>
  <c r="BJ18" i="25"/>
  <c r="BP18" i="25"/>
  <c r="BV18" i="25"/>
  <c r="BY18" i="25"/>
  <c r="BG18" i="25"/>
  <c r="BT18" i="25"/>
  <c r="AM18" i="25"/>
  <c r="BO18" i="25"/>
  <c r="CJ18" i="25" s="1"/>
  <c r="BQ18" i="25"/>
  <c r="BL18" i="25"/>
  <c r="AL18" i="25"/>
  <c r="AK18" i="25"/>
  <c r="BI18" i="25"/>
  <c r="BF18" i="25"/>
  <c r="AW18" i="25"/>
  <c r="AQ18" i="25"/>
  <c r="BN18" i="25"/>
  <c r="BK18" i="25"/>
  <c r="BM18" i="25"/>
  <c r="BX18" i="25"/>
  <c r="BU18" i="25"/>
  <c r="CW18" i="25"/>
  <c r="CX18" i="25" s="1"/>
  <c r="CY18" i="25" s="1"/>
  <c r="BS18" i="25"/>
  <c r="AN18" i="25"/>
  <c r="AU18" i="25"/>
  <c r="BW18" i="25"/>
  <c r="BH18" i="25"/>
  <c r="BR18" i="25"/>
  <c r="L33" i="31"/>
  <c r="J20" i="31"/>
  <c r="B21" i="31"/>
  <c r="CE18" i="25" l="1"/>
  <c r="CM18" i="25"/>
  <c r="CT18" i="25"/>
  <c r="BA19" i="25"/>
  <c r="AS19" i="25"/>
  <c r="AZ19" i="25"/>
  <c r="AR19" i="25"/>
  <c r="AN19" i="25"/>
  <c r="BD19" i="25"/>
  <c r="AP19" i="25"/>
  <c r="AW19" i="25"/>
  <c r="AV19" i="25"/>
  <c r="AU19" i="25"/>
  <c r="AY19" i="25"/>
  <c r="CA18" i="25"/>
  <c r="CQ18" i="25"/>
  <c r="CP18" i="25"/>
  <c r="CS18" i="25"/>
  <c r="CF18" i="25"/>
  <c r="CL18" i="25"/>
  <c r="CC18" i="25"/>
  <c r="CN18" i="25"/>
  <c r="CO18" i="25"/>
  <c r="CI18" i="25"/>
  <c r="CU17" i="25"/>
  <c r="C17" i="25" s="1"/>
  <c r="CH18" i="25"/>
  <c r="CG18" i="25"/>
  <c r="CR18" i="25"/>
  <c r="CD18" i="25"/>
  <c r="CK18" i="25"/>
  <c r="CB18" i="25"/>
  <c r="B22" i="31"/>
  <c r="J21" i="31"/>
  <c r="B21" i="25"/>
  <c r="O20" i="25"/>
  <c r="L34" i="31"/>
  <c r="AX19" i="25"/>
  <c r="AQ19" i="25"/>
  <c r="BB19" i="25"/>
  <c r="BN19" i="25"/>
  <c r="BF19" i="25"/>
  <c r="BU19" i="25"/>
  <c r="BH19" i="25"/>
  <c r="BR19" i="25"/>
  <c r="BX19" i="25"/>
  <c r="BV19" i="25"/>
  <c r="BG19" i="25"/>
  <c r="BO19" i="25"/>
  <c r="CJ19" i="25" s="1"/>
  <c r="BQ19" i="25"/>
  <c r="BL19" i="25"/>
  <c r="BW19" i="25"/>
  <c r="AO19" i="25"/>
  <c r="AM19" i="25"/>
  <c r="AT19" i="25"/>
  <c r="BI19" i="25"/>
  <c r="BT19" i="25"/>
  <c r="BY19" i="25"/>
  <c r="AL19" i="25"/>
  <c r="AK19" i="25"/>
  <c r="CW19" i="25"/>
  <c r="CX19" i="25" s="1"/>
  <c r="CY19" i="25" s="1"/>
  <c r="BP19" i="25"/>
  <c r="BS19" i="25"/>
  <c r="BC19" i="25"/>
  <c r="BJ19" i="25"/>
  <c r="CE19" i="25" s="1"/>
  <c r="BK19" i="25"/>
  <c r="BM19" i="25"/>
  <c r="CF19" i="25" l="1"/>
  <c r="AQ20" i="25"/>
  <c r="AM20" i="25"/>
  <c r="BD20" i="25"/>
  <c r="AL20" i="25"/>
  <c r="AS20" i="25"/>
  <c r="BA20" i="25"/>
  <c r="AO20" i="25"/>
  <c r="AN20" i="25"/>
  <c r="AT20" i="25"/>
  <c r="AU20" i="25"/>
  <c r="AY20" i="25"/>
  <c r="BC20" i="25"/>
  <c r="BB20" i="25"/>
  <c r="CT19" i="25"/>
  <c r="AR20" i="25"/>
  <c r="CN19" i="25"/>
  <c r="CK19" i="25"/>
  <c r="CR19" i="25"/>
  <c r="CI19" i="25"/>
  <c r="CD19" i="25"/>
  <c r="CH19" i="25"/>
  <c r="CL19" i="25"/>
  <c r="CU18" i="25"/>
  <c r="C18" i="25" s="1"/>
  <c r="CO19" i="25"/>
  <c r="CG19" i="25"/>
  <c r="CB19" i="25"/>
  <c r="CC19" i="25"/>
  <c r="CQ19" i="25"/>
  <c r="CP19" i="25"/>
  <c r="CS19" i="25"/>
  <c r="CA19" i="25"/>
  <c r="CM19" i="25"/>
  <c r="AZ20" i="25"/>
  <c r="AW20" i="25"/>
  <c r="BJ20" i="25"/>
  <c r="BV20" i="25"/>
  <c r="BX20" i="25"/>
  <c r="BT20" i="25"/>
  <c r="BR20" i="25"/>
  <c r="BK20" i="25"/>
  <c r="BG20" i="25"/>
  <c r="AP20" i="25"/>
  <c r="BM20" i="25"/>
  <c r="BL20" i="25"/>
  <c r="AX20" i="25"/>
  <c r="BO20" i="25"/>
  <c r="CJ20" i="25" s="1"/>
  <c r="BU20" i="25"/>
  <c r="BY20" i="25"/>
  <c r="BF20" i="25"/>
  <c r="AV20" i="25"/>
  <c r="BI20" i="25"/>
  <c r="BP20" i="25"/>
  <c r="BS20" i="25"/>
  <c r="BN20" i="25"/>
  <c r="BW20" i="25"/>
  <c r="BQ20" i="25"/>
  <c r="AK20" i="25"/>
  <c r="CW20" i="25"/>
  <c r="CX20" i="25" s="1"/>
  <c r="CY20" i="25" s="1"/>
  <c r="BH20" i="25"/>
  <c r="J22" i="31"/>
  <c r="B23" i="31"/>
  <c r="B22" i="25"/>
  <c r="O21" i="25"/>
  <c r="L35" i="31"/>
  <c r="CE20" i="25" l="1"/>
  <c r="AZ21" i="25"/>
  <c r="AN21" i="25"/>
  <c r="AW21" i="25"/>
  <c r="AM21" i="25"/>
  <c r="AV21" i="25"/>
  <c r="AL21" i="25"/>
  <c r="AQ21" i="25"/>
  <c r="BD21" i="25"/>
  <c r="AT21" i="25"/>
  <c r="AU21" i="25"/>
  <c r="AY21" i="25"/>
  <c r="BC21" i="25"/>
  <c r="CP20" i="25"/>
  <c r="CI20" i="25"/>
  <c r="CM20" i="25"/>
  <c r="AK21" i="25"/>
  <c r="AX21" i="25"/>
  <c r="CN20" i="25"/>
  <c r="CQ20" i="25"/>
  <c r="CC20" i="25"/>
  <c r="CR20" i="25"/>
  <c r="CD20" i="25"/>
  <c r="CK20" i="25"/>
  <c r="CL20" i="25"/>
  <c r="CT20" i="25"/>
  <c r="CG20" i="25"/>
  <c r="CO20" i="25"/>
  <c r="CU19" i="25"/>
  <c r="C19" i="25" s="1"/>
  <c r="CH20" i="25"/>
  <c r="CB20" i="25"/>
  <c r="CS20" i="25"/>
  <c r="CA20" i="25"/>
  <c r="CF20" i="25"/>
  <c r="L36" i="31"/>
  <c r="O22" i="25"/>
  <c r="B23" i="25"/>
  <c r="J23" i="31"/>
  <c r="B24" i="31"/>
  <c r="BA21" i="25"/>
  <c r="BO21" i="25"/>
  <c r="CJ21" i="25" s="1"/>
  <c r="BW21" i="25"/>
  <c r="BH21" i="25"/>
  <c r="BK21" i="25"/>
  <c r="BQ21" i="25"/>
  <c r="CW21" i="25"/>
  <c r="CX21" i="25" s="1"/>
  <c r="CY21" i="25" s="1"/>
  <c r="BY21" i="25"/>
  <c r="BU21" i="25"/>
  <c r="AO21" i="25"/>
  <c r="AP21" i="25"/>
  <c r="BS21" i="25"/>
  <c r="BR21" i="25"/>
  <c r="BB21" i="25"/>
  <c r="BN21" i="25"/>
  <c r="BG21" i="25"/>
  <c r="AS21" i="25"/>
  <c r="AR21" i="25"/>
  <c r="BJ21" i="25"/>
  <c r="BT21" i="25"/>
  <c r="BV21" i="25"/>
  <c r="BI21" i="25"/>
  <c r="BM21" i="25"/>
  <c r="BX21" i="25"/>
  <c r="BL21" i="25"/>
  <c r="BF21" i="25"/>
  <c r="BP21" i="25"/>
  <c r="CE21" i="25" l="1"/>
  <c r="CH21" i="25"/>
  <c r="AW22" i="25"/>
  <c r="AQ22" i="25"/>
  <c r="AM22" i="25"/>
  <c r="BD22" i="25"/>
  <c r="AV22" i="25"/>
  <c r="AP22" i="25"/>
  <c r="AL22" i="25"/>
  <c r="AZ22" i="25"/>
  <c r="AN22" i="25"/>
  <c r="AS22" i="25"/>
  <c r="AK22" i="25"/>
  <c r="AR22" i="25"/>
  <c r="AX22" i="25"/>
  <c r="BB22" i="25"/>
  <c r="BC22" i="25"/>
  <c r="AT22" i="25"/>
  <c r="AU22" i="25"/>
  <c r="CK21" i="25"/>
  <c r="CS21" i="25"/>
  <c r="AY22" i="25"/>
  <c r="CT21" i="25"/>
  <c r="CQ21" i="25"/>
  <c r="CP21" i="25"/>
  <c r="CG21" i="25"/>
  <c r="CA21" i="25"/>
  <c r="CU20" i="25"/>
  <c r="C20" i="25" s="1"/>
  <c r="CD21" i="25"/>
  <c r="CO21" i="25"/>
  <c r="CN21" i="25"/>
  <c r="CI21" i="25"/>
  <c r="CF21" i="25"/>
  <c r="CC21" i="25"/>
  <c r="CR21" i="25"/>
  <c r="CB21" i="25"/>
  <c r="CM21" i="25"/>
  <c r="CL21" i="25"/>
  <c r="B24" i="25"/>
  <c r="O23" i="25"/>
  <c r="BA22" i="25"/>
  <c r="BJ22" i="25"/>
  <c r="BL22" i="25"/>
  <c r="BK22" i="25"/>
  <c r="BV22" i="25"/>
  <c r="BM22" i="25"/>
  <c r="BU22" i="25"/>
  <c r="BF22" i="25"/>
  <c r="BS22" i="25"/>
  <c r="BG22" i="25"/>
  <c r="AO22" i="25"/>
  <c r="CE22" i="25" s="1"/>
  <c r="BI22" i="25"/>
  <c r="BP22" i="25"/>
  <c r="BQ22" i="25"/>
  <c r="CW22" i="25"/>
  <c r="CX22" i="25" s="1"/>
  <c r="CY22" i="25" s="1"/>
  <c r="BO22" i="25"/>
  <c r="CJ22" i="25" s="1"/>
  <c r="BY22" i="25"/>
  <c r="BW22" i="25"/>
  <c r="BH22" i="25"/>
  <c r="BX22" i="25"/>
  <c r="BN22" i="25"/>
  <c r="BT22" i="25"/>
  <c r="BR22" i="25"/>
  <c r="B25" i="31"/>
  <c r="J24" i="31"/>
  <c r="CM22" i="25" l="1"/>
  <c r="AS23" i="25"/>
  <c r="AO23" i="25"/>
  <c r="CE23" i="25" s="1"/>
  <c r="AR23" i="25"/>
  <c r="AN23" i="25"/>
  <c r="AP23" i="25"/>
  <c r="AW23" i="25"/>
  <c r="AL23" i="25"/>
  <c r="BB23" i="25"/>
  <c r="AY23" i="25"/>
  <c r="AX23" i="25"/>
  <c r="CI22" i="25"/>
  <c r="CT22" i="25"/>
  <c r="CQ22" i="25"/>
  <c r="CO22" i="25"/>
  <c r="AM23" i="25"/>
  <c r="CS22" i="25"/>
  <c r="CR22" i="25"/>
  <c r="CU21" i="25"/>
  <c r="C21" i="25" s="1"/>
  <c r="CC22" i="25"/>
  <c r="CP22" i="25"/>
  <c r="CL22" i="25"/>
  <c r="CK22" i="25"/>
  <c r="CB22" i="25"/>
  <c r="CH22" i="25"/>
  <c r="CD22" i="25"/>
  <c r="CN22" i="25"/>
  <c r="CA22" i="25"/>
  <c r="CF22" i="25"/>
  <c r="CG22" i="25"/>
  <c r="BA23" i="25"/>
  <c r="AT23" i="25"/>
  <c r="BJ23" i="25"/>
  <c r="BP23" i="25"/>
  <c r="BX23" i="25"/>
  <c r="BY23" i="25"/>
  <c r="BW23" i="25"/>
  <c r="CW23" i="25"/>
  <c r="CX23" i="25" s="1"/>
  <c r="CY23" i="25" s="1"/>
  <c r="BQ23" i="25"/>
  <c r="BT23" i="25"/>
  <c r="BR23" i="25"/>
  <c r="AK23" i="25"/>
  <c r="AU23" i="25"/>
  <c r="BU23" i="25"/>
  <c r="BS23" i="25"/>
  <c r="BC23" i="25"/>
  <c r="BI23" i="25"/>
  <c r="BV23" i="25"/>
  <c r="BF23" i="25"/>
  <c r="AV23" i="25"/>
  <c r="AQ23" i="25"/>
  <c r="BO23" i="25"/>
  <c r="CJ23" i="25" s="1"/>
  <c r="BN23" i="25"/>
  <c r="BH23" i="25"/>
  <c r="BK23" i="25"/>
  <c r="BG23" i="25"/>
  <c r="BD23" i="25"/>
  <c r="AZ23" i="25"/>
  <c r="BL23" i="25"/>
  <c r="BM23" i="25"/>
  <c r="O24" i="25"/>
  <c r="B25" i="25"/>
  <c r="J25" i="31"/>
  <c r="B26" i="31"/>
  <c r="CF23" i="25" l="1"/>
  <c r="CA23" i="25"/>
  <c r="AW24" i="25"/>
  <c r="AQ24" i="25"/>
  <c r="BD24" i="25"/>
  <c r="AV24" i="25"/>
  <c r="AP24" i="25"/>
  <c r="AS24" i="25"/>
  <c r="AK24" i="25"/>
  <c r="AR24" i="25"/>
  <c r="AO24" i="25"/>
  <c r="AZ24" i="25"/>
  <c r="AN24" i="25"/>
  <c r="AU24" i="25"/>
  <c r="AX24" i="25"/>
  <c r="BB24" i="25"/>
  <c r="AY24" i="25"/>
  <c r="BC24" i="25"/>
  <c r="CB23" i="25"/>
  <c r="CN23" i="25"/>
  <c r="CH23" i="25"/>
  <c r="CQ23" i="25"/>
  <c r="CG23" i="25"/>
  <c r="CM23" i="25"/>
  <c r="CI23" i="25"/>
  <c r="CU22" i="25"/>
  <c r="C22" i="25" s="1"/>
  <c r="CK23" i="25"/>
  <c r="CC23" i="25"/>
  <c r="CD23" i="25"/>
  <c r="CP23" i="25"/>
  <c r="CR23" i="25"/>
  <c r="CO23" i="25"/>
  <c r="CT23" i="25"/>
  <c r="CL23" i="25"/>
  <c r="CS23" i="25"/>
  <c r="O25" i="25"/>
  <c r="B26" i="25"/>
  <c r="B27" i="31"/>
  <c r="J26" i="31"/>
  <c r="BA24" i="25"/>
  <c r="BJ24" i="25"/>
  <c r="BT24" i="25"/>
  <c r="BX24" i="25"/>
  <c r="BV24" i="25"/>
  <c r="BY24" i="25"/>
  <c r="BR24" i="25"/>
  <c r="BO24" i="25"/>
  <c r="CJ24" i="25" s="1"/>
  <c r="BL24" i="25"/>
  <c r="AM24" i="25"/>
  <c r="AL24" i="25"/>
  <c r="BI24" i="25"/>
  <c r="BQ24" i="25"/>
  <c r="BG24" i="25"/>
  <c r="AT24" i="25"/>
  <c r="BN24" i="25"/>
  <c r="BS24" i="25"/>
  <c r="BP24" i="25"/>
  <c r="BF24" i="25"/>
  <c r="BM24" i="25"/>
  <c r="BK24" i="25"/>
  <c r="CW24" i="25"/>
  <c r="CX24" i="25" s="1"/>
  <c r="CY24" i="25" s="1"/>
  <c r="BW24" i="25"/>
  <c r="BU24" i="25"/>
  <c r="BH24" i="25"/>
  <c r="CE24" i="25" l="1"/>
  <c r="CR24" i="25"/>
  <c r="CP24" i="25"/>
  <c r="CI24" i="25"/>
  <c r="BA25" i="25"/>
  <c r="AK25" i="25"/>
  <c r="AZ25" i="25"/>
  <c r="AW25" i="25"/>
  <c r="AM25" i="25"/>
  <c r="AQ25" i="25"/>
  <c r="BD25" i="25"/>
  <c r="AT25" i="25"/>
  <c r="AU25" i="25"/>
  <c r="AX25" i="25"/>
  <c r="BB25" i="25"/>
  <c r="BC25" i="25"/>
  <c r="AV25" i="25"/>
  <c r="AY25" i="25"/>
  <c r="CC24" i="25"/>
  <c r="CG24" i="25"/>
  <c r="CH24" i="25"/>
  <c r="CQ24" i="25"/>
  <c r="CF24" i="25"/>
  <c r="CK24" i="25"/>
  <c r="CB24" i="25"/>
  <c r="CT24" i="25"/>
  <c r="CU23" i="25"/>
  <c r="C23" i="25" s="1"/>
  <c r="CD24" i="25"/>
  <c r="CA24" i="25"/>
  <c r="CS24" i="25"/>
  <c r="CN24" i="25"/>
  <c r="CL24" i="25"/>
  <c r="CM24" i="25"/>
  <c r="CO24" i="25"/>
  <c r="B28" i="31"/>
  <c r="J27" i="31"/>
  <c r="B27" i="25"/>
  <c r="O26" i="25"/>
  <c r="AP25" i="25"/>
  <c r="BI25" i="25"/>
  <c r="BV25" i="25"/>
  <c r="BH25" i="25"/>
  <c r="BQ25" i="25"/>
  <c r="BG25" i="25"/>
  <c r="CW25" i="25"/>
  <c r="CX25" i="25" s="1"/>
  <c r="CY25" i="25" s="1"/>
  <c r="AO25" i="25"/>
  <c r="AN25" i="25"/>
  <c r="BN25" i="25"/>
  <c r="BP25" i="25"/>
  <c r="BM25" i="25"/>
  <c r="BR25" i="25"/>
  <c r="BO25" i="25"/>
  <c r="CJ25" i="25" s="1"/>
  <c r="BF25" i="25"/>
  <c r="AS25" i="25"/>
  <c r="AR25" i="25"/>
  <c r="BJ25" i="25"/>
  <c r="BT25" i="25"/>
  <c r="BX25" i="25"/>
  <c r="BL25" i="25"/>
  <c r="BU25" i="25"/>
  <c r="AL25" i="25"/>
  <c r="BY25" i="25"/>
  <c r="BK25" i="25"/>
  <c r="BW25" i="25"/>
  <c r="BS25" i="25"/>
  <c r="CE25" i="25" l="1"/>
  <c r="CN25" i="25"/>
  <c r="AW26" i="25"/>
  <c r="AQ26" i="25"/>
  <c r="AM26" i="25"/>
  <c r="AV26" i="25"/>
  <c r="AP26" i="25"/>
  <c r="AL26" i="25"/>
  <c r="AO26" i="25"/>
  <c r="AN26" i="25"/>
  <c r="AK26" i="25"/>
  <c r="AX26" i="25"/>
  <c r="BB26" i="25"/>
  <c r="BC26" i="25"/>
  <c r="AU26" i="25"/>
  <c r="CT25" i="25"/>
  <c r="CF25" i="25"/>
  <c r="CR25" i="25"/>
  <c r="CO25" i="25"/>
  <c r="CP25" i="25"/>
  <c r="CH25" i="25"/>
  <c r="CC25" i="25"/>
  <c r="CK25" i="25"/>
  <c r="CQ25" i="25"/>
  <c r="CG25" i="25"/>
  <c r="CI25" i="25"/>
  <c r="CB25" i="25"/>
  <c r="CD25" i="25"/>
  <c r="CU24" i="25"/>
  <c r="C24" i="25" s="1"/>
  <c r="CS25" i="25"/>
  <c r="CA25" i="25"/>
  <c r="CM25" i="25"/>
  <c r="CL25" i="25"/>
  <c r="AT26" i="25"/>
  <c r="AS26" i="25"/>
  <c r="BJ26" i="25"/>
  <c r="BH26" i="25"/>
  <c r="BR26" i="25"/>
  <c r="BT26" i="25"/>
  <c r="BM26" i="25"/>
  <c r="BO26" i="25"/>
  <c r="CJ26" i="25" s="1"/>
  <c r="BY26" i="25"/>
  <c r="BS26" i="25"/>
  <c r="BL26" i="25"/>
  <c r="BG26" i="25"/>
  <c r="BN26" i="25"/>
  <c r="BQ26" i="25"/>
  <c r="BU26" i="25"/>
  <c r="CW26" i="25"/>
  <c r="CX26" i="25" s="1"/>
  <c r="CY26" i="25" s="1"/>
  <c r="AZ26" i="25"/>
  <c r="BD26" i="25"/>
  <c r="BK26" i="25"/>
  <c r="BV26" i="25"/>
  <c r="AR26" i="25"/>
  <c r="BP26" i="25"/>
  <c r="BF26" i="25"/>
  <c r="BA26" i="25"/>
  <c r="AY26" i="25"/>
  <c r="BI26" i="25"/>
  <c r="BW26" i="25"/>
  <c r="BX26" i="25"/>
  <c r="J28" i="31"/>
  <c r="B29" i="31"/>
  <c r="O27" i="25"/>
  <c r="B28" i="25"/>
  <c r="CE26" i="25" l="1"/>
  <c r="AS27" i="25"/>
  <c r="AO27" i="25"/>
  <c r="AK27" i="25"/>
  <c r="AR27" i="25"/>
  <c r="AN27" i="25"/>
  <c r="AQ27" i="25"/>
  <c r="AW27" i="25"/>
  <c r="AM27" i="25"/>
  <c r="BB27" i="25"/>
  <c r="BC27" i="25"/>
  <c r="AU27" i="25"/>
  <c r="AX27" i="25"/>
  <c r="AY27" i="25"/>
  <c r="CA26" i="25"/>
  <c r="CL26" i="25"/>
  <c r="CM26" i="25"/>
  <c r="CR26" i="25"/>
  <c r="CK26" i="25"/>
  <c r="BD27" i="25"/>
  <c r="CI26" i="25"/>
  <c r="CD26" i="25"/>
  <c r="CS26" i="25"/>
  <c r="CP26" i="25"/>
  <c r="CQ26" i="25"/>
  <c r="CB26" i="25"/>
  <c r="CC26" i="25"/>
  <c r="CF26" i="25"/>
  <c r="CG26" i="25"/>
  <c r="CH26" i="25"/>
  <c r="CU25" i="25"/>
  <c r="C25" i="25" s="1"/>
  <c r="CN26" i="25"/>
  <c r="CO26" i="25"/>
  <c r="CT26" i="25"/>
  <c r="BA27" i="25"/>
  <c r="AV27" i="25"/>
  <c r="AZ27" i="25"/>
  <c r="BO27" i="25"/>
  <c r="CJ27" i="25" s="1"/>
  <c r="BY27" i="25"/>
  <c r="BR27" i="25"/>
  <c r="BS27" i="25"/>
  <c r="BU27" i="25"/>
  <c r="CW27" i="25"/>
  <c r="CX27" i="25" s="1"/>
  <c r="CY27" i="25" s="1"/>
  <c r="BJ27" i="25"/>
  <c r="BL27" i="25"/>
  <c r="BK27" i="25"/>
  <c r="BV27" i="25"/>
  <c r="AL27" i="25"/>
  <c r="BF27" i="25"/>
  <c r="BW27" i="25"/>
  <c r="BH27" i="25"/>
  <c r="AP27" i="25"/>
  <c r="AT27" i="25"/>
  <c r="BT27" i="25"/>
  <c r="BN27" i="25"/>
  <c r="BP27" i="25"/>
  <c r="BG27" i="25"/>
  <c r="BQ27" i="25"/>
  <c r="BI27" i="25"/>
  <c r="BX27" i="25"/>
  <c r="BM27" i="25"/>
  <c r="B29" i="25"/>
  <c r="O28" i="25"/>
  <c r="B30" i="31"/>
  <c r="J29" i="31"/>
  <c r="CE27" i="25" l="1"/>
  <c r="CL27" i="25"/>
  <c r="AQ28" i="25"/>
  <c r="AV28" i="25"/>
  <c r="AP28" i="25"/>
  <c r="AO28" i="25"/>
  <c r="AN28" i="25"/>
  <c r="AT28" i="25"/>
  <c r="BC28" i="25"/>
  <c r="BB28" i="25"/>
  <c r="CI27" i="25"/>
  <c r="CN27" i="25"/>
  <c r="CK27" i="25"/>
  <c r="CD27" i="25"/>
  <c r="CP27" i="25"/>
  <c r="AW28" i="25"/>
  <c r="AS28" i="25"/>
  <c r="AR28" i="25"/>
  <c r="CS27" i="25"/>
  <c r="CB27" i="25"/>
  <c r="CQ27" i="25"/>
  <c r="CM27" i="25"/>
  <c r="CO27" i="25"/>
  <c r="CH27" i="25"/>
  <c r="CU26" i="25"/>
  <c r="C26" i="25" s="1"/>
  <c r="CG27" i="25"/>
  <c r="CC27" i="25"/>
  <c r="CR27" i="25"/>
  <c r="CA27" i="25"/>
  <c r="CT27" i="25"/>
  <c r="CF27" i="25"/>
  <c r="B30" i="25"/>
  <c r="O29" i="25"/>
  <c r="BA28" i="25"/>
  <c r="AL28" i="25"/>
  <c r="AU28" i="25"/>
  <c r="BN28" i="25"/>
  <c r="BX28" i="25"/>
  <c r="BH28" i="25"/>
  <c r="BL28" i="25"/>
  <c r="BU28" i="25"/>
  <c r="BS28" i="25"/>
  <c r="BV28" i="25"/>
  <c r="BW28" i="25"/>
  <c r="BJ28" i="25"/>
  <c r="BI28" i="25"/>
  <c r="BG28" i="25"/>
  <c r="BF28" i="25"/>
  <c r="AZ28" i="25"/>
  <c r="BO28" i="25"/>
  <c r="CJ28" i="25" s="1"/>
  <c r="BR28" i="25"/>
  <c r="BP28" i="25"/>
  <c r="AM28" i="25"/>
  <c r="AX28" i="25"/>
  <c r="AY28" i="25"/>
  <c r="BK28" i="25"/>
  <c r="BM28" i="25"/>
  <c r="BQ28" i="25"/>
  <c r="CW28" i="25"/>
  <c r="CX28" i="25" s="1"/>
  <c r="CY28" i="25" s="1"/>
  <c r="BT28" i="25"/>
  <c r="BY28" i="25"/>
  <c r="B31" i="31"/>
  <c r="J30" i="31"/>
  <c r="CE28" i="25" l="1"/>
  <c r="BA29" i="25"/>
  <c r="AS29" i="25"/>
  <c r="AO29" i="25"/>
  <c r="AW29" i="25"/>
  <c r="AM29" i="25"/>
  <c r="AQ29" i="25"/>
  <c r="AL29" i="25"/>
  <c r="AV29" i="25"/>
  <c r="AP29" i="25"/>
  <c r="AT29" i="25"/>
  <c r="AX29" i="25"/>
  <c r="AY29" i="25"/>
  <c r="BB29" i="25"/>
  <c r="CF28" i="25"/>
  <c r="CB28" i="25"/>
  <c r="BC29" i="25"/>
  <c r="CK28" i="25"/>
  <c r="CM28" i="25"/>
  <c r="CO28" i="25"/>
  <c r="CH28" i="25"/>
  <c r="CQ28" i="25"/>
  <c r="CU27" i="25"/>
  <c r="C27" i="25" s="1"/>
  <c r="CC28" i="25"/>
  <c r="CL28" i="25"/>
  <c r="CD28" i="25"/>
  <c r="CN28" i="25"/>
  <c r="CS28" i="25"/>
  <c r="BD28" i="25"/>
  <c r="CT28" i="25" s="1"/>
  <c r="A76" i="25"/>
  <c r="CP28" i="25"/>
  <c r="CI28" i="25"/>
  <c r="AK28" i="25"/>
  <c r="CA28" i="25" s="1"/>
  <c r="A77" i="25"/>
  <c r="CR28" i="25"/>
  <c r="CG28" i="25"/>
  <c r="B32" i="31"/>
  <c r="J31" i="31"/>
  <c r="AR29" i="25"/>
  <c r="AZ29" i="25"/>
  <c r="BN29" i="25"/>
  <c r="BS29" i="25"/>
  <c r="BG29" i="25"/>
  <c r="BF29" i="25"/>
  <c r="BP29" i="25"/>
  <c r="BO29" i="25"/>
  <c r="CJ29" i="25" s="1"/>
  <c r="BW29" i="25"/>
  <c r="BQ29" i="25"/>
  <c r="CW29" i="25"/>
  <c r="CX29" i="25" s="1"/>
  <c r="CY29" i="25" s="1"/>
  <c r="AU29" i="25"/>
  <c r="BR29" i="25"/>
  <c r="BX29" i="25"/>
  <c r="BD29" i="25"/>
  <c r="AN29" i="25"/>
  <c r="BJ29" i="25"/>
  <c r="BL29" i="25"/>
  <c r="BY29" i="25"/>
  <c r="BH29" i="25"/>
  <c r="BK29" i="25"/>
  <c r="BV29" i="25"/>
  <c r="BU29" i="25"/>
  <c r="AK29" i="25"/>
  <c r="BI29" i="25"/>
  <c r="BT29" i="25"/>
  <c r="BM29" i="25"/>
  <c r="O30" i="25"/>
  <c r="B31" i="25"/>
  <c r="CE29" i="25" l="1"/>
  <c r="AQ30" i="25"/>
  <c r="AM30" i="25"/>
  <c r="BA30" i="25"/>
  <c r="BD30" i="25"/>
  <c r="AP30" i="25"/>
  <c r="AL30" i="25"/>
  <c r="AN30" i="25"/>
  <c r="AZ30" i="25"/>
  <c r="AR30" i="25"/>
  <c r="AX30" i="25"/>
  <c r="AY30" i="25"/>
  <c r="BB30" i="25"/>
  <c r="BC30" i="25"/>
  <c r="AT30" i="25"/>
  <c r="AU30" i="25"/>
  <c r="CB29" i="25"/>
  <c r="AK30" i="25"/>
  <c r="CL29" i="25"/>
  <c r="CO29" i="25"/>
  <c r="CQ29" i="25"/>
  <c r="CT29" i="25"/>
  <c r="CS29" i="25"/>
  <c r="CP29" i="25"/>
  <c r="CH29" i="25"/>
  <c r="CD29" i="25"/>
  <c r="CC29" i="25"/>
  <c r="CF29" i="25"/>
  <c r="CU28" i="25"/>
  <c r="C28" i="25" s="1"/>
  <c r="CR29" i="25"/>
  <c r="CN29" i="25"/>
  <c r="CK29" i="25"/>
  <c r="CI29" i="25"/>
  <c r="CG29" i="25"/>
  <c r="CM29" i="25"/>
  <c r="CA29" i="25"/>
  <c r="O31" i="25"/>
  <c r="B32" i="25"/>
  <c r="AW30" i="25"/>
  <c r="BN30" i="25"/>
  <c r="BQ30" i="25"/>
  <c r="BK30" i="25"/>
  <c r="CW30" i="25"/>
  <c r="CX30" i="25" s="1"/>
  <c r="CY30" i="25" s="1"/>
  <c r="BR30" i="25"/>
  <c r="BL30" i="25"/>
  <c r="BV30" i="25"/>
  <c r="BM30" i="25"/>
  <c r="BF30" i="25"/>
  <c r="BG30" i="25"/>
  <c r="BP30" i="25"/>
  <c r="AS30" i="25"/>
  <c r="BO30" i="25"/>
  <c r="CJ30" i="25" s="1"/>
  <c r="BH30" i="25"/>
  <c r="AO30" i="25"/>
  <c r="BI30" i="25"/>
  <c r="BU30" i="25"/>
  <c r="BY30" i="25"/>
  <c r="BS30" i="25"/>
  <c r="AV30" i="25"/>
  <c r="BJ30" i="25"/>
  <c r="BW30" i="25"/>
  <c r="BT30" i="25"/>
  <c r="BX30" i="25"/>
  <c r="J32" i="31"/>
  <c r="B33" i="31"/>
  <c r="CE30" i="25" l="1"/>
  <c r="AO31" i="25"/>
  <c r="AQ31" i="25"/>
  <c r="AZ31" i="25"/>
  <c r="AW31" i="25"/>
  <c r="AM31" i="25"/>
  <c r="AP31" i="25"/>
  <c r="BD31" i="25"/>
  <c r="AV31" i="25"/>
  <c r="BB31" i="25"/>
  <c r="AT31" i="25"/>
  <c r="AY31" i="25"/>
  <c r="AX31" i="25"/>
  <c r="AK31" i="25"/>
  <c r="AN31" i="25"/>
  <c r="AU31" i="25"/>
  <c r="CP30" i="25"/>
  <c r="CO30" i="25"/>
  <c r="CR30" i="25"/>
  <c r="CM30" i="25"/>
  <c r="CC30" i="25"/>
  <c r="CS30" i="25"/>
  <c r="CQ30" i="25"/>
  <c r="CT30" i="25"/>
  <c r="CK30" i="25"/>
  <c r="CN30" i="25"/>
  <c r="CA30" i="25"/>
  <c r="CH30" i="25"/>
  <c r="CD30" i="25"/>
  <c r="CF30" i="25"/>
  <c r="CG30" i="25"/>
  <c r="CL30" i="25"/>
  <c r="CB30" i="25"/>
  <c r="CI30" i="25"/>
  <c r="CU29" i="25"/>
  <c r="C29" i="25" s="1"/>
  <c r="B33" i="25"/>
  <c r="O33" i="25" s="1"/>
  <c r="O32" i="25"/>
  <c r="B34" i="31"/>
  <c r="J33" i="31"/>
  <c r="BA31" i="25"/>
  <c r="AL31" i="25"/>
  <c r="BO31" i="25"/>
  <c r="CJ31" i="25" s="1"/>
  <c r="BP31" i="25"/>
  <c r="BS31" i="25"/>
  <c r="BQ31" i="25"/>
  <c r="BR31" i="25"/>
  <c r="BH31" i="25"/>
  <c r="BL31" i="25"/>
  <c r="BU31" i="25"/>
  <c r="CW31" i="25"/>
  <c r="CX31" i="25" s="1"/>
  <c r="CY31" i="25" s="1"/>
  <c r="BF31" i="25"/>
  <c r="BC31" i="25"/>
  <c r="BN31" i="25"/>
  <c r="BV31" i="25"/>
  <c r="BT31" i="25"/>
  <c r="BX31" i="25"/>
  <c r="CS31" i="25" s="1"/>
  <c r="AS31" i="25"/>
  <c r="AR31" i="25"/>
  <c r="BI31" i="25"/>
  <c r="BM31" i="25"/>
  <c r="BK31" i="25"/>
  <c r="BJ31" i="25"/>
  <c r="BY31" i="25"/>
  <c r="BG31" i="25"/>
  <c r="BW31" i="25"/>
  <c r="CE31" i="25" l="1"/>
  <c r="BA33" i="25"/>
  <c r="AS33" i="25"/>
  <c r="AO33" i="25"/>
  <c r="AK33" i="25"/>
  <c r="AW33" i="25"/>
  <c r="AM33" i="25"/>
  <c r="AZ33" i="25"/>
  <c r="AQ33" i="25"/>
  <c r="AL33" i="25"/>
  <c r="BB33" i="25"/>
  <c r="AU33" i="25"/>
  <c r="AT33" i="25"/>
  <c r="AX33" i="25"/>
  <c r="AY33" i="25"/>
  <c r="AW32" i="25"/>
  <c r="AQ32" i="25"/>
  <c r="AM32" i="25"/>
  <c r="BD32" i="25"/>
  <c r="AV32" i="25"/>
  <c r="AP32" i="25"/>
  <c r="AL32" i="25"/>
  <c r="AR32" i="25"/>
  <c r="AN32" i="25"/>
  <c r="AZ32" i="25"/>
  <c r="AT32" i="25"/>
  <c r="AU32" i="25"/>
  <c r="AY32" i="25"/>
  <c r="BC32" i="25"/>
  <c r="CB31" i="25"/>
  <c r="BA32" i="25"/>
  <c r="CD31" i="25"/>
  <c r="CT31" i="25"/>
  <c r="CN31" i="25"/>
  <c r="CH31" i="25"/>
  <c r="CQ31" i="25"/>
  <c r="CP31" i="25"/>
  <c r="CR31" i="25"/>
  <c r="CO31" i="25"/>
  <c r="CC31" i="25"/>
  <c r="CK31" i="25"/>
  <c r="CA31" i="25"/>
  <c r="CM31" i="25"/>
  <c r="CI31" i="25"/>
  <c r="CL31" i="25"/>
  <c r="CF31" i="25"/>
  <c r="CG31" i="25"/>
  <c r="CU30" i="25"/>
  <c r="C30" i="25" s="1"/>
  <c r="B35" i="31"/>
  <c r="J34" i="31"/>
  <c r="BI32" i="25"/>
  <c r="BX32" i="25"/>
  <c r="CW32" i="25"/>
  <c r="CX32" i="25" s="1"/>
  <c r="CY32" i="25" s="1"/>
  <c r="BM32" i="25"/>
  <c r="BV32" i="25"/>
  <c r="BH32" i="25"/>
  <c r="AX32" i="25"/>
  <c r="BJ32" i="25"/>
  <c r="BP32" i="25"/>
  <c r="BY32" i="25"/>
  <c r="BU32" i="25"/>
  <c r="AS32" i="25"/>
  <c r="BO32" i="25"/>
  <c r="CJ32" i="25" s="1"/>
  <c r="BR32" i="25"/>
  <c r="BW32" i="25"/>
  <c r="BQ32" i="25"/>
  <c r="BL32" i="25"/>
  <c r="AO32" i="25"/>
  <c r="CE32" i="25" s="1"/>
  <c r="BK32" i="25"/>
  <c r="BF32" i="25"/>
  <c r="AK32" i="25"/>
  <c r="BB32" i="25"/>
  <c r="BN32" i="25"/>
  <c r="BG32" i="25"/>
  <c r="BT32" i="25"/>
  <c r="BS32" i="25"/>
  <c r="AR33" i="25"/>
  <c r="BI33" i="25"/>
  <c r="BQ33" i="25"/>
  <c r="BR33" i="25"/>
  <c r="BX33" i="25"/>
  <c r="BT33" i="25"/>
  <c r="AV33" i="25"/>
  <c r="BC33" i="25"/>
  <c r="BN33" i="25"/>
  <c r="CW33" i="25"/>
  <c r="CX33" i="25" s="1"/>
  <c r="CY33" i="25" s="1"/>
  <c r="BL33" i="25"/>
  <c r="AP33" i="25"/>
  <c r="BO33" i="25"/>
  <c r="CJ33" i="25" s="1"/>
  <c r="BY33" i="25"/>
  <c r="BW33" i="25"/>
  <c r="BH33" i="25"/>
  <c r="AN33" i="25"/>
  <c r="BJ33" i="25"/>
  <c r="BG33" i="25"/>
  <c r="BM33" i="25"/>
  <c r="BP33" i="25"/>
  <c r="BS33" i="25"/>
  <c r="BF33" i="25"/>
  <c r="BK33" i="25"/>
  <c r="BV33" i="25"/>
  <c r="BU33" i="25"/>
  <c r="CN32" i="25" l="1"/>
  <c r="CF32" i="25"/>
  <c r="CA32" i="25"/>
  <c r="CL32" i="25"/>
  <c r="CO32" i="25"/>
  <c r="CT32" i="25"/>
  <c r="CQ32" i="25"/>
  <c r="CF33" i="25"/>
  <c r="CK33" i="25"/>
  <c r="CM32" i="25"/>
  <c r="CB33" i="25"/>
  <c r="CI32" i="25"/>
  <c r="CA33" i="25"/>
  <c r="CH33" i="25"/>
  <c r="CQ33" i="25"/>
  <c r="CB32" i="25"/>
  <c r="CL33" i="25"/>
  <c r="CU31" i="25"/>
  <c r="C31" i="25" s="1"/>
  <c r="CC33" i="25"/>
  <c r="CI33" i="25"/>
  <c r="CO33" i="25"/>
  <c r="CD33" i="25"/>
  <c r="CR32" i="25"/>
  <c r="CP32" i="25"/>
  <c r="CK32" i="25"/>
  <c r="CC32" i="25"/>
  <c r="CS32" i="25"/>
  <c r="CP33" i="25"/>
  <c r="BD33" i="25"/>
  <c r="CT33" i="25" s="1"/>
  <c r="A78" i="25"/>
  <c r="CR33" i="25"/>
  <c r="CS33" i="25"/>
  <c r="CD32" i="25"/>
  <c r="CN33" i="25"/>
  <c r="CG33" i="25"/>
  <c r="CM33" i="25"/>
  <c r="CG32" i="25"/>
  <c r="CH32" i="25"/>
  <c r="J35" i="31"/>
  <c r="B36" i="31"/>
  <c r="CU33" i="25" l="1"/>
  <c r="C33" i="25" s="1"/>
  <c r="CU32" i="25"/>
  <c r="C32" i="25" s="1"/>
  <c r="B37" i="31"/>
  <c r="J36" i="31"/>
  <c r="B38" i="31" l="1"/>
  <c r="J37" i="31"/>
  <c r="B39" i="31" l="1"/>
  <c r="J38" i="31"/>
  <c r="J39" i="31" l="1"/>
  <c r="B40" i="31"/>
  <c r="B41" i="31" l="1"/>
  <c r="J40" i="31"/>
  <c r="J41" i="31" l="1"/>
  <c r="B42" i="31"/>
  <c r="J42" i="31" l="1"/>
  <c r="B43" i="31"/>
  <c r="B44" i="31" l="1"/>
  <c r="J43" i="31"/>
  <c r="J44" i="31" l="1"/>
  <c r="B45" i="31"/>
  <c r="B46" i="31" l="1"/>
  <c r="J45" i="31"/>
  <c r="J46" i="31" l="1"/>
  <c r="B47" i="31"/>
  <c r="J47" i="31" l="1"/>
  <c r="B48" i="31"/>
  <c r="J48" i="31" l="1"/>
  <c r="B49" i="31"/>
  <c r="B50" i="31" l="1"/>
  <c r="J49" i="31"/>
  <c r="B51" i="31" l="1"/>
  <c r="J50" i="31"/>
  <c r="J51" i="31" l="1"/>
  <c r="B52" i="31"/>
  <c r="J52" i="31" l="1"/>
  <c r="B53" i="31"/>
  <c r="B54" i="31" l="1"/>
  <c r="J53" i="31"/>
  <c r="J54" i="31" l="1"/>
  <c r="B55" i="31"/>
  <c r="J55" i="31" l="1"/>
  <c r="B56" i="31"/>
  <c r="B57" i="31" l="1"/>
  <c r="J56" i="31"/>
  <c r="J57" i="31" l="1"/>
  <c r="B58" i="31"/>
  <c r="J58" i="31" l="1"/>
  <c r="B59" i="31"/>
  <c r="J59" i="31" l="1"/>
  <c r="B60" i="31"/>
  <c r="J60" i="31" l="1"/>
  <c r="B61" i="31"/>
  <c r="J61" i="31" l="1"/>
  <c r="B62" i="31"/>
  <c r="J62" i="31" l="1"/>
  <c r="B63" i="31"/>
  <c r="J63" i="31" l="1"/>
  <c r="B64" i="31"/>
  <c r="J64" i="31" l="1"/>
  <c r="B65" i="31"/>
  <c r="J65" i="31" l="1"/>
  <c r="B66" i="31"/>
  <c r="J66" i="31" l="1"/>
  <c r="B67" i="31"/>
  <c r="J67" i="31" l="1"/>
  <c r="B68" i="31"/>
  <c r="J68" i="31" l="1"/>
  <c r="B69" i="31"/>
  <c r="J69" i="31" l="1"/>
  <c r="B70" i="31"/>
  <c r="J70" i="31" l="1"/>
  <c r="B71" i="31"/>
  <c r="J71" i="31" l="1"/>
  <c r="B72" i="31"/>
  <c r="J72" i="31" l="1"/>
  <c r="B73" i="31"/>
  <c r="J73" i="31" l="1"/>
  <c r="B74" i="31"/>
  <c r="B75" i="31" l="1"/>
  <c r="J74" i="31"/>
  <c r="J75" i="31" l="1"/>
  <c r="B76" i="31"/>
  <c r="J76" i="31" l="1"/>
  <c r="B77" i="31"/>
  <c r="J77" i="31" l="1"/>
  <c r="B78" i="31"/>
  <c r="J78" i="31" l="1"/>
  <c r="B79" i="31"/>
  <c r="J79" i="31" l="1"/>
  <c r="B80" i="31"/>
  <c r="J80" i="31" l="1"/>
  <c r="B81" i="31"/>
  <c r="J81" i="31" l="1"/>
  <c r="B82" i="31"/>
  <c r="J82" i="31" l="1"/>
  <c r="B83" i="31"/>
  <c r="J83" i="31" l="1"/>
  <c r="B84" i="31"/>
  <c r="J84" i="31" l="1"/>
  <c r="B85" i="31"/>
  <c r="J85" i="31" l="1"/>
  <c r="B86" i="31"/>
  <c r="J86" i="31" l="1"/>
  <c r="B87" i="31"/>
  <c r="J87" i="31" l="1"/>
  <c r="B88" i="31"/>
  <c r="J88" i="31" l="1"/>
  <c r="B89" i="31"/>
  <c r="J89" i="31" l="1"/>
  <c r="B90" i="31"/>
  <c r="J90" i="31" l="1"/>
  <c r="B91" i="31"/>
  <c r="J91" i="31" l="1"/>
  <c r="B92" i="31"/>
  <c r="J92" i="31" l="1"/>
  <c r="B93" i="31"/>
  <c r="B94" i="31" l="1"/>
  <c r="J93" i="31"/>
  <c r="J94" i="31" l="1"/>
  <c r="B95" i="31"/>
  <c r="J95" i="31" l="1"/>
  <c r="B96" i="31"/>
  <c r="J96" i="31" l="1"/>
  <c r="B97" i="31"/>
  <c r="J97" i="31" l="1"/>
  <c r="B98" i="31"/>
  <c r="J98" i="31" l="1"/>
  <c r="B99" i="31"/>
  <c r="J99" i="31" l="1"/>
  <c r="B100" i="31"/>
  <c r="J100" i="31" l="1"/>
  <c r="B101" i="31"/>
  <c r="J101" i="31" l="1"/>
  <c r="B102" i="31"/>
  <c r="J102" i="31" l="1"/>
  <c r="B103" i="31"/>
  <c r="J103" i="31" l="1"/>
  <c r="B104" i="31"/>
  <c r="J104" i="31" l="1"/>
  <c r="B105" i="31"/>
  <c r="J105" i="31" l="1"/>
  <c r="B106" i="31"/>
  <c r="J106" i="31" l="1"/>
  <c r="B107" i="31"/>
  <c r="J107" i="31" l="1"/>
  <c r="B108" i="31"/>
  <c r="J108" i="31" l="1"/>
  <c r="B109" i="31"/>
  <c r="J109" i="31" l="1"/>
  <c r="B110" i="31"/>
  <c r="J110" i="31" l="1"/>
  <c r="B111" i="31"/>
  <c r="J111" i="31" l="1"/>
  <c r="B112" i="31"/>
  <c r="J112" i="31" l="1"/>
  <c r="B113" i="31"/>
  <c r="J113" i="31" l="1"/>
  <c r="B114" i="31"/>
  <c r="B115" i="31" l="1"/>
  <c r="J114" i="31"/>
  <c r="J115" i="31" l="1"/>
  <c r="B116" i="31"/>
  <c r="J116" i="31" l="1"/>
  <c r="B117" i="31"/>
  <c r="J117" i="31" l="1"/>
  <c r="B118" i="31"/>
  <c r="J118" i="31" l="1"/>
  <c r="B119" i="31"/>
  <c r="J119" i="31" l="1"/>
  <c r="B120" i="31"/>
  <c r="J120" i="31" l="1"/>
  <c r="B121" i="31"/>
  <c r="J121" i="31" l="1"/>
  <c r="B122" i="31"/>
  <c r="J122" i="31" l="1"/>
  <c r="B123" i="31"/>
  <c r="J123" i="31" l="1"/>
  <c r="B124" i="31"/>
  <c r="J124" i="31" l="1"/>
  <c r="B125" i="31"/>
  <c r="J125" i="31" l="1"/>
  <c r="B126" i="31"/>
  <c r="B127" i="31" l="1"/>
  <c r="J126" i="31"/>
  <c r="J127" i="31" l="1"/>
  <c r="B128" i="31"/>
  <c r="B129" i="31" l="1"/>
  <c r="J128" i="31"/>
  <c r="J129" i="31" l="1"/>
  <c r="B130" i="31"/>
  <c r="B131" i="31" l="1"/>
  <c r="J130" i="31"/>
  <c r="J131" i="31" l="1"/>
  <c r="B132" i="31"/>
  <c r="J132" i="31" l="1"/>
  <c r="B133" i="31"/>
  <c r="J133" i="31" l="1"/>
  <c r="B134" i="31"/>
  <c r="B135" i="31" l="1"/>
  <c r="J134" i="31"/>
  <c r="J135" i="31" l="1"/>
  <c r="B136" i="31"/>
  <c r="J136" i="31" l="1"/>
  <c r="B137" i="31"/>
  <c r="J137" i="31" l="1"/>
  <c r="B138" i="31"/>
  <c r="J138" i="31" l="1"/>
  <c r="B139" i="31"/>
  <c r="J139" i="31" l="1"/>
  <c r="B140" i="31"/>
  <c r="J140" i="31" l="1"/>
  <c r="B141" i="31"/>
  <c r="J141" i="31" l="1"/>
  <c r="B142" i="31"/>
  <c r="J142" i="31" l="1"/>
  <c r="B143" i="31"/>
  <c r="J143" i="31" l="1"/>
  <c r="B144" i="31"/>
  <c r="J144" i="31" l="1"/>
  <c r="B145" i="31"/>
  <c r="B146" i="31" l="1"/>
  <c r="J145" i="31"/>
  <c r="J146" i="31" l="1"/>
  <c r="B147" i="31"/>
  <c r="J147" i="31" l="1"/>
  <c r="B148" i="31"/>
  <c r="B149" i="31" l="1"/>
  <c r="J148" i="31"/>
  <c r="B150" i="31" l="1"/>
  <c r="J149" i="31"/>
  <c r="J150" i="31" l="1"/>
  <c r="B151" i="31"/>
  <c r="J151" i="31" l="1"/>
  <c r="B152" i="31"/>
  <c r="J152" i="31" l="1"/>
  <c r="B153" i="31"/>
  <c r="J153" i="31" l="1"/>
  <c r="B154" i="31"/>
  <c r="J154" i="31" l="1"/>
  <c r="B155" i="31"/>
  <c r="J155" i="31" l="1"/>
  <c r="B156" i="31"/>
  <c r="J156" i="31" l="1"/>
  <c r="B157" i="31"/>
  <c r="J157" i="31" l="1"/>
  <c r="B158" i="31"/>
  <c r="J158" i="31" l="1"/>
  <c r="B159" i="31"/>
  <c r="J159" i="31" l="1"/>
  <c r="B160" i="31"/>
  <c r="J160" i="31" l="1"/>
  <c r="B161" i="31"/>
  <c r="B162" i="31" l="1"/>
  <c r="J161" i="31"/>
  <c r="J162" i="31" l="1"/>
  <c r="B163" i="31"/>
  <c r="B164" i="31" l="1"/>
  <c r="J163" i="31"/>
  <c r="J164" i="31" l="1"/>
  <c r="B165" i="31"/>
  <c r="J165" i="31" l="1"/>
  <c r="B166" i="31"/>
  <c r="J166" i="31" l="1"/>
  <c r="B167" i="31"/>
  <c r="B168" i="31" l="1"/>
  <c r="J167" i="31"/>
  <c r="J168" i="31" l="1"/>
  <c r="B169" i="31"/>
  <c r="J169" i="31" l="1"/>
  <c r="B170" i="31"/>
  <c r="B171" i="31" l="1"/>
  <c r="J170" i="31"/>
  <c r="J171" i="31" l="1"/>
  <c r="B172" i="31"/>
  <c r="B173" i="31" l="1"/>
  <c r="J172" i="31"/>
  <c r="J173" i="31" l="1"/>
  <c r="B174" i="31"/>
  <c r="J174" i="31" l="1"/>
  <c r="B175" i="31"/>
  <c r="J175" i="31" l="1"/>
  <c r="B176" i="31"/>
  <c r="J176" i="31" l="1"/>
  <c r="B177" i="31"/>
  <c r="J177" i="31" l="1"/>
  <c r="B178" i="31"/>
  <c r="J178" i="31" l="1"/>
  <c r="B179" i="31"/>
  <c r="J179" i="31" l="1"/>
  <c r="B180" i="31"/>
  <c r="J180" i="31" l="1"/>
  <c r="B181" i="31"/>
  <c r="J181" i="31" l="1"/>
  <c r="B182" i="31"/>
  <c r="J182" i="31" l="1"/>
  <c r="B183" i="31"/>
  <c r="B184" i="31" l="1"/>
  <c r="J183" i="31"/>
  <c r="J184" i="31" l="1"/>
  <c r="B185" i="31"/>
  <c r="B186" i="31" l="1"/>
  <c r="J185" i="31"/>
  <c r="J186" i="31" l="1"/>
  <c r="B187" i="31"/>
  <c r="J187" i="31" l="1"/>
  <c r="B188" i="31"/>
  <c r="B189" i="31" l="1"/>
  <c r="J188" i="31"/>
  <c r="J189" i="31" l="1"/>
  <c r="B190" i="31"/>
  <c r="J190" i="31" l="1"/>
  <c r="B191" i="31"/>
  <c r="B192" i="31" l="1"/>
  <c r="J191" i="31"/>
  <c r="B193" i="31" l="1"/>
  <c r="J192" i="31"/>
  <c r="J193" i="31" l="1"/>
  <c r="B194" i="31"/>
  <c r="J194" i="31" l="1"/>
  <c r="B195" i="31"/>
  <c r="B196" i="31" l="1"/>
  <c r="J195" i="31"/>
  <c r="B197" i="31" l="1"/>
  <c r="J196" i="31"/>
  <c r="J197" i="31" l="1"/>
  <c r="B198" i="31"/>
  <c r="J198" i="31" l="1"/>
  <c r="B199" i="31"/>
  <c r="B200" i="31" l="1"/>
  <c r="J199" i="31"/>
  <c r="J200" i="31" l="1"/>
  <c r="B201" i="31"/>
  <c r="J201" i="31" l="1"/>
  <c r="B202" i="31"/>
  <c r="J202" i="31" l="1"/>
  <c r="B203" i="31"/>
  <c r="B204" i="31" l="1"/>
  <c r="J203" i="31"/>
  <c r="J204" i="31" l="1"/>
  <c r="B205" i="31"/>
  <c r="J205" i="31" l="1"/>
  <c r="B206" i="31"/>
  <c r="J206" i="31" l="1"/>
  <c r="B207" i="31"/>
  <c r="B208" i="31" l="1"/>
  <c r="J207" i="31"/>
  <c r="B209" i="31" l="1"/>
  <c r="J208" i="31"/>
  <c r="J209" i="31" l="1"/>
  <c r="B210" i="31"/>
  <c r="B211" i="31" l="1"/>
  <c r="J210" i="31"/>
  <c r="B212" i="31" l="1"/>
  <c r="J211" i="31"/>
  <c r="J212" i="31" l="1"/>
  <c r="B213" i="31"/>
  <c r="J213" i="31" l="1"/>
  <c r="B214" i="31"/>
  <c r="J214" i="31" l="1"/>
  <c r="B215" i="31"/>
  <c r="B216" i="31" l="1"/>
  <c r="J215" i="31"/>
  <c r="J216" i="31" l="1"/>
  <c r="J229" i="31" l="1"/>
  <c r="J230" i="31" l="1"/>
  <c r="J231" i="31" l="1"/>
  <c r="J232" i="31" l="1"/>
  <c r="J233" i="31" l="1"/>
  <c r="J234" i="31" l="1"/>
  <c r="J235" i="31" l="1"/>
  <c r="J236" i="31" l="1"/>
  <c r="J237" i="31" l="1"/>
  <c r="J238" i="31" l="1"/>
  <c r="J239" i="31" l="1"/>
  <c r="J240" i="31" l="1"/>
  <c r="B241" i="31" l="1"/>
  <c r="J241" i="31" l="1"/>
  <c r="B242" i="31"/>
  <c r="B243" i="31" l="1"/>
  <c r="J242" i="31"/>
  <c r="B244" i="31" l="1"/>
  <c r="J243" i="31"/>
  <c r="J244" i="31" l="1"/>
  <c r="B245" i="31"/>
  <c r="J245" i="31" l="1"/>
  <c r="B246" i="31"/>
  <c r="B247" i="31" l="1"/>
  <c r="J246" i="31"/>
  <c r="B248" i="31" l="1"/>
  <c r="J247" i="31"/>
  <c r="J248" i="31" l="1"/>
  <c r="B249" i="31"/>
  <c r="J249" i="31" l="1"/>
  <c r="B250" i="31"/>
  <c r="J250" i="31" l="1"/>
  <c r="B251" i="31"/>
  <c r="J251" i="31" l="1"/>
  <c r="B252" i="31"/>
  <c r="J252" i="31" l="1"/>
  <c r="B253" i="31"/>
  <c r="B254" i="31" l="1"/>
  <c r="J253" i="31"/>
  <c r="B266" i="31"/>
  <c r="B255" i="31" l="1"/>
  <c r="J254" i="31"/>
  <c r="J255" i="31" l="1"/>
  <c r="B256" i="31"/>
  <c r="J256" i="31" l="1"/>
  <c r="B257" i="31"/>
  <c r="B258" i="31" l="1"/>
  <c r="J257" i="31"/>
  <c r="B259" i="31" l="1"/>
  <c r="J258" i="31"/>
  <c r="J259" i="31" l="1"/>
  <c r="B260" i="31"/>
  <c r="J260" i="31" l="1"/>
  <c r="B261" i="31"/>
  <c r="B262" i="31" l="1"/>
  <c r="J261" i="31"/>
  <c r="B263" i="31" l="1"/>
  <c r="J262" i="31"/>
  <c r="J263" i="31" l="1"/>
  <c r="K81" i="31" l="1"/>
  <c r="D81" i="31"/>
  <c r="D99" i="31"/>
  <c r="K99" i="31"/>
  <c r="K123" i="31"/>
  <c r="D123" i="31"/>
  <c r="K18" i="31"/>
  <c r="D18" i="31"/>
  <c r="K32" i="31"/>
  <c r="D32" i="31"/>
  <c r="K51" i="31"/>
  <c r="D51" i="31"/>
  <c r="O20" i="31"/>
  <c r="D61" i="31"/>
  <c r="K61" i="31"/>
  <c r="K76" i="31"/>
  <c r="D76" i="31"/>
  <c r="D95" i="31"/>
  <c r="K95" i="31"/>
  <c r="K106" i="31"/>
  <c r="D106" i="31"/>
  <c r="D16" i="31"/>
  <c r="K16" i="31"/>
  <c r="D34" i="31"/>
  <c r="K34" i="31"/>
  <c r="D46" i="31"/>
  <c r="K46" i="31"/>
  <c r="K57" i="31"/>
  <c r="D57" i="31"/>
  <c r="K74" i="31"/>
  <c r="D74" i="31"/>
  <c r="D86" i="31"/>
  <c r="K86" i="31"/>
  <c r="O23" i="31"/>
  <c r="K97" i="31"/>
  <c r="D97" i="31"/>
  <c r="D120" i="31"/>
  <c r="K120" i="31"/>
  <c r="D19" i="31"/>
  <c r="K19" i="31"/>
  <c r="D31" i="31"/>
  <c r="K31" i="31"/>
  <c r="D45" i="31"/>
  <c r="K45" i="31"/>
  <c r="D67" i="31"/>
  <c r="K67" i="31"/>
  <c r="K82" i="31"/>
  <c r="D82" i="31"/>
  <c r="D98" i="31"/>
  <c r="K98" i="31"/>
  <c r="D124" i="31"/>
  <c r="K124" i="31"/>
  <c r="K126" i="31"/>
  <c r="D126" i="31"/>
  <c r="D116" i="31"/>
  <c r="K116" i="31"/>
  <c r="D131" i="31"/>
  <c r="K131" i="31"/>
  <c r="D22" i="31"/>
  <c r="K22" i="31"/>
  <c r="K69" i="31"/>
  <c r="D69" i="31"/>
  <c r="D40" i="31"/>
  <c r="K40" i="31"/>
  <c r="D72" i="31"/>
  <c r="K72" i="31"/>
  <c r="D102" i="31"/>
  <c r="K102" i="31"/>
  <c r="D129" i="31"/>
  <c r="K129" i="31"/>
  <c r="D21" i="31"/>
  <c r="K21" i="31"/>
  <c r="K38" i="31"/>
  <c r="D38" i="31"/>
  <c r="D55" i="31"/>
  <c r="K55" i="31"/>
  <c r="K64" i="31"/>
  <c r="D64" i="31"/>
  <c r="D80" i="31"/>
  <c r="K80" i="31"/>
  <c r="D113" i="31"/>
  <c r="K113" i="31"/>
  <c r="K20" i="31"/>
  <c r="D20" i="31"/>
  <c r="K37" i="31"/>
  <c r="O18" i="31"/>
  <c r="D37" i="31"/>
  <c r="K48" i="31"/>
  <c r="D48" i="31"/>
  <c r="D79" i="31"/>
  <c r="K79" i="31"/>
  <c r="K90" i="31"/>
  <c r="D90" i="31"/>
  <c r="K101" i="31"/>
  <c r="D101" i="31"/>
  <c r="K125" i="31"/>
  <c r="D125" i="31"/>
  <c r="K23" i="31"/>
  <c r="D23" i="31"/>
  <c r="D35" i="31"/>
  <c r="K35" i="31"/>
  <c r="K52" i="31"/>
  <c r="D52" i="31"/>
  <c r="K70" i="31"/>
  <c r="D70" i="31"/>
  <c r="D84" i="31"/>
  <c r="K84" i="31"/>
  <c r="D109" i="31"/>
  <c r="O24" i="31"/>
  <c r="K109" i="31"/>
  <c r="K111" i="31"/>
  <c r="D111" i="31"/>
  <c r="K130" i="31"/>
  <c r="D130" i="31"/>
  <c r="K105" i="31"/>
  <c r="D105" i="31"/>
  <c r="K119" i="31"/>
  <c r="D119" i="31"/>
  <c r="K54" i="31"/>
  <c r="D54" i="31"/>
  <c r="K24" i="31"/>
  <c r="D24" i="31"/>
  <c r="K59" i="31"/>
  <c r="D59" i="31"/>
  <c r="K14" i="31"/>
  <c r="D14" i="31"/>
  <c r="K28" i="31"/>
  <c r="D28" i="31"/>
  <c r="K44" i="31"/>
  <c r="D44" i="31"/>
  <c r="K62" i="31"/>
  <c r="D62" i="31"/>
  <c r="D73" i="31"/>
  <c r="O21" i="31"/>
  <c r="K73" i="31"/>
  <c r="D88" i="31"/>
  <c r="K88" i="31"/>
  <c r="K108" i="31"/>
  <c r="D108" i="31"/>
  <c r="K43" i="31"/>
  <c r="D43" i="31"/>
  <c r="D58" i="31"/>
  <c r="K58" i="31"/>
  <c r="K71" i="31"/>
  <c r="D71" i="31"/>
  <c r="D87" i="31"/>
  <c r="K87" i="31"/>
  <c r="K100" i="31"/>
  <c r="D100" i="31"/>
  <c r="D27" i="31"/>
  <c r="K27" i="31"/>
  <c r="D39" i="31"/>
  <c r="K39" i="31"/>
  <c r="D49" i="31"/>
  <c r="K49" i="31"/>
  <c r="O19" i="31"/>
  <c r="D65" i="31"/>
  <c r="K65" i="31"/>
  <c r="K83" i="31"/>
  <c r="D83" i="31"/>
  <c r="K94" i="31"/>
  <c r="D94" i="31"/>
  <c r="K104" i="31"/>
  <c r="D104" i="31"/>
  <c r="K25" i="31"/>
  <c r="O17" i="31"/>
  <c r="D12" i="31"/>
  <c r="G12" i="31" s="1"/>
  <c r="D25" i="31"/>
  <c r="K36" i="31"/>
  <c r="D36" i="31"/>
  <c r="K56" i="31"/>
  <c r="D56" i="31"/>
  <c r="K75" i="31"/>
  <c r="D75" i="31"/>
  <c r="K89" i="31"/>
  <c r="D89" i="31"/>
  <c r="K117" i="31"/>
  <c r="D117" i="31"/>
  <c r="K114" i="31"/>
  <c r="D114" i="31"/>
  <c r="D132" i="31"/>
  <c r="K132" i="31"/>
  <c r="D107" i="31"/>
  <c r="K107" i="31"/>
  <c r="K122" i="31"/>
  <c r="D122" i="31"/>
  <c r="K17" i="31"/>
  <c r="D17" i="31"/>
  <c r="D33" i="31"/>
  <c r="K33" i="31"/>
  <c r="D50" i="31"/>
  <c r="K50" i="31"/>
  <c r="D66" i="31"/>
  <c r="K66" i="31"/>
  <c r="D77" i="31"/>
  <c r="K77" i="31"/>
  <c r="D93" i="31"/>
  <c r="K93" i="31"/>
  <c r="D115" i="31"/>
  <c r="K115" i="31"/>
  <c r="D13" i="31"/>
  <c r="K13" i="31"/>
  <c r="O16" i="31"/>
  <c r="D29" i="31"/>
  <c r="K29" i="31"/>
  <c r="D47" i="31"/>
  <c r="K47" i="31"/>
  <c r="D60" i="31"/>
  <c r="K60" i="31"/>
  <c r="K91" i="31"/>
  <c r="D91" i="31"/>
  <c r="K103" i="31"/>
  <c r="D103" i="31"/>
  <c r="D128" i="31"/>
  <c r="K128" i="31"/>
  <c r="D30" i="31"/>
  <c r="K30" i="31"/>
  <c r="D42" i="31"/>
  <c r="K42" i="31"/>
  <c r="D53" i="31"/>
  <c r="K53" i="31"/>
  <c r="D68" i="31"/>
  <c r="K68" i="31"/>
  <c r="K85" i="31"/>
  <c r="O22" i="31"/>
  <c r="D85" i="31"/>
  <c r="D96" i="31"/>
  <c r="K96" i="31"/>
  <c r="K110" i="31"/>
  <c r="D110" i="31"/>
  <c r="D15" i="31"/>
  <c r="K15" i="31"/>
  <c r="K26" i="31"/>
  <c r="D26" i="31"/>
  <c r="D41" i="31"/>
  <c r="K41" i="31"/>
  <c r="K63" i="31"/>
  <c r="D63" i="31"/>
  <c r="K78" i="31"/>
  <c r="D78" i="31"/>
  <c r="D92" i="31"/>
  <c r="K92" i="31"/>
  <c r="D121" i="31"/>
  <c r="K121" i="31"/>
  <c r="O25" i="31"/>
  <c r="K118" i="31"/>
  <c r="D118" i="31"/>
  <c r="K112" i="31"/>
  <c r="D112" i="31"/>
  <c r="K127" i="31"/>
  <c r="D127" i="31"/>
  <c r="N22" i="31" l="1"/>
  <c r="N16" i="31"/>
  <c r="N23" i="31"/>
  <c r="N25" i="31"/>
  <c r="N24" i="31"/>
  <c r="K5" i="31"/>
  <c r="K4" i="31"/>
  <c r="N17" i="31"/>
  <c r="N19" i="31"/>
  <c r="N20" i="31"/>
  <c r="N21" i="31"/>
  <c r="N18" i="31"/>
  <c r="R20" i="31" l="1"/>
  <c r="R16" i="31"/>
  <c r="R19" i="31"/>
  <c r="R24" i="31"/>
  <c r="R22" i="31"/>
  <c r="R18" i="31"/>
  <c r="R17" i="31"/>
  <c r="R25" i="31"/>
  <c r="R21" i="31"/>
  <c r="R23" i="31"/>
  <c r="A7" i="31"/>
  <c r="A41" i="25" s="1"/>
  <c r="O41" i="31"/>
  <c r="A9" i="31"/>
  <c r="A37" i="25" s="1"/>
  <c r="K6" i="31"/>
  <c r="K4" i="25" s="1"/>
  <c r="P5" i="31"/>
  <c r="K3" i="25"/>
  <c r="O40" i="31"/>
  <c r="A10" i="31"/>
  <c r="M7" i="31"/>
  <c r="A51" i="25" l="1"/>
  <c r="A65" i="25"/>
  <c r="B5" i="31"/>
  <c r="B5" i="25"/>
  <c r="G9" i="25"/>
  <c r="P6" i="31"/>
  <c r="Q6" i="31" s="1"/>
  <c r="R6" i="31" s="1"/>
  <c r="Q5" i="31"/>
  <c r="E33" i="25"/>
  <c r="G33" i="25"/>
  <c r="B5" i="66" l="1"/>
  <c r="B4" i="31"/>
  <c r="B5" i="28"/>
  <c r="R5" i="31"/>
  <c r="E94" i="31" l="1"/>
  <c r="E118" i="31"/>
  <c r="E80" i="31"/>
  <c r="E68" i="31"/>
  <c r="E108" i="31"/>
  <c r="E101" i="31"/>
  <c r="E32" i="31"/>
  <c r="E71" i="31"/>
  <c r="E92" i="31"/>
  <c r="E23" i="31"/>
  <c r="E122" i="31"/>
  <c r="E89" i="31"/>
  <c r="E55" i="31"/>
  <c r="E115" i="31"/>
  <c r="E56" i="31"/>
  <c r="E17" i="31"/>
  <c r="E51" i="31"/>
  <c r="E77" i="31"/>
  <c r="E99" i="31"/>
  <c r="E53" i="31"/>
  <c r="E128" i="31"/>
  <c r="E59" i="31"/>
  <c r="E105" i="31"/>
  <c r="E79" i="31"/>
  <c r="E31" i="31"/>
  <c r="E36" i="31"/>
  <c r="E91" i="31"/>
  <c r="E124" i="31"/>
  <c r="E14" i="31"/>
  <c r="E123" i="31"/>
  <c r="E52" i="31"/>
  <c r="E76" i="31"/>
  <c r="E117" i="31"/>
  <c r="E72" i="31"/>
  <c r="E70" i="31"/>
  <c r="E93" i="31"/>
  <c r="E26" i="31"/>
  <c r="E127" i="31"/>
  <c r="E86" i="31"/>
  <c r="E87" i="31"/>
  <c r="E30" i="31"/>
  <c r="E39" i="31"/>
  <c r="E44" i="31"/>
  <c r="E100" i="31"/>
  <c r="E132" i="31"/>
  <c r="E29" i="31"/>
  <c r="E120" i="31"/>
  <c r="E22" i="31"/>
  <c r="E112" i="31"/>
  <c r="E82" i="31"/>
  <c r="E78" i="31"/>
  <c r="E33" i="31"/>
  <c r="E28" i="31"/>
  <c r="E125" i="31"/>
  <c r="E107" i="31"/>
  <c r="E54" i="31"/>
  <c r="E103" i="31"/>
  <c r="E46" i="31"/>
  <c r="E64" i="31"/>
  <c r="E19" i="31"/>
  <c r="E21" i="31"/>
  <c r="E88" i="31"/>
  <c r="E58" i="31"/>
  <c r="E110" i="31"/>
  <c r="E106" i="31"/>
  <c r="E47" i="31"/>
  <c r="E42" i="31"/>
  <c r="E24" i="31"/>
  <c r="E102" i="31"/>
  <c r="E111" i="31"/>
  <c r="E84" i="31"/>
  <c r="E45" i="31"/>
  <c r="E50" i="31"/>
  <c r="E104" i="31"/>
  <c r="E113" i="31"/>
  <c r="E66" i="31"/>
  <c r="E38" i="31"/>
  <c r="E75" i="31"/>
  <c r="E116" i="31"/>
  <c r="E20" i="31"/>
  <c r="E15" i="31"/>
  <c r="E57" i="31"/>
  <c r="E96" i="31"/>
  <c r="E131" i="31"/>
  <c r="E67" i="31"/>
  <c r="E41" i="31"/>
  <c r="E74" i="31"/>
  <c r="E95" i="31"/>
  <c r="E98" i="31"/>
  <c r="E114" i="31"/>
  <c r="E65" i="31"/>
  <c r="E35" i="31"/>
  <c r="E119" i="31"/>
  <c r="E27" i="31"/>
  <c r="E43" i="31"/>
  <c r="E130" i="31"/>
  <c r="E81" i="31"/>
  <c r="E34" i="31"/>
  <c r="E63" i="31"/>
  <c r="E18" i="31"/>
  <c r="E16" i="31"/>
  <c r="E69" i="31"/>
  <c r="E83" i="31"/>
  <c r="E90" i="31"/>
  <c r="E60" i="31"/>
  <c r="E126" i="31"/>
  <c r="E129" i="31"/>
  <c r="E48" i="31"/>
  <c r="E62" i="31"/>
  <c r="E40" i="31"/>
  <c r="G48" i="31" l="1"/>
  <c r="G126" i="31"/>
  <c r="G90" i="31"/>
  <c r="G69" i="31"/>
  <c r="G18" i="31"/>
  <c r="G34" i="31"/>
  <c r="G130" i="31"/>
  <c r="G27" i="31"/>
  <c r="G35" i="31"/>
  <c r="G114" i="31"/>
  <c r="G95" i="31"/>
  <c r="G41" i="31"/>
  <c r="G131" i="31"/>
  <c r="G57" i="31"/>
  <c r="G20" i="31"/>
  <c r="G75" i="31"/>
  <c r="G66" i="31"/>
  <c r="G104" i="31"/>
  <c r="G45" i="31"/>
  <c r="G111" i="31"/>
  <c r="G24" i="31"/>
  <c r="G47" i="31"/>
  <c r="G110" i="31"/>
  <c r="G88" i="31"/>
  <c r="G19" i="31"/>
  <c r="G46" i="31"/>
  <c r="G54" i="31"/>
  <c r="G125" i="31"/>
  <c r="G33" i="31"/>
  <c r="G82" i="31"/>
  <c r="G22" i="31"/>
  <c r="G29" i="31"/>
  <c r="G132" i="31"/>
  <c r="G44" i="31"/>
  <c r="G30" i="31"/>
  <c r="G86" i="31"/>
  <c r="G26" i="31"/>
  <c r="G70" i="31"/>
  <c r="G117" i="31"/>
  <c r="G52" i="31"/>
  <c r="G14" i="31"/>
  <c r="G91" i="31"/>
  <c r="G31" i="31"/>
  <c r="G105" i="31"/>
  <c r="G128" i="31"/>
  <c r="G99" i="31"/>
  <c r="G51" i="31"/>
  <c r="G56" i="31"/>
  <c r="G55" i="31"/>
  <c r="G122" i="31"/>
  <c r="G92" i="31"/>
  <c r="G32" i="31"/>
  <c r="G108" i="31"/>
  <c r="G80" i="31"/>
  <c r="G94" i="31"/>
  <c r="G129" i="31"/>
  <c r="G60" i="31"/>
  <c r="G83" i="31"/>
  <c r="G16" i="31"/>
  <c r="G63" i="31"/>
  <c r="G81" i="31"/>
  <c r="G43" i="31"/>
  <c r="G119" i="31"/>
  <c r="G65" i="31"/>
  <c r="G98" i="31"/>
  <c r="G74" i="31"/>
  <c r="G67" i="31"/>
  <c r="G96" i="31"/>
  <c r="G15" i="31"/>
  <c r="G116" i="31"/>
  <c r="G38" i="31"/>
  <c r="G113" i="31"/>
  <c r="G50" i="31"/>
  <c r="G84" i="31"/>
  <c r="G102" i="31"/>
  <c r="G42" i="31"/>
  <c r="G106" i="31"/>
  <c r="G58" i="31"/>
  <c r="G21" i="31"/>
  <c r="G64" i="31"/>
  <c r="G103" i="31"/>
  <c r="G107" i="31"/>
  <c r="G28" i="31"/>
  <c r="G78" i="31"/>
  <c r="G112" i="31"/>
  <c r="G120" i="31"/>
  <c r="G62" i="31"/>
  <c r="G40" i="31"/>
  <c r="G100" i="31"/>
  <c r="G39" i="31"/>
  <c r="G87" i="31"/>
  <c r="G127" i="31"/>
  <c r="G93" i="31"/>
  <c r="G72" i="31"/>
  <c r="G76" i="31"/>
  <c r="G123" i="31"/>
  <c r="G124" i="31"/>
  <c r="G36" i="31"/>
  <c r="G79" i="31"/>
  <c r="G59" i="31"/>
  <c r="G53" i="31"/>
  <c r="G77" i="31"/>
  <c r="G17" i="31"/>
  <c r="G115" i="31"/>
  <c r="G89" i="31"/>
  <c r="G23" i="31"/>
  <c r="G71" i="31"/>
  <c r="G101" i="31"/>
  <c r="G68" i="31"/>
  <c r="G118" i="31"/>
  <c r="E13" i="25"/>
  <c r="E20" i="25"/>
  <c r="E14" i="25"/>
  <c r="E16" i="25"/>
  <c r="E19" i="25"/>
  <c r="E17" i="25"/>
  <c r="E21" i="25"/>
  <c r="E22" i="25"/>
  <c r="E15" i="25"/>
  <c r="E18" i="25"/>
  <c r="E121" i="31" l="1"/>
  <c r="M25" i="31"/>
  <c r="M21" i="31"/>
  <c r="E73" i="31"/>
  <c r="M20" i="31"/>
  <c r="E61" i="31"/>
  <c r="E85" i="31"/>
  <c r="M22" i="31"/>
  <c r="M23" i="31"/>
  <c r="E97" i="31"/>
  <c r="E37" i="31"/>
  <c r="M18" i="31"/>
  <c r="E49" i="31"/>
  <c r="M19" i="31"/>
  <c r="M16" i="31"/>
  <c r="E13" i="31"/>
  <c r="M24" i="31"/>
  <c r="E109" i="31"/>
  <c r="M17" i="31"/>
  <c r="E25" i="31"/>
  <c r="G19" i="25"/>
  <c r="G22" i="25"/>
  <c r="G13" i="25"/>
  <c r="G21" i="25"/>
  <c r="G14" i="25"/>
  <c r="G20" i="25"/>
  <c r="G15" i="25"/>
  <c r="G16" i="25"/>
  <c r="G17" i="25"/>
  <c r="G18" i="25"/>
  <c r="C13" i="65" l="1"/>
  <c r="E13" i="65" s="1"/>
  <c r="C11" i="65"/>
  <c r="E11" i="65" s="1"/>
  <c r="C9" i="65"/>
  <c r="E9" i="65" s="1"/>
  <c r="C14" i="65"/>
  <c r="E14" i="65" s="1"/>
  <c r="C12" i="65"/>
  <c r="E12" i="65" s="1"/>
  <c r="C10" i="65"/>
  <c r="E10" i="65" s="1"/>
  <c r="C8" i="65"/>
  <c r="E8" i="65" s="1"/>
  <c r="C15" i="65"/>
  <c r="E15" i="65" s="1"/>
  <c r="C16" i="65"/>
  <c r="E16" i="65" s="1"/>
  <c r="Q18" i="31"/>
  <c r="P18" i="31"/>
  <c r="Q22" i="31"/>
  <c r="P22" i="31"/>
  <c r="G73" i="31"/>
  <c r="G25" i="31"/>
  <c r="P17" i="31"/>
  <c r="Q17" i="31"/>
  <c r="Q16" i="31"/>
  <c r="P16" i="31"/>
  <c r="G37" i="31"/>
  <c r="G85" i="31"/>
  <c r="Q21" i="31"/>
  <c r="P21" i="31"/>
  <c r="G13" i="31"/>
  <c r="G109" i="31"/>
  <c r="P19" i="31"/>
  <c r="Q19" i="31"/>
  <c r="G97" i="31"/>
  <c r="G61" i="31"/>
  <c r="Q25" i="31"/>
  <c r="P25" i="31"/>
  <c r="P24" i="31"/>
  <c r="Q24" i="31"/>
  <c r="G49" i="31"/>
  <c r="P23" i="31"/>
  <c r="Q23" i="31"/>
  <c r="Q20" i="31"/>
  <c r="P20" i="31"/>
  <c r="G121" i="31"/>
  <c r="S41" i="31"/>
  <c r="S40" i="31"/>
  <c r="F9" i="31"/>
  <c r="F7" i="31"/>
  <c r="D234" i="31" l="1"/>
  <c r="K234" i="31"/>
  <c r="D237" i="31"/>
  <c r="K237" i="31"/>
  <c r="D231" i="31"/>
  <c r="K231" i="31"/>
  <c r="D236" i="31"/>
  <c r="K236" i="31"/>
  <c r="D238" i="31"/>
  <c r="K238" i="31"/>
  <c r="D240" i="31"/>
  <c r="K240" i="31"/>
  <c r="D230" i="31"/>
  <c r="K230" i="31"/>
  <c r="D232" i="31"/>
  <c r="K232" i="31"/>
  <c r="D233" i="31"/>
  <c r="K233" i="31"/>
  <c r="D235" i="31"/>
  <c r="K235" i="31"/>
  <c r="D239" i="31"/>
  <c r="K239" i="31"/>
  <c r="D229" i="31"/>
  <c r="K229" i="31"/>
  <c r="K226" i="31"/>
  <c r="D226" i="31"/>
  <c r="K222" i="31"/>
  <c r="D222" i="31"/>
  <c r="K218" i="31"/>
  <c r="D218" i="31"/>
  <c r="K223" i="31"/>
  <c r="D223" i="31"/>
  <c r="K217" i="31"/>
  <c r="D217" i="31"/>
  <c r="K228" i="31"/>
  <c r="D228" i="31"/>
  <c r="K227" i="31"/>
  <c r="D227" i="31"/>
  <c r="K219" i="31"/>
  <c r="D219" i="31"/>
  <c r="K221" i="31"/>
  <c r="D221" i="31"/>
  <c r="K224" i="31"/>
  <c r="D224" i="31"/>
  <c r="K225" i="31"/>
  <c r="D225" i="31"/>
  <c r="K220" i="31"/>
  <c r="D220" i="31"/>
  <c r="K173" i="31"/>
  <c r="D173" i="31"/>
  <c r="D198" i="31"/>
  <c r="K198" i="31"/>
  <c r="D190" i="31"/>
  <c r="K190" i="31"/>
  <c r="D175" i="31"/>
  <c r="K175" i="31"/>
  <c r="D137" i="31"/>
  <c r="K137" i="31"/>
  <c r="K212" i="31"/>
  <c r="D212" i="31"/>
  <c r="K146" i="31"/>
  <c r="D146" i="31"/>
  <c r="K159" i="31"/>
  <c r="D159" i="31"/>
  <c r="D210" i="31"/>
  <c r="K210" i="31"/>
  <c r="D195" i="31"/>
  <c r="K195" i="31"/>
  <c r="D179" i="31"/>
  <c r="K179" i="31"/>
  <c r="D168" i="31"/>
  <c r="K168" i="31"/>
  <c r="K160" i="31"/>
  <c r="D160" i="31"/>
  <c r="D148" i="31"/>
  <c r="K148" i="31"/>
  <c r="D140" i="31"/>
  <c r="K140" i="31"/>
  <c r="K215" i="31"/>
  <c r="D215" i="31"/>
  <c r="K184" i="31"/>
  <c r="D184" i="31"/>
  <c r="K142" i="31"/>
  <c r="D142" i="31"/>
  <c r="K185" i="31"/>
  <c r="D185" i="31"/>
  <c r="K189" i="31"/>
  <c r="D189" i="31"/>
  <c r="K174" i="31"/>
  <c r="D174" i="31"/>
  <c r="K158" i="31"/>
  <c r="D158" i="31"/>
  <c r="D188" i="31"/>
  <c r="K188" i="31"/>
  <c r="O33" i="31"/>
  <c r="K170" i="31"/>
  <c r="D170" i="31"/>
  <c r="D204" i="31"/>
  <c r="K204" i="31"/>
  <c r="D196" i="31"/>
  <c r="K196" i="31"/>
  <c r="K199" i="31"/>
  <c r="D199" i="31"/>
  <c r="K143" i="31"/>
  <c r="D143" i="31"/>
  <c r="K177" i="31"/>
  <c r="D177" i="31"/>
  <c r="K165" i="31"/>
  <c r="D165" i="31"/>
  <c r="D216" i="31"/>
  <c r="K216" i="31"/>
  <c r="K180" i="31"/>
  <c r="D180" i="31"/>
  <c r="K145" i="31"/>
  <c r="O27" i="31"/>
  <c r="D145" i="31"/>
  <c r="D155" i="31"/>
  <c r="K155" i="31"/>
  <c r="D135" i="31"/>
  <c r="K135" i="31"/>
  <c r="D206" i="31"/>
  <c r="K206" i="31"/>
  <c r="D192" i="31"/>
  <c r="K192" i="31"/>
  <c r="O30" i="31"/>
  <c r="K181" i="31"/>
  <c r="D181" i="31"/>
  <c r="D141" i="31"/>
  <c r="K141" i="31"/>
  <c r="D201" i="31"/>
  <c r="K201" i="31"/>
  <c r="K167" i="31"/>
  <c r="D167" i="31"/>
  <c r="D202" i="31"/>
  <c r="K202" i="31"/>
  <c r="K183" i="31"/>
  <c r="D183" i="31"/>
  <c r="K163" i="31"/>
  <c r="D163" i="31"/>
  <c r="K213" i="31"/>
  <c r="D213" i="31"/>
  <c r="D194" i="31"/>
  <c r="K194" i="31"/>
  <c r="K182" i="31"/>
  <c r="D182" i="31"/>
  <c r="K149" i="31"/>
  <c r="D149" i="31"/>
  <c r="K197" i="31"/>
  <c r="D197" i="31"/>
  <c r="K134" i="31"/>
  <c r="D134" i="31"/>
  <c r="K214" i="31"/>
  <c r="D214" i="31"/>
  <c r="K207" i="31"/>
  <c r="D207" i="31"/>
  <c r="K187" i="31"/>
  <c r="D187" i="31"/>
  <c r="D176" i="31"/>
  <c r="K176" i="31"/>
  <c r="K164" i="31"/>
  <c r="D164" i="31"/>
  <c r="D156" i="31"/>
  <c r="K156" i="31"/>
  <c r="D144" i="31"/>
  <c r="K144" i="31"/>
  <c r="D211" i="31"/>
  <c r="K211" i="31"/>
  <c r="D172" i="31"/>
  <c r="K172" i="31"/>
  <c r="D136" i="31"/>
  <c r="K136" i="31"/>
  <c r="D161" i="31"/>
  <c r="K161" i="31"/>
  <c r="K162" i="31"/>
  <c r="D162" i="31"/>
  <c r="D208" i="31"/>
  <c r="K208" i="31"/>
  <c r="K178" i="31"/>
  <c r="D178" i="31"/>
  <c r="D166" i="31"/>
  <c r="K166" i="31"/>
  <c r="K154" i="31"/>
  <c r="D154" i="31"/>
  <c r="D209" i="31"/>
  <c r="K209" i="31"/>
  <c r="D157" i="31"/>
  <c r="O28" i="31"/>
  <c r="K157" i="31"/>
  <c r="D147" i="31"/>
  <c r="K147" i="31"/>
  <c r="D150" i="31"/>
  <c r="K150" i="31"/>
  <c r="K151" i="31"/>
  <c r="D151" i="31"/>
  <c r="D191" i="31"/>
  <c r="K191" i="31"/>
  <c r="D203" i="31"/>
  <c r="K203" i="31"/>
  <c r="O26" i="31"/>
  <c r="D133" i="31"/>
  <c r="K133" i="31"/>
  <c r="K171" i="31"/>
  <c r="D171" i="31"/>
  <c r="K153" i="31"/>
  <c r="D153" i="31"/>
  <c r="K205" i="31"/>
  <c r="D205" i="31"/>
  <c r="O32" i="31"/>
  <c r="K152" i="31"/>
  <c r="D152" i="31"/>
  <c r="K139" i="31"/>
  <c r="D139" i="31"/>
  <c r="O34" i="31"/>
  <c r="D200" i="31"/>
  <c r="K200" i="31"/>
  <c r="D186" i="31"/>
  <c r="K186" i="31"/>
  <c r="O31" i="31"/>
  <c r="D193" i="31"/>
  <c r="K193" i="31"/>
  <c r="D169" i="31"/>
  <c r="O29" i="31"/>
  <c r="K169" i="31"/>
  <c r="D138" i="31"/>
  <c r="K138" i="31"/>
  <c r="D9" i="31"/>
  <c r="Q40" i="31"/>
  <c r="Q41" i="31"/>
  <c r="D7" i="31"/>
  <c r="N32" i="31" l="1"/>
  <c r="N29" i="31"/>
  <c r="C39" i="25"/>
  <c r="C57" i="25"/>
  <c r="C43" i="25"/>
  <c r="N31" i="31"/>
  <c r="K247" i="31"/>
  <c r="K243" i="31"/>
  <c r="K244" i="31"/>
  <c r="K242" i="31"/>
  <c r="N30" i="31"/>
  <c r="K250" i="31"/>
  <c r="K246" i="31"/>
  <c r="D241" i="31"/>
  <c r="K241" i="31"/>
  <c r="O35" i="31"/>
  <c r="K251" i="31"/>
  <c r="N28" i="31"/>
  <c r="K245" i="31"/>
  <c r="K252" i="31"/>
  <c r="N27" i="31"/>
  <c r="K248" i="31"/>
  <c r="N26" i="31"/>
  <c r="K249" i="31"/>
  <c r="N34" i="31"/>
  <c r="F10" i="31"/>
  <c r="R27" i="31" l="1"/>
  <c r="R28" i="31"/>
  <c r="R31" i="31"/>
  <c r="R29" i="31"/>
  <c r="R26" i="31"/>
  <c r="R32" i="31"/>
  <c r="R34" i="31"/>
  <c r="R30" i="31"/>
  <c r="D248" i="31"/>
  <c r="D252" i="31"/>
  <c r="D257" i="31"/>
  <c r="K257" i="31"/>
  <c r="D263" i="31"/>
  <c r="N33" i="31" s="1"/>
  <c r="K263" i="31"/>
  <c r="D250" i="31"/>
  <c r="D254" i="31"/>
  <c r="K254" i="31"/>
  <c r="D256" i="31"/>
  <c r="K256" i="31"/>
  <c r="D247" i="31"/>
  <c r="D249" i="31"/>
  <c r="D242" i="31"/>
  <c r="O36" i="31"/>
  <c r="D253" i="31"/>
  <c r="K253" i="31"/>
  <c r="D246" i="31"/>
  <c r="D259" i="31"/>
  <c r="K259" i="31"/>
  <c r="K260" i="31"/>
  <c r="D260" i="31"/>
  <c r="D245" i="31"/>
  <c r="D251" i="31"/>
  <c r="D262" i="31"/>
  <c r="K262" i="31"/>
  <c r="D243" i="31"/>
  <c r="K261" i="31"/>
  <c r="D261" i="31"/>
  <c r="K258" i="31"/>
  <c r="D258" i="31"/>
  <c r="D244" i="31"/>
  <c r="K255" i="31"/>
  <c r="D255" i="31"/>
  <c r="D10" i="31"/>
  <c r="R33" i="31" l="1"/>
  <c r="N36" i="31"/>
  <c r="C53" i="25"/>
  <c r="C67" i="25"/>
  <c r="N35" i="31"/>
  <c r="R35" i="31" l="1"/>
  <c r="R36" i="31"/>
  <c r="E219" i="31"/>
  <c r="E226" i="31"/>
  <c r="E220" i="31"/>
  <c r="E239" i="31"/>
  <c r="E225" i="31"/>
  <c r="E234" i="31"/>
  <c r="E218" i="31"/>
  <c r="E233" i="31"/>
  <c r="E236" i="31"/>
  <c r="E227" i="31"/>
  <c r="E222" i="31"/>
  <c r="E230" i="31"/>
  <c r="E237" i="31"/>
  <c r="E240" i="31"/>
  <c r="E238" i="31"/>
  <c r="E224" i="31"/>
  <c r="E204" i="31"/>
  <c r="E221" i="31"/>
  <c r="E231" i="31"/>
  <c r="E228" i="31"/>
  <c r="E223" i="31"/>
  <c r="E235" i="31"/>
  <c r="E232" i="31"/>
  <c r="E179" i="31"/>
  <c r="E138" i="31"/>
  <c r="E182" i="31"/>
  <c r="E188" i="31"/>
  <c r="E152" i="31"/>
  <c r="E150" i="31"/>
  <c r="E154" i="31"/>
  <c r="E137" i="31"/>
  <c r="E165" i="31"/>
  <c r="E198" i="31"/>
  <c r="E186" i="31"/>
  <c r="E170" i="31"/>
  <c r="E183" i="31"/>
  <c r="E144" i="31"/>
  <c r="E151" i="31"/>
  <c r="E166" i="31"/>
  <c r="E197" i="31"/>
  <c r="E164" i="31"/>
  <c r="E143" i="31"/>
  <c r="E202" i="31"/>
  <c r="E180" i="31"/>
  <c r="E161" i="31"/>
  <c r="E190" i="31"/>
  <c r="E195" i="31"/>
  <c r="E200" i="31"/>
  <c r="E187" i="31"/>
  <c r="E142" i="31"/>
  <c r="E203" i="31"/>
  <c r="E167" i="31"/>
  <c r="E201" i="31"/>
  <c r="E136" i="31"/>
  <c r="E191" i="31"/>
  <c r="E168" i="31"/>
  <c r="E146" i="31"/>
  <c r="E185" i="31"/>
  <c r="E178" i="31"/>
  <c r="E176" i="31"/>
  <c r="E134" i="31"/>
  <c r="E199" i="31"/>
  <c r="E139" i="31"/>
  <c r="E141" i="31"/>
  <c r="E149" i="31"/>
  <c r="E174" i="31"/>
  <c r="E196" i="31"/>
  <c r="E173" i="31"/>
  <c r="E171" i="31"/>
  <c r="E158" i="31"/>
  <c r="E189" i="31"/>
  <c r="E153" i="31"/>
  <c r="E155" i="31"/>
  <c r="E140" i="31"/>
  <c r="E160" i="31"/>
  <c r="E156" i="31"/>
  <c r="E192" i="31"/>
  <c r="E159" i="31"/>
  <c r="E148" i="31"/>
  <c r="E163" i="31"/>
  <c r="E184" i="31"/>
  <c r="E162" i="31"/>
  <c r="E135" i="31"/>
  <c r="E177" i="31"/>
  <c r="E147" i="31"/>
  <c r="E175" i="31"/>
  <c r="E194" i="31"/>
  <c r="G160" i="31" l="1"/>
  <c r="G153" i="31"/>
  <c r="G196" i="31"/>
  <c r="G139" i="31"/>
  <c r="G185" i="31"/>
  <c r="G191" i="31"/>
  <c r="G201" i="31"/>
  <c r="G187" i="31"/>
  <c r="G180" i="31"/>
  <c r="G143" i="31"/>
  <c r="G151" i="31"/>
  <c r="G144" i="31"/>
  <c r="G186" i="31"/>
  <c r="G165" i="31"/>
  <c r="G154" i="31"/>
  <c r="G182" i="31"/>
  <c r="G162" i="31"/>
  <c r="G163" i="31"/>
  <c r="G192" i="31"/>
  <c r="G156" i="31"/>
  <c r="G140" i="31"/>
  <c r="G158" i="31"/>
  <c r="G174" i="31"/>
  <c r="G199" i="31"/>
  <c r="G176" i="31"/>
  <c r="G146" i="31"/>
  <c r="G168" i="31"/>
  <c r="G142" i="31"/>
  <c r="G200" i="31"/>
  <c r="G195" i="31"/>
  <c r="G161" i="31"/>
  <c r="G202" i="31"/>
  <c r="G197" i="31"/>
  <c r="G152" i="31"/>
  <c r="G138" i="31"/>
  <c r="G232" i="31"/>
  <c r="G221" i="31"/>
  <c r="G224" i="31"/>
  <c r="G240" i="31"/>
  <c r="G230" i="31"/>
  <c r="G227" i="31"/>
  <c r="G236" i="31"/>
  <c r="G233" i="31"/>
  <c r="G234" i="31"/>
  <c r="G239" i="31"/>
  <c r="G177" i="31"/>
  <c r="G175" i="31"/>
  <c r="G155" i="31"/>
  <c r="G189" i="31"/>
  <c r="G171" i="31"/>
  <c r="G173" i="31"/>
  <c r="G141" i="31"/>
  <c r="G136" i="31"/>
  <c r="G203" i="31"/>
  <c r="G164" i="31"/>
  <c r="G166" i="31"/>
  <c r="G150" i="31"/>
  <c r="G188" i="31"/>
  <c r="G179" i="31"/>
  <c r="G194" i="31"/>
  <c r="G147" i="31"/>
  <c r="G135" i="31"/>
  <c r="G184" i="31"/>
  <c r="G148" i="31"/>
  <c r="G159" i="31"/>
  <c r="G149" i="31"/>
  <c r="G134" i="31"/>
  <c r="G178" i="31"/>
  <c r="G167" i="31"/>
  <c r="G190" i="31"/>
  <c r="G183" i="31"/>
  <c r="G170" i="31"/>
  <c r="G198" i="31"/>
  <c r="G137" i="31"/>
  <c r="G235" i="31"/>
  <c r="G223" i="31"/>
  <c r="G228" i="31"/>
  <c r="G231" i="31"/>
  <c r="G204" i="31"/>
  <c r="G238" i="31"/>
  <c r="G237" i="31"/>
  <c r="G222" i="31"/>
  <c r="G218" i="31"/>
  <c r="G225" i="31"/>
  <c r="G220" i="31"/>
  <c r="G226" i="31"/>
  <c r="G219" i="31"/>
  <c r="E207" i="31"/>
  <c r="E209" i="31"/>
  <c r="E214" i="31"/>
  <c r="E212" i="31"/>
  <c r="E213" i="31"/>
  <c r="E210" i="31"/>
  <c r="E206" i="31"/>
  <c r="E216" i="31"/>
  <c r="E211" i="31"/>
  <c r="E215" i="31"/>
  <c r="E208" i="31"/>
  <c r="E172" i="31"/>
  <c r="E27" i="25"/>
  <c r="E26" i="25"/>
  <c r="E23" i="25"/>
  <c r="E25" i="25"/>
  <c r="E29" i="25"/>
  <c r="E28" i="25"/>
  <c r="G211" i="31" l="1"/>
  <c r="G213" i="31"/>
  <c r="G207" i="31"/>
  <c r="G172" i="31"/>
  <c r="G216" i="31"/>
  <c r="G212" i="31"/>
  <c r="G208" i="31"/>
  <c r="G206" i="31"/>
  <c r="G214" i="31"/>
  <c r="G215" i="31"/>
  <c r="G210" i="31"/>
  <c r="G209" i="31"/>
  <c r="E229" i="31"/>
  <c r="E217" i="31"/>
  <c r="E181" i="31"/>
  <c r="M30" i="31"/>
  <c r="E193" i="31"/>
  <c r="M31" i="31"/>
  <c r="M28" i="31"/>
  <c r="E157" i="31"/>
  <c r="M29" i="31"/>
  <c r="E169" i="31"/>
  <c r="E205" i="31"/>
  <c r="M32" i="31"/>
  <c r="E133" i="31"/>
  <c r="M26" i="31"/>
  <c r="G29" i="25"/>
  <c r="G25" i="25"/>
  <c r="G27" i="25"/>
  <c r="E30" i="25"/>
  <c r="E24" i="25"/>
  <c r="P41" i="31"/>
  <c r="C7" i="31"/>
  <c r="P40" i="31"/>
  <c r="G28" i="25"/>
  <c r="C9" i="31"/>
  <c r="G26" i="25"/>
  <c r="G23" i="25"/>
  <c r="C19" i="65" l="1"/>
  <c r="E19" i="65" s="1"/>
  <c r="C17" i="65"/>
  <c r="E17" i="65" s="1"/>
  <c r="C22" i="65"/>
  <c r="E22" i="65" s="1"/>
  <c r="C21" i="65"/>
  <c r="E21" i="65" s="1"/>
  <c r="C20" i="65"/>
  <c r="E20" i="65" s="1"/>
  <c r="G229" i="31"/>
  <c r="G217" i="31"/>
  <c r="G9" i="31"/>
  <c r="G40" i="25" s="1"/>
  <c r="I80" i="25" s="1"/>
  <c r="E40" i="25"/>
  <c r="G7" i="31"/>
  <c r="E44" i="25"/>
  <c r="E58" i="25"/>
  <c r="Q30" i="31"/>
  <c r="P30" i="31"/>
  <c r="C247" i="31"/>
  <c r="C249" i="31"/>
  <c r="G157" i="31"/>
  <c r="Q26" i="31"/>
  <c r="P26" i="31"/>
  <c r="G205" i="31"/>
  <c r="C244" i="31"/>
  <c r="C246" i="31"/>
  <c r="P28" i="31"/>
  <c r="Q28" i="31"/>
  <c r="G181" i="31"/>
  <c r="C248" i="31"/>
  <c r="M33" i="31"/>
  <c r="E145" i="31"/>
  <c r="M27" i="31"/>
  <c r="C250" i="31"/>
  <c r="G133" i="31"/>
  <c r="C242" i="31"/>
  <c r="G169" i="31"/>
  <c r="P31" i="31"/>
  <c r="Q31" i="31"/>
  <c r="C252" i="31"/>
  <c r="E252" i="31" s="1"/>
  <c r="P32" i="31"/>
  <c r="Q32" i="31"/>
  <c r="C243" i="31"/>
  <c r="P29" i="31"/>
  <c r="Q29" i="31"/>
  <c r="C251" i="31"/>
  <c r="G193" i="31"/>
  <c r="C245" i="31"/>
  <c r="E7" i="31"/>
  <c r="G24" i="25"/>
  <c r="R41" i="31"/>
  <c r="G30" i="25"/>
  <c r="R40" i="31"/>
  <c r="E9" i="31"/>
  <c r="E31" i="25"/>
  <c r="C18" i="65" l="1"/>
  <c r="E18" i="65" s="1"/>
  <c r="G252" i="31"/>
  <c r="I79" i="25"/>
  <c r="T40" i="31"/>
  <c r="T41" i="31"/>
  <c r="C262" i="31"/>
  <c r="E262" i="31" s="1"/>
  <c r="E250" i="31"/>
  <c r="C241" i="31"/>
  <c r="M34" i="31"/>
  <c r="C260" i="31"/>
  <c r="E260" i="31" s="1"/>
  <c r="E248" i="31"/>
  <c r="E246" i="31"/>
  <c r="C258" i="31"/>
  <c r="E258" i="31" s="1"/>
  <c r="E249" i="31"/>
  <c r="C261" i="31"/>
  <c r="E261" i="31" s="1"/>
  <c r="C254" i="31"/>
  <c r="E254" i="31" s="1"/>
  <c r="E242" i="31"/>
  <c r="C257" i="31"/>
  <c r="E257" i="31" s="1"/>
  <c r="E245" i="31"/>
  <c r="E251" i="31"/>
  <c r="C263" i="31"/>
  <c r="E263" i="31" s="1"/>
  <c r="C255" i="31"/>
  <c r="E255" i="31" s="1"/>
  <c r="E243" i="31"/>
  <c r="G44" i="25"/>
  <c r="G58" i="25"/>
  <c r="Q27" i="31"/>
  <c r="P27" i="31"/>
  <c r="Q33" i="31"/>
  <c r="P33" i="31"/>
  <c r="C256" i="31"/>
  <c r="E256" i="31" s="1"/>
  <c r="E244" i="31"/>
  <c r="G145" i="31"/>
  <c r="E247" i="31"/>
  <c r="C259" i="31"/>
  <c r="E259" i="31" s="1"/>
  <c r="E32" i="25"/>
  <c r="G31" i="25"/>
  <c r="C25" i="65" l="1"/>
  <c r="E25" i="65" s="1"/>
  <c r="G247" i="31"/>
  <c r="G263" i="31"/>
  <c r="G242" i="31"/>
  <c r="G251" i="31"/>
  <c r="G254" i="31"/>
  <c r="G246" i="31"/>
  <c r="G258" i="31"/>
  <c r="G244" i="31"/>
  <c r="G243" i="31"/>
  <c r="G245" i="31"/>
  <c r="G261" i="31"/>
  <c r="G248" i="31"/>
  <c r="G250" i="31"/>
  <c r="G259" i="31"/>
  <c r="G256" i="31"/>
  <c r="G255" i="31"/>
  <c r="G257" i="31"/>
  <c r="G249" i="31"/>
  <c r="G260" i="31"/>
  <c r="G262" i="31"/>
  <c r="P34" i="31"/>
  <c r="Q34" i="31"/>
  <c r="E241" i="31"/>
  <c r="M35" i="31"/>
  <c r="C253" i="31"/>
  <c r="G32" i="25"/>
  <c r="C10" i="31"/>
  <c r="E68" i="25" l="1"/>
  <c r="G10" i="31"/>
  <c r="E54" i="25"/>
  <c r="G241" i="31"/>
  <c r="M36" i="31"/>
  <c r="E253" i="31"/>
  <c r="Q35" i="31"/>
  <c r="P35" i="31"/>
  <c r="E10" i="31"/>
  <c r="G253" i="31" l="1"/>
  <c r="G68" i="25"/>
  <c r="G54" i="25"/>
  <c r="Q36" i="31"/>
  <c r="P36" i="31"/>
</calcChain>
</file>

<file path=xl/comments1.xml><?xml version="1.0" encoding="utf-8"?>
<comments xmlns="http://schemas.openxmlformats.org/spreadsheetml/2006/main">
  <authors>
    <author>Author</author>
  </authors>
  <commentList>
    <comment ref="G5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sharedStrings.xml><?xml version="1.0" encoding="utf-8"?>
<sst xmlns="http://schemas.openxmlformats.org/spreadsheetml/2006/main" count="1371" uniqueCount="202">
  <si>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</si>
  <si>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</si>
  <si>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</si>
  <si>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</si>
  <si>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</si>
  <si>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</si>
  <si>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</si>
  <si>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</si>
  <si>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</si>
  <si>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</si>
  <si>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</si>
  <si>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</si>
  <si>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</si>
  <si>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</si>
  <si>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Price @</t>
  </si>
  <si>
    <t>Capacity Factor</t>
  </si>
  <si>
    <t>Footnotes:</t>
  </si>
  <si>
    <t xml:space="preserve"> $/kW-yr</t>
  </si>
  <si>
    <t>Avoided Cost Prices</t>
  </si>
  <si>
    <t>Energy</t>
  </si>
  <si>
    <t>Only Price</t>
  </si>
  <si>
    <t>Table 1</t>
  </si>
  <si>
    <t>(2)   'Energy Only' is the GRID calculated costs and includes some capacity costs.</t>
  </si>
  <si>
    <t>Fuel Cost</t>
  </si>
  <si>
    <t>(g)</t>
  </si>
  <si>
    <t>(h)</t>
  </si>
  <si>
    <t>(i)</t>
  </si>
  <si>
    <t>Sources, Inputs and Assumptions</t>
  </si>
  <si>
    <t>PacifiCorp</t>
  </si>
  <si>
    <t>Delivered</t>
  </si>
  <si>
    <t>Peak Type:</t>
  </si>
  <si>
    <t>Quote Date</t>
  </si>
  <si>
    <t>Burnertip Natural Gas Price Forecast</t>
  </si>
  <si>
    <t>$/MWh</t>
  </si>
  <si>
    <t>MW</t>
  </si>
  <si>
    <t>Fixed</t>
  </si>
  <si>
    <t>CF</t>
  </si>
  <si>
    <t>Appendix B</t>
  </si>
  <si>
    <t xml:space="preserve">  Payment Factor</t>
  </si>
  <si>
    <t xml:space="preserve">  Capacity Factor</t>
  </si>
  <si>
    <t>Start</t>
  </si>
  <si>
    <t>Resource Capacity</t>
  </si>
  <si>
    <t>Nominal Avoided Costs Calculated Monthly</t>
  </si>
  <si>
    <t>End</t>
  </si>
  <si>
    <t>Capacity $</t>
  </si>
  <si>
    <t>Total</t>
  </si>
  <si>
    <t>Month</t>
  </si>
  <si>
    <t>Avoided $</t>
  </si>
  <si>
    <t>MWH</t>
  </si>
  <si>
    <t>Offset</t>
  </si>
  <si>
    <t>Date Test</t>
  </si>
  <si>
    <t>Net Power Cost</t>
  </si>
  <si>
    <t>Dollars</t>
  </si>
  <si>
    <t>AC Price</t>
  </si>
  <si>
    <t>East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</si>
  <si>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</si>
  <si>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</si>
  <si>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>Study_Name:</t>
  </si>
  <si>
    <t>Table 4</t>
  </si>
  <si>
    <t>Table 3</t>
  </si>
  <si>
    <t>&lt;---- Calculated Monthly</t>
  </si>
  <si>
    <t>Capacity Contribution</t>
  </si>
  <si>
    <t>Type</t>
  </si>
  <si>
    <t xml:space="preserve">Wind </t>
  </si>
  <si>
    <t>Tracking</t>
  </si>
  <si>
    <t xml:space="preserve">Gas </t>
  </si>
  <si>
    <t xml:space="preserve">Hydro </t>
  </si>
  <si>
    <t>IRP - Utah Greenfield</t>
  </si>
  <si>
    <t>IRP West Side</t>
  </si>
  <si>
    <t>IRP - Wyo NE</t>
  </si>
  <si>
    <t>Fixed Costs</t>
  </si>
  <si>
    <t>Tax Credit</t>
  </si>
  <si>
    <t>Wind Integration Cost</t>
  </si>
  <si>
    <t>Source:</t>
  </si>
  <si>
    <t>(c)(f)</t>
  </si>
  <si>
    <t xml:space="preserve">  Plant capacity cost</t>
  </si>
  <si>
    <t>Wind</t>
  </si>
  <si>
    <t>Cost and Input Assumptions</t>
  </si>
  <si>
    <t xml:space="preserve">  Fixed O&amp;M, plus on-going capital cost</t>
  </si>
  <si>
    <t xml:space="preserve">  Variable O&amp;M</t>
  </si>
  <si>
    <t>$/MWH</t>
  </si>
  <si>
    <t xml:space="preserve">  Tax Credit $/MWh</t>
  </si>
  <si>
    <t>Solar</t>
  </si>
  <si>
    <t>Integration Cost</t>
  </si>
  <si>
    <t>Avoided Cost (before Integration Cost)</t>
  </si>
  <si>
    <t>energy</t>
  </si>
  <si>
    <t>capacity</t>
  </si>
  <si>
    <t>IRP17 Dave Johnston Wind</t>
  </si>
  <si>
    <t>IRP17 Goshen Wind 2</t>
  </si>
  <si>
    <t>Total Resource Cost</t>
  </si>
  <si>
    <t>IRP17 Yakima Solar</t>
  </si>
  <si>
    <t>IRP17 Aeolus Wind</t>
  </si>
  <si>
    <t>Deferral (Capacity Contribution MW)</t>
  </si>
  <si>
    <t>Deferral (Nameplate MW)</t>
  </si>
  <si>
    <t>Resource Cost ($/kw-year)</t>
  </si>
  <si>
    <t>Deferred Cost (Millions $/year)</t>
  </si>
  <si>
    <t>West</t>
  </si>
  <si>
    <t>Total Capacity Deferral</t>
  </si>
  <si>
    <t>$/kw-year</t>
  </si>
  <si>
    <t>Millions $/year</t>
  </si>
  <si>
    <t xml:space="preserve">start </t>
  </si>
  <si>
    <t>end</t>
  </si>
  <si>
    <t>2017 IRP Aeolus-Bridger/Anticline Transmission</t>
  </si>
  <si>
    <t>Months In Service</t>
  </si>
  <si>
    <t>#</t>
  </si>
  <si>
    <t>Transfer Capacity (MW)</t>
  </si>
  <si>
    <t>Transmission Deferral (MW)</t>
  </si>
  <si>
    <t>IRP17 Aeolus Trans</t>
  </si>
  <si>
    <t>Retail Revenue Requirement</t>
  </si>
  <si>
    <t>Retail Revenue Requirement
($/kW-year, 2021$)</t>
  </si>
  <si>
    <t>Transmission Deferral %</t>
  </si>
  <si>
    <t>Transmission Upgrade Capacity</t>
  </si>
  <si>
    <t>2017 $</t>
  </si>
  <si>
    <t>2020 $</t>
  </si>
  <si>
    <t>West Side</t>
  </si>
  <si>
    <t>Network Upgrade ($/MWh)</t>
  </si>
  <si>
    <t>First Year real levelized</t>
  </si>
  <si>
    <t>2017 IRP Update Wyoming Wind Resource</t>
  </si>
  <si>
    <t>Plant Costs  - 2017 IRP Update - Table 5.4 &amp; 5.5</t>
  </si>
  <si>
    <t>2021 $</t>
  </si>
  <si>
    <t>2030 $</t>
  </si>
  <si>
    <t>Network Upgrade</t>
  </si>
  <si>
    <t>2017 IRP Update Wyoming DJ Wind Resource</t>
  </si>
  <si>
    <t>2017 IRP Update Utah Wind Resource</t>
  </si>
  <si>
    <t>2036 $</t>
  </si>
  <si>
    <t>2033 $</t>
  </si>
  <si>
    <t>2017 IRP Update ID Wind Resource</t>
  </si>
  <si>
    <t>2035 $</t>
  </si>
  <si>
    <t>2017 IRP Update Walla Walla Wind Resource</t>
  </si>
  <si>
    <t>2017 IRP Update Yakima Wind Resource</t>
  </si>
  <si>
    <t>2017 IRP Update Oregon Wind Resource</t>
  </si>
  <si>
    <t>2032 $</t>
  </si>
  <si>
    <t>2017 IRP Yakima Solar Resource-2030</t>
  </si>
  <si>
    <t>2017 IRP Yakima Solar Resource-2032</t>
  </si>
  <si>
    <t>2017 IRP Yakima Solar Resource-2033</t>
  </si>
  <si>
    <t>2017 IRP Update Utah Solar Resource-2035</t>
  </si>
  <si>
    <t>2017 IRP Update Utah Solar Resource-2033</t>
  </si>
  <si>
    <t>2017 IRP Oregon Solar Resource-2030</t>
  </si>
  <si>
    <t>2017 IRP Oregon Solar Resource-2031</t>
  </si>
  <si>
    <t>2031 $</t>
  </si>
  <si>
    <t>IRP17 WYAE WindCDR2021</t>
  </si>
  <si>
    <t>IRP17 SOregonCal Solar</t>
  </si>
  <si>
    <t>IRP17 UT Wind</t>
  </si>
  <si>
    <t>IRP17 WallaW Wind</t>
  </si>
  <si>
    <t>IRP17 Yakima Wind</t>
  </si>
  <si>
    <t>IRP17 S Oregon Wind</t>
  </si>
  <si>
    <t>Supply Side tables</t>
  </si>
  <si>
    <t>IRP17 Utah South Solar T</t>
  </si>
  <si>
    <t>Year of deferral</t>
  </si>
  <si>
    <t xml:space="preserve">IRP17 Yakima Solar2030 </t>
  </si>
  <si>
    <t>IRP17 Yakima Solar2032</t>
  </si>
  <si>
    <t>IRP17 Yakima Solar2033</t>
  </si>
  <si>
    <t>IRP17 Utah South Solar T2033</t>
  </si>
  <si>
    <t>IRP17 Utah South Solar T2035</t>
  </si>
  <si>
    <t>IRP17 Utah South Solar F2035</t>
  </si>
  <si>
    <t>IRP17 SOregonCal Solar2030'</t>
  </si>
  <si>
    <t>IRP17 SOregonCal Solar2031</t>
  </si>
  <si>
    <t>IRP17 SOregonCal Solar2032</t>
  </si>
  <si>
    <t>IRP17 SOregonCal Solar2033</t>
  </si>
  <si>
    <t>IRP17 Yakima Solar2030</t>
  </si>
  <si>
    <t>if Defferred 1</t>
  </si>
  <si>
    <t>IRP17 Utah South Solar F</t>
  </si>
  <si>
    <t>IRP17 SOregonCal Solar2030</t>
  </si>
  <si>
    <t>Proration Months (based on COD of 1/11/2020)</t>
  </si>
  <si>
    <t>Proration Months_PTC (based on COD of 1/11/2020)</t>
  </si>
  <si>
    <t>Discount Rate - 2017 IRP Update</t>
  </si>
  <si>
    <t>IRP17 UT Wind 2030</t>
  </si>
  <si>
    <t>IRP17 UT Wind 2036</t>
  </si>
  <si>
    <t>IRP17 Goshen Wind 2 2030</t>
  </si>
  <si>
    <t>IRP17 Goshen Wind 2 2033</t>
  </si>
  <si>
    <t>15 Year</t>
  </si>
  <si>
    <t>15 Year Starting 2019</t>
  </si>
  <si>
    <t>20 Year Starting 2019</t>
  </si>
  <si>
    <t>Avoided Cost Prices $/MWh</t>
  </si>
  <si>
    <t>31.0% CF (2)</t>
  </si>
  <si>
    <t>Filing</t>
  </si>
  <si>
    <t>Difference</t>
  </si>
  <si>
    <t>2019-2033</t>
  </si>
  <si>
    <t>QF - Sch38 - UT - Wind</t>
  </si>
  <si>
    <t>Utah 2018.Q2_Wind</t>
  </si>
  <si>
    <t>Utah 2018.Q2 Sch 38</t>
  </si>
  <si>
    <t>Appendix B.2</t>
  </si>
  <si>
    <t>UT 2017.Q1</t>
  </si>
  <si>
    <t>UT 2017.Q2</t>
  </si>
  <si>
    <t>Table 2</t>
  </si>
  <si>
    <t>Avoided Energy Costs - Scheduled Hours ($/MWh)</t>
  </si>
  <si>
    <t>Winter Season</t>
  </si>
  <si>
    <t>Summer Season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</si>
  <si>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</si>
  <si>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</si>
  <si>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</si>
  <si>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</si>
  <si>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</si>
  <si>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</si>
  <si>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</si>
  <si>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</si>
  <si>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</si>
  <si>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</si>
  <si>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</si>
  <si>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</si>
  <si>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</si>
  <si>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Energy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</si>
</sst>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&quot;$&quot;* #,##0_);_(&quot;$&quot;* \(#,##0\);_(&quot;$&quot;* &quot;-&quot;??_);_(@_)"/>
    <numFmt numFmtId="170" formatCode="mmm\ yyyy&quot;   &quot;"/>
    <numFmt numFmtId="171" formatCode="_(* #,##0_);[Red]_(* \(#,##0\);_(* &quot;-&quot;_);_(@_)"/>
    <numFmt numFmtId="172" formatCode="_(* #,##0.00_);[Red]_(* \(#,##0.00\);_(* &quot;-&quot;_);_(@_)"/>
    <numFmt numFmtId="173" formatCode="_(* #,##0.0_);[Red]_(* \(#,##0.0\);_(* &quot;-&quot;_);_(@_)"/>
    <numFmt numFmtId="174" formatCode="0.000%"/>
    <numFmt numFmtId="175" formatCode="&quot;$&quot;###0;[Red]\(&quot;$&quot;###0\)"/>
    <numFmt numFmtId="176" formatCode="0.0"/>
    <numFmt numFmtId="177" formatCode="&quot;$&quot;#,##0.00_)\(\5\)"/>
    <numFmt numFmtId="178" formatCode="&quot;$&quot;#,##0.000_);[Red]\(&quot;$&quot;#,##0.000\)"/>
    <numFmt numFmtId="179" formatCode="#,##0\ ;\(#,##0\)"/>
    <numFmt numFmtId="180" formatCode="_(* #,##0.0000_);_(* \(#,##0.0000\);_(* &quot;-&quot;??_);_(@_)"/>
    <numFmt numFmtId="181" formatCode="_(* #,##0.000_);[Red]_(* \(#,##0.000\);_(* &quot;-&quot;_);_(@_)"/>
    <numFmt numFmtId="182" formatCode="&quot;$&quot;#,##0.00_)"/>
    <numFmt numFmtId="183" formatCode="#,##0.0000_);\(#,##0.0000\)"/>
    <numFmt numFmtId="184" formatCode="&quot;$&quot;#,##0.00_)\(\4\)"/>
  </numFmts>
  <fonts count="39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u/>
      <sz val="12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u/>
      <sz val="7.5"/>
      <color indexed="12"/>
      <name val="Arial"/>
      <family val="2"/>
    </font>
    <font>
      <b/>
      <sz val="9"/>
      <name val="CS Times"/>
    </font>
    <font>
      <sz val="9"/>
      <color indexed="12"/>
      <name val="CS Times"/>
    </font>
    <font>
      <sz val="11"/>
      <color theme="1"/>
      <name val="Times New Roman"/>
      <family val="1"/>
    </font>
    <font>
      <sz val="9"/>
      <name val="CS Times"/>
    </font>
    <font>
      <sz val="10"/>
      <color rgb="FFFF0000"/>
      <name val="Times New Roman"/>
      <family val="1"/>
    </font>
    <font>
      <sz val="10"/>
      <color rgb="FFCCECFF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2">
    <xf numFmtId="171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>
      <protection locked="0"/>
    </xf>
    <xf numFmtId="41" fontId="5" fillId="0" borderId="0"/>
    <xf numFmtId="171" fontId="5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167" fontId="3" fillId="0" borderId="0"/>
    <xf numFmtId="167" fontId="3" fillId="0" borderId="0"/>
    <xf numFmtId="41" fontId="5" fillId="0" borderId="0"/>
    <xf numFmtId="171" fontId="5" fillId="0" borderId="0"/>
    <xf numFmtId="171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24" fillId="0" borderId="0" applyFont="0" applyFill="0" applyBorder="0" applyProtection="0">
      <alignment horizontal="right"/>
    </xf>
    <xf numFmtId="176" fontId="16" fillId="0" borderId="0" applyNumberFormat="0" applyFill="0" applyBorder="0" applyAlignment="0" applyProtection="0"/>
    <xf numFmtId="0" fontId="14" fillId="0" borderId="20" applyNumberFormat="0" applyBorder="0" applyAlignment="0"/>
    <xf numFmtId="12" fontId="25" fillId="7" borderId="19">
      <alignment horizontal="left"/>
    </xf>
    <xf numFmtId="37" fontId="14" fillId="8" borderId="0" applyNumberFormat="0" applyBorder="0" applyAlignment="0" applyProtection="0"/>
    <xf numFmtId="37" fontId="14" fillId="0" borderId="0"/>
    <xf numFmtId="3" fontId="21" fillId="9" borderId="21" applyProtection="0"/>
    <xf numFmtId="171" fontId="3" fillId="0" borderId="0"/>
    <xf numFmtId="9" fontId="3" fillId="0" borderId="0" applyFont="0" applyFill="0" applyBorder="0" applyAlignment="0" applyProtection="0"/>
    <xf numFmtId="171" fontId="5" fillId="0" borderId="0"/>
    <xf numFmtId="0" fontId="3" fillId="0" borderId="0"/>
    <xf numFmtId="171" fontId="3" fillId="0" borderId="0"/>
    <xf numFmtId="0" fontId="29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3" fillId="0" borderId="0"/>
  </cellStyleXfs>
  <cellXfs count="338">
    <xf numFmtId="171" fontId="0" fillId="0" borderId="0" xfId="0"/>
    <xf numFmtId="171" fontId="6" fillId="0" borderId="0" xfId="0" applyFont="1" applyFill="1" applyAlignment="1">
      <alignment horizontal="centerContinuous"/>
    </xf>
    <xf numFmtId="171" fontId="9" fillId="0" borderId="0" xfId="0" applyFont="1" applyFill="1" applyAlignment="1">
      <alignment horizontal="centerContinuous"/>
    </xf>
    <xf numFmtId="171" fontId="5" fillId="0" borderId="0" xfId="0" applyFont="1" applyFill="1"/>
    <xf numFmtId="171" fontId="7" fillId="0" borderId="0" xfId="0" applyFont="1" applyFill="1" applyAlignment="1">
      <alignment horizontal="centerContinuous"/>
    </xf>
    <xf numFmtId="171" fontId="5" fillId="0" borderId="0" xfId="0" applyFont="1" applyFill="1" applyBorder="1"/>
    <xf numFmtId="171" fontId="5" fillId="0" borderId="0" xfId="0" applyFont="1" applyFill="1" applyAlignment="1">
      <alignment horizontal="center"/>
    </xf>
    <xf numFmtId="8" fontId="5" fillId="0" borderId="0" xfId="0" applyNumberFormat="1" applyFont="1" applyFill="1"/>
    <xf numFmtId="8" fontId="5" fillId="0" borderId="2" xfId="0" applyNumberFormat="1" applyFont="1" applyFill="1" applyBorder="1" applyAlignment="1">
      <alignment horizontal="center"/>
    </xf>
    <xf numFmtId="8" fontId="5" fillId="0" borderId="0" xfId="0" applyNumberFormat="1" applyFont="1" applyFill="1" applyBorder="1" applyAlignment="1">
      <alignment horizontal="center"/>
    </xf>
    <xf numFmtId="171" fontId="5" fillId="0" borderId="0" xfId="0" quotePrefix="1" applyFont="1" applyFill="1"/>
    <xf numFmtId="171" fontId="5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center"/>
    </xf>
    <xf numFmtId="8" fontId="5" fillId="0" borderId="8" xfId="0" applyNumberFormat="1" applyFont="1" applyFill="1" applyBorder="1" applyAlignment="1">
      <alignment horizontal="center"/>
    </xf>
    <xf numFmtId="8" fontId="5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 wrapText="1"/>
    </xf>
    <xf numFmtId="171" fontId="12" fillId="0" borderId="6" xfId="0" quotePrefix="1" applyFont="1" applyFill="1" applyBorder="1" applyAlignment="1">
      <alignment horizontal="center" wrapText="1"/>
    </xf>
    <xf numFmtId="171" fontId="12" fillId="0" borderId="6" xfId="0" applyFont="1" applyFill="1" applyBorder="1" applyAlignment="1">
      <alignment horizontal="center" wrapText="1"/>
    </xf>
    <xf numFmtId="171" fontId="4" fillId="0" borderId="0" xfId="0" applyFont="1" applyFill="1" applyAlignment="1">
      <alignment horizontal="centerContinuous"/>
    </xf>
    <xf numFmtId="171" fontId="4" fillId="0" borderId="5" xfId="0" applyFont="1" applyFill="1" applyBorder="1"/>
    <xf numFmtId="171" fontId="4" fillId="0" borderId="13" xfId="0" applyFont="1" applyFill="1" applyBorder="1" applyAlignment="1">
      <alignment horizontal="center"/>
    </xf>
    <xf numFmtId="171" fontId="4" fillId="0" borderId="6" xfId="0" applyFont="1" applyFill="1" applyBorder="1"/>
    <xf numFmtId="171" fontId="4" fillId="0" borderId="6" xfId="0" applyFont="1" applyFill="1" applyBorder="1" applyAlignment="1">
      <alignment horizontal="center"/>
    </xf>
    <xf numFmtId="8" fontId="1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71" fontId="7" fillId="0" borderId="7" xfId="0" applyFont="1" applyFill="1" applyBorder="1" applyAlignment="1">
      <alignment horizontal="centerContinuous"/>
    </xf>
    <xf numFmtId="171" fontId="14" fillId="2" borderId="0" xfId="0" applyFont="1" applyFill="1" applyAlignment="1">
      <alignment horizontal="centerContinuous"/>
    </xf>
    <xf numFmtId="171" fontId="16" fillId="2" borderId="0" xfId="0" applyFont="1" applyFill="1" applyBorder="1" applyAlignment="1">
      <alignment horizontal="centerContinuous"/>
    </xf>
    <xf numFmtId="170" fontId="14" fillId="2" borderId="0" xfId="1" applyNumberFormat="1" applyFont="1" applyFill="1" applyAlignment="1">
      <alignment horizontal="centerContinuous"/>
    </xf>
    <xf numFmtId="171" fontId="14" fillId="0" borderId="0" xfId="0" applyFont="1" applyFill="1" applyBorder="1"/>
    <xf numFmtId="171" fontId="16" fillId="0" borderId="0" xfId="0" applyFont="1" applyFill="1" applyBorder="1" applyAlignment="1">
      <alignment wrapText="1"/>
    </xf>
    <xf numFmtId="171" fontId="14" fillId="0" borderId="0" xfId="0" applyFont="1" applyFill="1" applyBorder="1" applyAlignment="1">
      <alignment horizontal="center"/>
    </xf>
    <xf numFmtId="168" fontId="14" fillId="0" borderId="0" xfId="0" applyNumberFormat="1" applyFont="1" applyFill="1" applyBorder="1"/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 horizontal="center"/>
    </xf>
    <xf numFmtId="171" fontId="4" fillId="0" borderId="0" xfId="0" applyFont="1" applyFill="1" applyBorder="1" applyAlignment="1">
      <alignment horizontal="center"/>
    </xf>
    <xf numFmtId="171" fontId="4" fillId="0" borderId="16" xfId="0" applyFont="1" applyFill="1" applyBorder="1" applyAlignment="1">
      <alignment horizontal="centerContinuous"/>
    </xf>
    <xf numFmtId="167" fontId="0" fillId="0" borderId="0" xfId="8" applyNumberFormat="1" applyFont="1" applyFill="1"/>
    <xf numFmtId="171" fontId="4" fillId="0" borderId="16" xfId="5" applyFont="1" applyFill="1" applyBorder="1" applyAlignment="1">
      <alignment horizontal="centerContinuous"/>
    </xf>
    <xf numFmtId="171" fontId="20" fillId="0" borderId="0" xfId="5" applyFont="1" applyFill="1" applyBorder="1"/>
    <xf numFmtId="2" fontId="5" fillId="0" borderId="2" xfId="0" applyNumberFormat="1" applyFont="1" applyFill="1" applyBorder="1" applyAlignment="1">
      <alignment horizontal="center"/>
    </xf>
    <xf numFmtId="8" fontId="5" fillId="0" borderId="0" xfId="0" quotePrefix="1" applyNumberFormat="1" applyFont="1" applyFill="1" applyBorder="1" applyAlignment="1">
      <alignment horizontal="center"/>
    </xf>
    <xf numFmtId="171" fontId="14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left" indent="1"/>
    </xf>
    <xf numFmtId="171" fontId="5" fillId="0" borderId="0" xfId="0" applyFont="1" applyFill="1" applyAlignment="1">
      <alignment horizontal="left" indent="1"/>
    </xf>
    <xf numFmtId="171" fontId="0" fillId="0" borderId="0" xfId="0" applyFill="1"/>
    <xf numFmtId="43" fontId="0" fillId="0" borderId="0" xfId="1" applyFont="1" applyFill="1"/>
    <xf numFmtId="171" fontId="0" fillId="0" borderId="0" xfId="0" quotePrefix="1" applyFont="1" applyFill="1"/>
    <xf numFmtId="167" fontId="5" fillId="0" borderId="0" xfId="8" applyNumberFormat="1" applyFont="1" applyFill="1" applyAlignment="1">
      <alignment horizontal="center"/>
    </xf>
    <xf numFmtId="41" fontId="5" fillId="0" borderId="0" xfId="11"/>
    <xf numFmtId="41" fontId="5" fillId="0" borderId="0" xfId="11" applyFont="1" applyFill="1"/>
    <xf numFmtId="0" fontId="0" fillId="0" borderId="0" xfId="11" applyNumberFormat="1" applyFont="1" applyFill="1" applyAlignment="1">
      <alignment horizontal="left"/>
    </xf>
    <xf numFmtId="171" fontId="3" fillId="0" borderId="0" xfId="10" applyNumberFormat="1" applyFont="1"/>
    <xf numFmtId="173" fontId="3" fillId="5" borderId="0" xfId="10" applyNumberFormat="1" applyFont="1" applyFill="1"/>
    <xf numFmtId="169" fontId="3" fillId="0" borderId="0" xfId="2" applyNumberFormat="1" applyFont="1"/>
    <xf numFmtId="10" fontId="3" fillId="0" borderId="0" xfId="8" applyNumberFormat="1" applyFont="1"/>
    <xf numFmtId="171" fontId="3" fillId="0" borderId="5" xfId="10" applyNumberFormat="1" applyFont="1" applyBorder="1"/>
    <xf numFmtId="171" fontId="3" fillId="0" borderId="7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Continuous"/>
    </xf>
    <xf numFmtId="171" fontId="3" fillId="0" borderId="4" xfId="10" applyNumberFormat="1" applyFont="1" applyBorder="1" applyAlignment="1">
      <alignment horizontal="centerContinuous"/>
    </xf>
    <xf numFmtId="171" fontId="3" fillId="0" borderId="6" xfId="10" applyNumberFormat="1" applyFont="1" applyBorder="1"/>
    <xf numFmtId="171" fontId="3" fillId="0" borderId="4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"/>
    </xf>
    <xf numFmtId="171" fontId="3" fillId="0" borderId="6" xfId="10" applyNumberFormat="1" applyFont="1" applyBorder="1" applyAlignment="1">
      <alignment horizontal="center"/>
    </xf>
    <xf numFmtId="171" fontId="3" fillId="0" borderId="9" xfId="10" applyNumberFormat="1" applyFont="1" applyBorder="1" applyAlignment="1">
      <alignment horizontal="centerContinuous"/>
    </xf>
    <xf numFmtId="171" fontId="3" fillId="0" borderId="2" xfId="10" applyNumberFormat="1" applyFont="1" applyBorder="1"/>
    <xf numFmtId="41" fontId="3" fillId="0" borderId="8" xfId="10" applyNumberFormat="1" applyFont="1" applyBorder="1"/>
    <xf numFmtId="41" fontId="3" fillId="0" borderId="11" xfId="10" applyNumberFormat="1" applyFont="1" applyBorder="1"/>
    <xf numFmtId="168" fontId="3" fillId="0" borderId="8" xfId="10" applyNumberFormat="1" applyFont="1" applyBorder="1"/>
    <xf numFmtId="0" fontId="3" fillId="0" borderId="0" xfId="10" applyNumberFormat="1" applyFont="1"/>
    <xf numFmtId="17" fontId="3" fillId="0" borderId="5" xfId="10" applyNumberFormat="1" applyFont="1" applyBorder="1" applyAlignment="1">
      <alignment horizontal="center"/>
    </xf>
    <xf numFmtId="171" fontId="3" fillId="0" borderId="0" xfId="10" applyNumberFormat="1" applyFont="1" applyBorder="1"/>
    <xf numFmtId="168" fontId="3" fillId="0" borderId="11" xfId="10" applyNumberFormat="1" applyFont="1" applyBorder="1"/>
    <xf numFmtId="171" fontId="3" fillId="0" borderId="13" xfId="10" applyNumberFormat="1" applyFont="1" applyBorder="1"/>
    <xf numFmtId="17" fontId="3" fillId="0" borderId="13" xfId="10" applyNumberFormat="1" applyFont="1" applyBorder="1" applyAlignment="1">
      <alignment horizontal="center"/>
    </xf>
    <xf numFmtId="171" fontId="3" fillId="0" borderId="1" xfId="10" applyNumberFormat="1" applyFont="1" applyBorder="1"/>
    <xf numFmtId="41" fontId="3" fillId="0" borderId="12" xfId="10" applyNumberFormat="1" applyFont="1" applyBorder="1"/>
    <xf numFmtId="168" fontId="3" fillId="0" borderId="12" xfId="10" applyNumberFormat="1" applyFont="1" applyBorder="1"/>
    <xf numFmtId="17" fontId="3" fillId="0" borderId="6" xfId="10" applyNumberFormat="1" applyFont="1" applyBorder="1" applyAlignment="1">
      <alignment horizontal="center"/>
    </xf>
    <xf numFmtId="171" fontId="3" fillId="0" borderId="0" xfId="10" applyNumberFormat="1" applyFont="1" applyAlignment="1">
      <alignment horizontal="center"/>
    </xf>
    <xf numFmtId="171" fontId="15" fillId="0" borderId="0" xfId="10" applyNumberFormat="1" applyFont="1" applyAlignment="1">
      <alignment horizontal="centerContinuous"/>
    </xf>
    <xf numFmtId="0" fontId="0" fillId="0" borderId="0" xfId="7" applyFont="1" applyFill="1" applyBorder="1" applyAlignment="1">
      <alignment horizontal="center"/>
    </xf>
    <xf numFmtId="171" fontId="0" fillId="0" borderId="0" xfId="0" applyFont="1" applyFill="1"/>
    <xf numFmtId="171" fontId="0" fillId="0" borderId="0" xfId="0" applyFont="1" applyFill="1" applyBorder="1"/>
    <xf numFmtId="1" fontId="0" fillId="0" borderId="0" xfId="6" applyNumberFormat="1" applyFont="1" applyFill="1" applyAlignment="1" applyProtection="1">
      <alignment horizontal="center"/>
      <protection locked="0"/>
    </xf>
    <xf numFmtId="171" fontId="5" fillId="0" borderId="0" xfId="10" applyNumberFormat="1" applyFont="1"/>
    <xf numFmtId="172" fontId="0" fillId="0" borderId="0" xfId="0" applyNumberFormat="1"/>
    <xf numFmtId="171" fontId="19" fillId="6" borderId="0" xfId="10" applyNumberFormat="1" applyFont="1" applyFill="1"/>
    <xf numFmtId="7" fontId="3" fillId="0" borderId="0" xfId="2" applyNumberFormat="1" applyFont="1"/>
    <xf numFmtId="171" fontId="3" fillId="0" borderId="5" xfId="10" applyNumberFormat="1" applyFont="1" applyBorder="1" applyAlignment="1">
      <alignment horizontal="center"/>
    </xf>
    <xf numFmtId="174" fontId="3" fillId="0" borderId="0" xfId="8" applyNumberFormat="1" applyFont="1"/>
    <xf numFmtId="171" fontId="8" fillId="0" borderId="0" xfId="0" applyFont="1" applyFill="1"/>
    <xf numFmtId="171" fontId="16" fillId="2" borderId="0" xfId="0" applyFont="1" applyFill="1" applyBorder="1" applyAlignment="1">
      <alignment horizontal="center"/>
    </xf>
    <xf numFmtId="14" fontId="21" fillId="3" borderId="7" xfId="0" applyNumberFormat="1" applyFont="1" applyFill="1" applyBorder="1" applyAlignment="1">
      <alignment horizontal="center"/>
    </xf>
    <xf numFmtId="171" fontId="16" fillId="2" borderId="0" xfId="0" applyFont="1" applyFill="1" applyAlignment="1">
      <alignment horizontal="centerContinuous"/>
    </xf>
    <xf numFmtId="171" fontId="8" fillId="0" borderId="0" xfId="0" applyFont="1" applyFill="1" applyBorder="1"/>
    <xf numFmtId="14" fontId="22" fillId="2" borderId="0" xfId="0" applyNumberFormat="1" applyFont="1" applyFill="1" applyBorder="1" applyAlignment="1">
      <alignment horizontal="centerContinuous" vertical="center"/>
    </xf>
    <xf numFmtId="171" fontId="8" fillId="0" borderId="0" xfId="0" applyFont="1" applyFill="1" applyBorder="1" applyAlignment="1">
      <alignment horizontal="center"/>
    </xf>
    <xf numFmtId="171" fontId="14" fillId="2" borderId="0" xfId="0" applyFont="1" applyFill="1" applyBorder="1" applyAlignment="1">
      <alignment horizontal="centerContinuous" wrapText="1"/>
    </xf>
    <xf numFmtId="171" fontId="8" fillId="0" borderId="0" xfId="0" applyFont="1" applyFill="1" applyAlignment="1">
      <alignment horizontal="center"/>
    </xf>
    <xf numFmtId="171" fontId="14" fillId="0" borderId="15" xfId="0" applyFont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171" fontId="8" fillId="4" borderId="14" xfId="0" applyFont="1" applyFill="1" applyBorder="1"/>
    <xf numFmtId="0" fontId="4" fillId="0" borderId="0" xfId="0" applyNumberFormat="1" applyFont="1" applyFill="1" applyAlignment="1"/>
    <xf numFmtId="171" fontId="15" fillId="0" borderId="0" xfId="10" applyNumberFormat="1" applyFont="1"/>
    <xf numFmtId="177" fontId="5" fillId="0" borderId="0" xfId="0" applyNumberFormat="1" applyFont="1" applyFill="1" applyBorder="1" applyAlignment="1">
      <alignment horizontal="center"/>
    </xf>
    <xf numFmtId="10" fontId="0" fillId="5" borderId="0" xfId="8" applyNumberFormat="1" applyFont="1" applyFill="1"/>
    <xf numFmtId="10" fontId="3" fillId="0" borderId="0" xfId="10" applyNumberFormat="1" applyFont="1"/>
    <xf numFmtId="167" fontId="3" fillId="5" borderId="0" xfId="8" applyNumberFormat="1" applyFont="1" applyFill="1"/>
    <xf numFmtId="171" fontId="27" fillId="0" borderId="0" xfId="0" applyFont="1"/>
    <xf numFmtId="171" fontId="27" fillId="0" borderId="7" xfId="0" applyFont="1" applyBorder="1"/>
    <xf numFmtId="167" fontId="26" fillId="0" borderId="7" xfId="24" applyNumberFormat="1" applyFont="1" applyFill="1" applyBorder="1"/>
    <xf numFmtId="171" fontId="26" fillId="0" borderId="0" xfId="0" applyFont="1"/>
    <xf numFmtId="9" fontId="26" fillId="0" borderId="0" xfId="8" applyFont="1"/>
    <xf numFmtId="43" fontId="3" fillId="0" borderId="0" xfId="10" applyNumberFormat="1" applyFont="1"/>
    <xf numFmtId="171" fontId="28" fillId="0" borderId="0" xfId="10" applyNumberFormat="1" applyFont="1"/>
    <xf numFmtId="171" fontId="6" fillId="0" borderId="0" xfId="25" applyFont="1" applyFill="1" applyAlignment="1">
      <alignment horizontal="centerContinuous"/>
    </xf>
    <xf numFmtId="171" fontId="5" fillId="0" borderId="0" xfId="25" applyFont="1" applyFill="1" applyAlignment="1">
      <alignment horizontal="centerContinuous"/>
    </xf>
    <xf numFmtId="171" fontId="5" fillId="0" borderId="0" xfId="25" applyFont="1" applyFill="1"/>
    <xf numFmtId="171" fontId="5" fillId="0" borderId="0" xfId="25" applyFont="1" applyFill="1" applyBorder="1" applyAlignment="1">
      <alignment horizontal="centerContinuous"/>
    </xf>
    <xf numFmtId="171" fontId="5" fillId="0" borderId="0" xfId="25" applyFont="1" applyFill="1" applyBorder="1"/>
    <xf numFmtId="171" fontId="4" fillId="0" borderId="5" xfId="25" applyFont="1" applyFill="1" applyBorder="1" applyAlignment="1">
      <alignment horizontal="center"/>
    </xf>
    <xf numFmtId="171" fontId="4" fillId="0" borderId="5" xfId="25" applyFont="1" applyFill="1" applyBorder="1" applyAlignment="1">
      <alignment horizontal="center" wrapText="1"/>
    </xf>
    <xf numFmtId="171" fontId="9" fillId="0" borderId="6" xfId="25" applyFont="1" applyFill="1" applyBorder="1" applyAlignment="1">
      <alignment horizontal="centerContinuous"/>
    </xf>
    <xf numFmtId="171" fontId="12" fillId="0" borderId="6" xfId="25" quotePrefix="1" applyFont="1" applyFill="1" applyBorder="1" applyAlignment="1">
      <alignment horizontal="center" wrapText="1"/>
    </xf>
    <xf numFmtId="171" fontId="12" fillId="0" borderId="6" xfId="25" applyFont="1" applyFill="1" applyBorder="1" applyAlignment="1">
      <alignment horizontal="center" wrapText="1"/>
    </xf>
    <xf numFmtId="171" fontId="8" fillId="0" borderId="0" xfId="25" quotePrefix="1" applyFont="1" applyFill="1" applyBorder="1" applyAlignment="1">
      <alignment horizontal="center"/>
    </xf>
    <xf numFmtId="0" fontId="5" fillId="0" borderId="0" xfId="25" applyNumberFormat="1" applyFont="1" applyFill="1"/>
    <xf numFmtId="6" fontId="5" fillId="0" borderId="0" xfId="25" applyNumberFormat="1" applyFont="1" applyFill="1" applyAlignment="1">
      <alignment horizontal="right"/>
    </xf>
    <xf numFmtId="8" fontId="5" fillId="0" borderId="0" xfId="25" applyNumberFormat="1" applyFont="1" applyFill="1" applyAlignment="1">
      <alignment horizontal="right"/>
    </xf>
    <xf numFmtId="8" fontId="5" fillId="0" borderId="0" xfId="25" applyNumberFormat="1" applyFont="1" applyFill="1"/>
    <xf numFmtId="8" fontId="5" fillId="0" borderId="0" xfId="25" applyNumberFormat="1" applyFont="1" applyFill="1" applyBorder="1"/>
    <xf numFmtId="178" fontId="5" fillId="0" borderId="0" xfId="25" applyNumberFormat="1" applyFont="1" applyFill="1" applyAlignment="1">
      <alignment horizontal="right"/>
    </xf>
    <xf numFmtId="165" fontId="5" fillId="0" borderId="0" xfId="25" applyNumberFormat="1" applyFont="1" applyFill="1" applyAlignment="1">
      <alignment horizontal="center"/>
    </xf>
    <xf numFmtId="171" fontId="5" fillId="0" borderId="0" xfId="25" quotePrefix="1" applyFont="1" applyFill="1"/>
    <xf numFmtId="0" fontId="5" fillId="0" borderId="0" xfId="26" applyFont="1"/>
    <xf numFmtId="14" fontId="5" fillId="0" borderId="0" xfId="27" applyNumberFormat="1" applyFont="1"/>
    <xf numFmtId="0" fontId="5" fillId="0" borderId="0" xfId="25" applyNumberFormat="1" applyFont="1" applyFill="1" applyBorder="1"/>
    <xf numFmtId="165" fontId="5" fillId="0" borderId="0" xfId="25" applyNumberFormat="1" applyFont="1" applyFill="1" applyBorder="1" applyAlignment="1">
      <alignment horizontal="center"/>
    </xf>
    <xf numFmtId="8" fontId="5" fillId="0" borderId="0" xfId="25" applyNumberFormat="1" applyFont="1" applyFill="1" applyBorder="1" applyAlignment="1">
      <alignment horizontal="right"/>
    </xf>
    <xf numFmtId="8" fontId="5" fillId="0" borderId="0" xfId="25" applyNumberFormat="1" applyFont="1" applyFill="1" applyAlignment="1">
      <alignment horizontal="center"/>
    </xf>
    <xf numFmtId="171" fontId="7" fillId="0" borderId="0" xfId="25" applyFont="1" applyFill="1" applyAlignment="1">
      <alignment horizontal="centerContinuous"/>
    </xf>
    <xf numFmtId="171" fontId="4" fillId="0" borderId="0" xfId="25" applyFont="1" applyFill="1" applyAlignment="1">
      <alignment horizontal="centerContinuous"/>
    </xf>
    <xf numFmtId="171" fontId="5" fillId="0" borderId="0" xfId="25" applyFont="1" applyFill="1" applyAlignment="1">
      <alignment horizontal="center"/>
    </xf>
    <xf numFmtId="41" fontId="5" fillId="0" borderId="0" xfId="4" applyFont="1" applyFill="1"/>
    <xf numFmtId="171" fontId="4" fillId="0" borderId="17" xfId="25" applyFont="1" applyFill="1" applyBorder="1" applyAlignment="1">
      <alignment horizontal="centerContinuous"/>
    </xf>
    <xf numFmtId="171" fontId="5" fillId="0" borderId="17" xfId="25" applyFont="1" applyFill="1" applyBorder="1"/>
    <xf numFmtId="171" fontId="5" fillId="0" borderId="18" xfId="25" applyFont="1" applyFill="1" applyBorder="1"/>
    <xf numFmtId="171" fontId="4" fillId="0" borderId="16" xfId="25" applyFont="1" applyFill="1" applyBorder="1" applyAlignment="1">
      <alignment horizontal="center"/>
    </xf>
    <xf numFmtId="171" fontId="4" fillId="0" borderId="17" xfId="5" applyFont="1" applyFill="1" applyBorder="1" applyAlignment="1">
      <alignment horizontal="centerContinuous"/>
    </xf>
    <xf numFmtId="171" fontId="5" fillId="0" borderId="17" xfId="25" applyFont="1" applyFill="1" applyBorder="1" applyAlignment="1">
      <alignment horizontal="centerContinuous"/>
    </xf>
    <xf numFmtId="8" fontId="5" fillId="0" borderId="0" xfId="2" applyNumberFormat="1" applyFont="1" applyFill="1"/>
    <xf numFmtId="179" fontId="29" fillId="0" borderId="0" xfId="28" applyNumberFormat="1" applyAlignment="1" applyProtection="1"/>
    <xf numFmtId="1" fontId="5" fillId="0" borderId="0" xfId="6" applyNumberFormat="1" applyFont="1" applyFill="1" applyAlignment="1" applyProtection="1">
      <alignment horizontal="center"/>
      <protection locked="0"/>
    </xf>
    <xf numFmtId="179" fontId="30" fillId="0" borderId="0" xfId="0" applyNumberFormat="1" applyFont="1"/>
    <xf numFmtId="172" fontId="4" fillId="0" borderId="0" xfId="25" applyNumberFormat="1" applyFont="1" applyFill="1"/>
    <xf numFmtId="172" fontId="5" fillId="0" borderId="0" xfId="25" applyNumberFormat="1" applyFont="1" applyFill="1"/>
    <xf numFmtId="167" fontId="5" fillId="0" borderId="0" xfId="8" applyNumberFormat="1" applyFont="1" applyFill="1"/>
    <xf numFmtId="164" fontId="5" fillId="0" borderId="0" xfId="25" applyNumberFormat="1" applyFont="1" applyFill="1"/>
    <xf numFmtId="174" fontId="5" fillId="0" borderId="0" xfId="25" applyNumberFormat="1" applyFont="1" applyFill="1" applyBorder="1"/>
    <xf numFmtId="0" fontId="0" fillId="0" borderId="0" xfId="0" applyNumberFormat="1" applyFont="1"/>
    <xf numFmtId="44" fontId="26" fillId="0" borderId="0" xfId="2" applyFont="1" applyFill="1"/>
    <xf numFmtId="174" fontId="31" fillId="0" borderId="0" xfId="0" applyNumberFormat="1" applyFont="1" applyFill="1" applyProtection="1">
      <protection locked="0"/>
    </xf>
    <xf numFmtId="9" fontId="5" fillId="0" borderId="0" xfId="25" applyNumberFormat="1" applyFont="1" applyFill="1"/>
    <xf numFmtId="43" fontId="5" fillId="0" borderId="0" xfId="2" applyNumberFormat="1" applyFont="1" applyFill="1"/>
    <xf numFmtId="167" fontId="5" fillId="0" borderId="0" xfId="25" applyNumberFormat="1" applyFont="1" applyFill="1"/>
    <xf numFmtId="43" fontId="5" fillId="0" borderId="0" xfId="25" applyNumberFormat="1" applyFont="1" applyFill="1" applyBorder="1" applyAlignment="1">
      <alignment horizontal="right"/>
    </xf>
    <xf numFmtId="10" fontId="5" fillId="0" borderId="0" xfId="8" applyNumberFormat="1" applyFont="1" applyFill="1"/>
    <xf numFmtId="172" fontId="5" fillId="0" borderId="0" xfId="25" applyNumberFormat="1" applyFont="1" applyFill="1" applyBorder="1"/>
    <xf numFmtId="171" fontId="5" fillId="0" borderId="0" xfId="25" applyNumberFormat="1" applyFont="1" applyFill="1"/>
    <xf numFmtId="171" fontId="5" fillId="0" borderId="0" xfId="25" applyNumberFormat="1" applyFont="1" applyFill="1" applyAlignment="1">
      <alignment horizontal="right"/>
    </xf>
    <xf numFmtId="171" fontId="5" fillId="0" borderId="0" xfId="6" applyNumberFormat="1" applyFont="1" applyFill="1" applyAlignment="1" applyProtection="1">
      <alignment horizontal="center"/>
      <protection locked="0"/>
    </xf>
    <xf numFmtId="171" fontId="5" fillId="0" borderId="0" xfId="25" applyNumberFormat="1" applyFont="1" applyFill="1" applyBorder="1"/>
    <xf numFmtId="43" fontId="5" fillId="0" borderId="0" xfId="25" applyNumberFormat="1" applyFont="1" applyFill="1" applyAlignment="1">
      <alignment horizontal="right"/>
    </xf>
    <xf numFmtId="174" fontId="30" fillId="0" borderId="0" xfId="8" applyNumberFormat="1" applyFont="1"/>
    <xf numFmtId="2" fontId="5" fillId="0" borderId="0" xfId="6" applyNumberFormat="1" applyFont="1" applyFill="1" applyAlignment="1" applyProtection="1">
      <alignment horizontal="center"/>
      <protection locked="0"/>
    </xf>
    <xf numFmtId="171" fontId="4" fillId="0" borderId="0" xfId="25" applyFont="1" applyFill="1" applyBorder="1" applyAlignment="1">
      <alignment horizontal="center" wrapText="1"/>
    </xf>
    <xf numFmtId="172" fontId="3" fillId="0" borderId="0" xfId="10" applyNumberFormat="1" applyFont="1"/>
    <xf numFmtId="0" fontId="5" fillId="0" borderId="0" xfId="0" applyNumberFormat="1" applyFont="1" applyFill="1" applyBorder="1" applyAlignment="1">
      <alignment horizontal="center"/>
    </xf>
    <xf numFmtId="171" fontId="4" fillId="0" borderId="0" xfId="0" applyFont="1" applyAlignment="1">
      <alignment horizontal="left"/>
    </xf>
    <xf numFmtId="167" fontId="0" fillId="0" borderId="0" xfId="8" applyNumberFormat="1" applyFont="1"/>
    <xf numFmtId="171" fontId="26" fillId="0" borderId="0" xfId="0" applyFont="1" applyFill="1"/>
    <xf numFmtId="6" fontId="5" fillId="6" borderId="0" xfId="2" applyNumberFormat="1" applyFont="1" applyFill="1"/>
    <xf numFmtId="9" fontId="5" fillId="6" borderId="0" xfId="25" applyNumberFormat="1" applyFont="1" applyFill="1"/>
    <xf numFmtId="171" fontId="0" fillId="0" borderId="0" xfId="0" applyNumberFormat="1"/>
    <xf numFmtId="171" fontId="5" fillId="0" borderId="1" xfId="0" applyFont="1" applyFill="1" applyBorder="1" applyAlignment="1">
      <alignment horizontal="center"/>
    </xf>
    <xf numFmtId="171" fontId="5" fillId="0" borderId="1" xfId="0" quotePrefix="1" applyFont="1" applyFill="1" applyBorder="1" applyAlignment="1">
      <alignment horizontal="center"/>
    </xf>
    <xf numFmtId="171" fontId="3" fillId="0" borderId="0" xfId="10" applyNumberFormat="1" applyFont="1" applyAlignment="1">
      <alignment horizontal="left" vertical="top"/>
    </xf>
    <xf numFmtId="180" fontId="3" fillId="0" borderId="0" xfId="10" applyNumberFormat="1" applyFont="1"/>
    <xf numFmtId="171" fontId="3" fillId="0" borderId="0" xfId="10" applyNumberFormat="1" applyFont="1" applyFill="1"/>
    <xf numFmtId="173" fontId="0" fillId="0" borderId="0" xfId="0" applyNumberFormat="1"/>
    <xf numFmtId="171" fontId="3" fillId="10" borderId="0" xfId="10" applyNumberFormat="1" applyFont="1" applyFill="1" applyBorder="1"/>
    <xf numFmtId="41" fontId="3" fillId="10" borderId="11" xfId="10" applyNumberFormat="1" applyFont="1" applyFill="1" applyBorder="1"/>
    <xf numFmtId="168" fontId="3" fillId="10" borderId="11" xfId="10" applyNumberFormat="1" applyFont="1" applyFill="1" applyBorder="1"/>
    <xf numFmtId="171" fontId="3" fillId="10" borderId="1" xfId="10" applyNumberFormat="1" applyFont="1" applyFill="1" applyBorder="1"/>
    <xf numFmtId="41" fontId="3" fillId="10" borderId="12" xfId="10" applyNumberFormat="1" applyFont="1" applyFill="1" applyBorder="1"/>
    <xf numFmtId="168" fontId="3" fillId="10" borderId="12" xfId="10" applyNumberFormat="1" applyFont="1" applyFill="1" applyBorder="1"/>
    <xf numFmtId="171" fontId="3" fillId="10" borderId="2" xfId="10" applyNumberFormat="1" applyFont="1" applyFill="1" applyBorder="1"/>
    <xf numFmtId="41" fontId="3" fillId="10" borderId="8" xfId="10" applyNumberFormat="1" applyFont="1" applyFill="1" applyBorder="1"/>
    <xf numFmtId="168" fontId="3" fillId="10" borderId="8" xfId="10" applyNumberFormat="1" applyFont="1" applyFill="1" applyBorder="1"/>
    <xf numFmtId="6" fontId="5" fillId="0" borderId="0" xfId="26" applyNumberFormat="1" applyFont="1"/>
    <xf numFmtId="181" fontId="5" fillId="0" borderId="0" xfId="25" applyNumberFormat="1" applyFont="1" applyFill="1"/>
    <xf numFmtId="43" fontId="5" fillId="0" borderId="0" xfId="29" applyFont="1" applyFill="1"/>
    <xf numFmtId="0" fontId="5" fillId="0" borderId="0" xfId="25" applyNumberFormat="1" applyFont="1" applyFill="1" applyBorder="1" applyAlignment="1">
      <alignment horizontal="right"/>
    </xf>
    <xf numFmtId="171" fontId="32" fillId="0" borderId="0" xfId="0" applyFont="1" applyAlignment="1">
      <alignment horizontal="center"/>
    </xf>
    <xf numFmtId="171" fontId="4" fillId="0" borderId="0" xfId="0" applyFont="1" applyAlignment="1">
      <alignment vertical="top" wrapText="1"/>
    </xf>
    <xf numFmtId="171" fontId="4" fillId="0" borderId="0" xfId="0" applyFont="1" applyAlignment="1">
      <alignment horizontal="left" vertical="top" wrapText="1"/>
    </xf>
    <xf numFmtId="17" fontId="3" fillId="10" borderId="0" xfId="10" applyNumberFormat="1" applyFont="1" applyFill="1"/>
    <xf numFmtId="17" fontId="3" fillId="10" borderId="5" xfId="10" applyNumberFormat="1" applyFont="1" applyFill="1" applyBorder="1" applyAlignment="1">
      <alignment horizontal="center"/>
    </xf>
    <xf numFmtId="17" fontId="3" fillId="10" borderId="13" xfId="10" applyNumberFormat="1" applyFont="1" applyFill="1" applyBorder="1" applyAlignment="1">
      <alignment horizontal="center"/>
    </xf>
    <xf numFmtId="17" fontId="3" fillId="10" borderId="6" xfId="10" applyNumberFormat="1" applyFont="1" applyFill="1" applyBorder="1" applyAlignment="1">
      <alignment horizontal="center"/>
    </xf>
    <xf numFmtId="171" fontId="5" fillId="0" borderId="0" xfId="0" applyFont="1" applyFill="1" applyAlignment="1">
      <alignment horizontal="left" vertical="top" wrapText="1"/>
    </xf>
    <xf numFmtId="167" fontId="0" fillId="0" borderId="7" xfId="1" applyNumberFormat="1" applyFont="1" applyBorder="1"/>
    <xf numFmtId="182" fontId="5" fillId="0" borderId="0" xfId="0" applyNumberFormat="1" applyFont="1" applyFill="1" applyBorder="1" applyAlignment="1">
      <alignment horizontal="center"/>
    </xf>
    <xf numFmtId="8" fontId="5" fillId="0" borderId="0" xfId="25" applyNumberFormat="1" applyFont="1" applyFill="1" applyAlignment="1">
      <alignment horizontal="right" vertical="center"/>
    </xf>
    <xf numFmtId="171" fontId="15" fillId="0" borderId="0" xfId="10" applyNumberFormat="1" applyFont="1" applyAlignment="1">
      <alignment horizontal="right"/>
    </xf>
    <xf numFmtId="171" fontId="0" fillId="0" borderId="0" xfId="0" applyAlignment="1">
      <alignment wrapText="1"/>
    </xf>
    <xf numFmtId="179" fontId="33" fillId="0" borderId="0" xfId="0" applyNumberFormat="1" applyFont="1"/>
    <xf numFmtId="171" fontId="34" fillId="0" borderId="0" xfId="25" applyFont="1" applyFill="1"/>
    <xf numFmtId="9" fontId="34" fillId="0" borderId="0" xfId="8" applyFont="1" applyFill="1"/>
    <xf numFmtId="172" fontId="5" fillId="0" borderId="0" xfId="25" applyNumberFormat="1" applyFont="1" applyFill="1" applyAlignment="1">
      <alignment horizontal="right"/>
    </xf>
    <xf numFmtId="43" fontId="5" fillId="0" borderId="0" xfId="25" applyNumberFormat="1" applyFont="1" applyFill="1"/>
    <xf numFmtId="9" fontId="34" fillId="0" borderId="0" xfId="25" applyNumberFormat="1" applyFont="1" applyFill="1"/>
    <xf numFmtId="179" fontId="30" fillId="0" borderId="0" xfId="0" applyNumberFormat="1" applyFont="1" applyFill="1"/>
    <xf numFmtId="174" fontId="30" fillId="0" borderId="0" xfId="8" applyNumberFormat="1" applyFont="1" applyFill="1"/>
    <xf numFmtId="171" fontId="5" fillId="0" borderId="0" xfId="0" applyFont="1" applyFill="1" applyAlignment="1">
      <alignment wrapText="1"/>
    </xf>
    <xf numFmtId="171" fontId="5" fillId="0" borderId="0" xfId="0" applyFont="1" applyFill="1" applyAlignment="1">
      <alignment horizontal="center" wrapText="1"/>
    </xf>
    <xf numFmtId="171" fontId="5" fillId="0" borderId="0" xfId="0" applyFont="1" applyFill="1" applyBorder="1" applyAlignment="1">
      <alignment horizontal="center" wrapText="1"/>
    </xf>
    <xf numFmtId="171" fontId="4" fillId="0" borderId="0" xfId="0" applyFont="1" applyFill="1" applyBorder="1" applyAlignment="1">
      <alignment horizontal="center" wrapText="1"/>
    </xf>
    <xf numFmtId="167" fontId="5" fillId="0" borderId="0" xfId="8" applyNumberFormat="1" applyFont="1" applyFill="1" applyAlignment="1">
      <alignment horizontal="center" wrapText="1"/>
    </xf>
    <xf numFmtId="2" fontId="5" fillId="0" borderId="0" xfId="0" applyNumberFormat="1" applyFont="1" applyFill="1" applyAlignment="1">
      <alignment horizontal="center" wrapText="1"/>
    </xf>
    <xf numFmtId="171" fontId="0" fillId="0" borderId="0" xfId="0" applyFill="1" applyAlignment="1">
      <alignment wrapText="1"/>
    </xf>
    <xf numFmtId="171" fontId="27" fillId="0" borderId="6" xfId="0" applyFont="1" applyBorder="1" applyAlignment="1">
      <alignment horizontal="center" wrapText="1"/>
    </xf>
    <xf numFmtId="171" fontId="26" fillId="0" borderId="6" xfId="0" applyFont="1" applyFill="1" applyBorder="1" applyAlignment="1">
      <alignment horizontal="center" wrapText="1"/>
    </xf>
    <xf numFmtId="167" fontId="5" fillId="6" borderId="0" xfId="25" applyNumberFormat="1" applyFont="1" applyFill="1"/>
    <xf numFmtId="171" fontId="0" fillId="0" borderId="0" xfId="0" applyAlignment="1">
      <alignment wrapText="1"/>
    </xf>
    <xf numFmtId="8" fontId="5" fillId="0" borderId="0" xfId="8" applyNumberFormat="1" applyFont="1" applyFill="1"/>
    <xf numFmtId="171" fontId="0" fillId="0" borderId="0" xfId="0" applyAlignment="1">
      <alignment wrapText="1"/>
    </xf>
    <xf numFmtId="183" fontId="0" fillId="0" borderId="0" xfId="1" applyNumberFormat="1" applyFont="1"/>
    <xf numFmtId="171" fontId="0" fillId="11" borderId="0" xfId="0" applyFill="1" applyAlignment="1">
      <alignment wrapText="1"/>
    </xf>
    <xf numFmtId="167" fontId="23" fillId="0" borderId="0" xfId="8" applyNumberFormat="1" applyFont="1" applyFill="1" applyAlignment="1">
      <alignment wrapText="1"/>
    </xf>
    <xf numFmtId="171" fontId="15" fillId="0" borderId="7" xfId="23" applyFont="1" applyFill="1" applyBorder="1" applyAlignment="1">
      <alignment horizontal="center" wrapText="1"/>
    </xf>
    <xf numFmtId="171" fontId="4" fillId="0" borderId="0" xfId="0" applyFont="1" applyAlignment="1">
      <alignment wrapText="1"/>
    </xf>
    <xf numFmtId="171" fontId="5" fillId="0" borderId="0" xfId="25" applyFont="1" applyFill="1" applyAlignment="1">
      <alignment wrapText="1"/>
    </xf>
    <xf numFmtId="171" fontId="0" fillId="0" borderId="0" xfId="0" applyAlignment="1">
      <alignment wrapText="1"/>
    </xf>
    <xf numFmtId="171" fontId="0" fillId="12" borderId="0" xfId="0" applyFill="1" applyAlignment="1">
      <alignment wrapText="1"/>
    </xf>
    <xf numFmtId="173" fontId="5" fillId="0" borderId="0" xfId="0" applyNumberFormat="1" applyFont="1" applyFill="1"/>
    <xf numFmtId="171" fontId="0" fillId="0" borderId="0" xfId="0" applyAlignment="1">
      <alignment wrapText="1"/>
    </xf>
    <xf numFmtId="41" fontId="6" fillId="0" borderId="0" xfId="11" applyFont="1" applyFill="1" applyAlignment="1">
      <alignment horizontal="centerContinuous"/>
    </xf>
    <xf numFmtId="41" fontId="9" fillId="0" borderId="0" xfId="11" applyFont="1" applyFill="1" applyAlignment="1">
      <alignment horizontal="centerContinuous"/>
    </xf>
    <xf numFmtId="41" fontId="5" fillId="0" borderId="0" xfId="11" applyFont="1" applyFill="1" applyAlignment="1">
      <alignment horizontal="centerContinuous"/>
    </xf>
    <xf numFmtId="41" fontId="5" fillId="0" borderId="0" xfId="11" applyFont="1" applyFill="1" applyBorder="1"/>
    <xf numFmtId="41" fontId="7" fillId="0" borderId="0" xfId="11" applyFont="1" applyFill="1" applyAlignment="1">
      <alignment horizontal="centerContinuous"/>
    </xf>
    <xf numFmtId="41" fontId="5" fillId="0" borderId="0" xfId="11" applyFont="1" applyFill="1" applyAlignment="1">
      <alignment horizontal="center"/>
    </xf>
    <xf numFmtId="17" fontId="5" fillId="0" borderId="0" xfId="11" applyNumberFormat="1" applyFont="1" applyFill="1" applyAlignment="1">
      <alignment horizontal="center"/>
    </xf>
    <xf numFmtId="9" fontId="5" fillId="0" borderId="0" xfId="8" applyFont="1" applyFill="1" applyAlignment="1">
      <alignment horizontal="center"/>
    </xf>
    <xf numFmtId="17" fontId="5" fillId="0" borderId="0" xfId="11" applyNumberFormat="1" applyFont="1" applyFill="1" applyBorder="1" applyAlignment="1"/>
    <xf numFmtId="0" fontId="5" fillId="0" borderId="0" xfId="7" applyFont="1" applyFill="1" applyBorder="1" applyAlignment="1">
      <alignment horizontal="center"/>
    </xf>
    <xf numFmtId="41" fontId="5" fillId="0" borderId="0" xfId="11" quotePrefix="1" applyFont="1" applyFill="1" applyAlignment="1">
      <alignment horizontal="center" vertical="top"/>
    </xf>
    <xf numFmtId="41" fontId="5" fillId="0" borderId="0" xfId="11" applyFont="1" applyFill="1" applyBorder="1" applyAlignment="1">
      <alignment horizontal="center"/>
    </xf>
    <xf numFmtId="41" fontId="5" fillId="0" borderId="0" xfId="11" applyFont="1" applyFill="1" applyAlignment="1"/>
    <xf numFmtId="0" fontId="5" fillId="0" borderId="22" xfId="11" applyNumberFormat="1" applyFont="1" applyFill="1" applyBorder="1" applyAlignment="1">
      <alignment horizontal="center"/>
    </xf>
    <xf numFmtId="8" fontId="5" fillId="0" borderId="2" xfId="11" applyNumberFormat="1" applyFont="1" applyFill="1" applyBorder="1" applyAlignment="1">
      <alignment horizontal="center"/>
    </xf>
    <xf numFmtId="8" fontId="5" fillId="0" borderId="8" xfId="11" applyNumberFormat="1" applyFont="1" applyFill="1" applyBorder="1" applyAlignment="1">
      <alignment horizontal="center"/>
    </xf>
    <xf numFmtId="168" fontId="35" fillId="0" borderId="0" xfId="11" applyNumberFormat="1" applyFont="1" applyFill="1" applyBorder="1" applyAlignment="1">
      <alignment horizontal="centerContinuous"/>
    </xf>
    <xf numFmtId="0" fontId="5" fillId="0" borderId="10" xfId="11" applyNumberFormat="1" applyFont="1" applyFill="1" applyBorder="1" applyAlignment="1">
      <alignment horizontal="center"/>
    </xf>
    <xf numFmtId="8" fontId="5" fillId="0" borderId="0" xfId="11" applyNumberFormat="1" applyFont="1" applyFill="1" applyBorder="1" applyAlignment="1">
      <alignment horizontal="center"/>
    </xf>
    <xf numFmtId="8" fontId="5" fillId="0" borderId="11" xfId="11" applyNumberFormat="1" applyFont="1" applyFill="1" applyBorder="1" applyAlignment="1">
      <alignment horizontal="center"/>
    </xf>
    <xf numFmtId="0" fontId="5" fillId="0" borderId="23" xfId="11" applyNumberFormat="1" applyFont="1" applyFill="1" applyBorder="1" applyAlignment="1">
      <alignment horizontal="center"/>
    </xf>
    <xf numFmtId="8" fontId="5" fillId="0" borderId="1" xfId="11" applyNumberFormat="1" applyFont="1" applyFill="1" applyBorder="1" applyAlignment="1">
      <alignment horizontal="center"/>
    </xf>
    <xf numFmtId="8" fontId="5" fillId="0" borderId="12" xfId="11" applyNumberFormat="1" applyFont="1" applyFill="1" applyBorder="1" applyAlignment="1">
      <alignment horizontal="center"/>
    </xf>
    <xf numFmtId="41" fontId="23" fillId="0" borderId="0" xfId="11" applyFont="1" applyFill="1"/>
    <xf numFmtId="41" fontId="5" fillId="0" borderId="0" xfId="11" applyFont="1" applyFill="1" applyAlignment="1">
      <alignment horizontal="left" indent="1"/>
    </xf>
    <xf numFmtId="184" fontId="5" fillId="0" borderId="0" xfId="11" applyNumberFormat="1" applyFont="1" applyFill="1" applyBorder="1" applyAlignment="1">
      <alignment horizontal="center"/>
    </xf>
    <xf numFmtId="174" fontId="23" fillId="0" borderId="0" xfId="8" applyNumberFormat="1" applyFont="1" applyFill="1"/>
    <xf numFmtId="10" fontId="5" fillId="0" borderId="0" xfId="8" applyNumberFormat="1" applyFont="1" applyFill="1" applyAlignment="1">
      <alignment horizontal="left" indent="1"/>
    </xf>
    <xf numFmtId="167" fontId="5" fillId="0" borderId="0" xfId="8" applyNumberFormat="1" applyFont="1" applyFill="1" applyBorder="1" applyAlignment="1">
      <alignment horizontal="center"/>
    </xf>
    <xf numFmtId="8" fontId="5" fillId="0" borderId="0" xfId="11" applyNumberFormat="1"/>
    <xf numFmtId="39" fontId="5" fillId="0" borderId="0" xfId="31" quotePrefix="1" applyNumberFormat="1" applyFont="1" applyFill="1" applyBorder="1" applyAlignment="1">
      <alignment horizontal="center"/>
    </xf>
    <xf numFmtId="39" fontId="5" fillId="0" borderId="0" xfId="11" applyNumberFormat="1" applyFont="1" applyFill="1" applyBorder="1" applyAlignment="1">
      <alignment horizontal="center"/>
    </xf>
    <xf numFmtId="43" fontId="5" fillId="0" borderId="0" xfId="1" applyFont="1" applyFill="1"/>
    <xf numFmtId="2" fontId="5" fillId="0" borderId="0" xfId="11" applyNumberFormat="1" applyFont="1" applyFill="1" applyAlignment="1">
      <alignment horizontal="center"/>
    </xf>
    <xf numFmtId="8" fontId="5" fillId="0" borderId="0" xfId="11" applyNumberFormat="1" applyFont="1" applyFill="1"/>
    <xf numFmtId="171" fontId="5" fillId="0" borderId="0" xfId="0" applyFont="1" applyFill="1" applyAlignment="1">
      <alignment horizontal="center"/>
    </xf>
    <xf numFmtId="0" fontId="5" fillId="0" borderId="0" xfId="26" applyFont="1" applyFill="1"/>
    <xf numFmtId="14" fontId="5" fillId="0" borderId="0" xfId="27" applyNumberFormat="1" applyFont="1" applyFill="1"/>
    <xf numFmtId="6" fontId="5" fillId="0" borderId="0" xfId="2" applyNumberFormat="1" applyFont="1" applyFill="1"/>
    <xf numFmtId="179" fontId="29" fillId="0" borderId="0" xfId="28" applyNumberFormat="1" applyFill="1" applyAlignment="1" applyProtection="1"/>
    <xf numFmtId="0" fontId="0" fillId="0" borderId="0" xfId="0" applyNumberFormat="1" applyFont="1" applyFill="1"/>
    <xf numFmtId="171" fontId="36" fillId="0" borderId="0" xfId="0" applyFont="1" applyFill="1" applyAlignment="1">
      <alignment horizontal="centerContinuous"/>
    </xf>
    <xf numFmtId="171" fontId="37" fillId="0" borderId="0" xfId="0" applyFont="1" applyFill="1" applyAlignment="1">
      <alignment horizontal="centerContinuous"/>
    </xf>
    <xf numFmtId="171" fontId="6" fillId="0" borderId="0" xfId="0" applyFont="1" applyFill="1" applyBorder="1" applyAlignment="1">
      <alignment horizontal="centerContinuous"/>
    </xf>
    <xf numFmtId="171" fontId="36" fillId="0" borderId="0" xfId="0" applyFont="1" applyFill="1"/>
    <xf numFmtId="171" fontId="7" fillId="0" borderId="0" xfId="0" applyFont="1" applyFill="1" applyBorder="1" applyAlignment="1">
      <alignment horizontal="centerContinuous"/>
    </xf>
    <xf numFmtId="171" fontId="37" fillId="0" borderId="0" xfId="0" applyFont="1" applyFill="1"/>
    <xf numFmtId="171" fontId="5" fillId="0" borderId="0" xfId="0" quotePrefix="1" applyFont="1" applyFill="1" applyBorder="1" applyAlignment="1">
      <alignment horizontal="center"/>
    </xf>
    <xf numFmtId="8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Border="1" applyAlignment="1">
      <alignment horizontal="left"/>
    </xf>
    <xf numFmtId="171" fontId="5" fillId="0" borderId="22" xfId="0" applyFont="1" applyFill="1" applyBorder="1" applyAlignment="1">
      <alignment horizontal="center"/>
    </xf>
    <xf numFmtId="171" fontId="5" fillId="0" borderId="5" xfId="0" applyFont="1" applyFill="1" applyBorder="1" applyAlignment="1">
      <alignment horizontal="centerContinuous"/>
    </xf>
    <xf numFmtId="171" fontId="5" fillId="0" borderId="5" xfId="0" quotePrefix="1" applyFont="1" applyFill="1" applyBorder="1" applyAlignment="1">
      <alignment horizontal="centerContinuous"/>
    </xf>
    <xf numFmtId="171" fontId="5" fillId="0" borderId="4" xfId="0" applyFont="1" applyFill="1" applyBorder="1" applyAlignment="1">
      <alignment horizontal="centerContinuous"/>
    </xf>
    <xf numFmtId="171" fontId="5" fillId="0" borderId="7" xfId="0" applyFont="1" applyFill="1" applyBorder="1" applyAlignment="1">
      <alignment horizontal="centerContinuous"/>
    </xf>
    <xf numFmtId="171" fontId="5" fillId="0" borderId="3" xfId="0" applyFont="1" applyFill="1" applyBorder="1" applyAlignment="1">
      <alignment horizontal="centerContinuous"/>
    </xf>
    <xf numFmtId="171" fontId="5" fillId="0" borderId="22" xfId="0" applyFont="1" applyFill="1" applyBorder="1" applyAlignment="1">
      <alignment horizontal="centerContinuous"/>
    </xf>
    <xf numFmtId="171" fontId="5" fillId="0" borderId="2" xfId="0" applyFont="1" applyFill="1" applyBorder="1" applyAlignment="1">
      <alignment horizontal="centerContinuous"/>
    </xf>
    <xf numFmtId="171" fontId="5" fillId="0" borderId="8" xfId="0" applyFont="1" applyFill="1" applyBorder="1" applyAlignment="1">
      <alignment horizontal="centerContinuous"/>
    </xf>
    <xf numFmtId="171" fontId="5" fillId="0" borderId="23" xfId="0" applyFont="1" applyFill="1" applyBorder="1" applyAlignment="1">
      <alignment horizontal="center"/>
    </xf>
    <xf numFmtId="171" fontId="5" fillId="0" borderId="3" xfId="0" applyFont="1" applyFill="1" applyBorder="1" applyAlignment="1">
      <alignment horizontal="center"/>
    </xf>
    <xf numFmtId="171" fontId="5" fillId="0" borderId="9" xfId="0" applyFont="1" applyFill="1" applyBorder="1" applyAlignment="1">
      <alignment horizontal="center"/>
    </xf>
    <xf numFmtId="171" fontId="5" fillId="0" borderId="4" xfId="0" applyFont="1" applyFill="1" applyBorder="1" applyAlignment="1">
      <alignment horizontal="center"/>
    </xf>
    <xf numFmtId="171" fontId="5" fillId="0" borderId="0" xfId="0" quotePrefix="1" applyFont="1" applyFill="1" applyBorder="1"/>
    <xf numFmtId="171" fontId="4" fillId="0" borderId="0" xfId="0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center"/>
    </xf>
    <xf numFmtId="8" fontId="5" fillId="0" borderId="5" xfId="0" applyNumberFormat="1" applyFont="1" applyFill="1" applyBorder="1"/>
    <xf numFmtId="8" fontId="5" fillId="13" borderId="22" xfId="0" applyNumberFormat="1" applyFont="1" applyFill="1" applyBorder="1" applyAlignment="1">
      <alignment horizontal="center"/>
    </xf>
    <xf numFmtId="8" fontId="5" fillId="13" borderId="2" xfId="0" applyNumberFormat="1" applyFont="1" applyFill="1" applyBorder="1" applyAlignment="1">
      <alignment horizontal="center"/>
    </xf>
    <xf numFmtId="8" fontId="5" fillId="13" borderId="8" xfId="0" applyNumberFormat="1" applyFont="1" applyFill="1" applyBorder="1" applyAlignment="1">
      <alignment horizontal="center"/>
    </xf>
    <xf numFmtId="43" fontId="5" fillId="0" borderId="13" xfId="0" applyNumberFormat="1" applyFont="1" applyFill="1" applyBorder="1"/>
    <xf numFmtId="43" fontId="5" fillId="0" borderId="0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43" fontId="5" fillId="0" borderId="6" xfId="0" applyNumberFormat="1" applyFont="1" applyFill="1" applyBorder="1"/>
    <xf numFmtId="43" fontId="5" fillId="0" borderId="1" xfId="0" applyNumberFormat="1" applyFont="1" applyFill="1" applyBorder="1" applyAlignment="1">
      <alignment horizontal="center"/>
    </xf>
    <xf numFmtId="43" fontId="5" fillId="0" borderId="12" xfId="0" applyNumberFormat="1" applyFont="1" applyFill="1" applyBorder="1" applyAlignment="1">
      <alignment horizontal="center"/>
    </xf>
    <xf numFmtId="43" fontId="5" fillId="0" borderId="23" xfId="0" applyNumberFormat="1" applyFont="1" applyFill="1" applyBorder="1" applyAlignment="1">
      <alignment horizontal="center"/>
    </xf>
    <xf numFmtId="171" fontId="5" fillId="0" borderId="0" xfId="0" applyFont="1" applyFill="1" applyBorder="1" applyAlignment="1">
      <alignment horizontal="left"/>
    </xf>
    <xf numFmtId="171" fontId="5" fillId="0" borderId="0" xfId="0" quotePrefix="1" applyFont="1" applyFill="1" applyAlignment="1">
      <alignment horizontal="left" vertical="top"/>
    </xf>
    <xf numFmtId="172" fontId="5" fillId="0" borderId="0" xfId="0" applyNumberFormat="1" applyFont="1" applyFill="1"/>
    <xf numFmtId="171" fontId="5" fillId="0" borderId="0" xfId="0" applyFont="1" applyFill="1" applyAlignment="1">
      <alignment horizontal="center" vertical="top"/>
    </xf>
    <xf numFmtId="171" fontId="5" fillId="0" borderId="0" xfId="0" applyFont="1" applyFill="1" applyAlignment="1">
      <alignment horizontal="center"/>
    </xf>
    <xf numFmtId="165" fontId="5" fillId="0" borderId="0" xfId="25" applyNumberFormat="1" applyFont="1" applyFill="1" applyAlignment="1">
      <alignment horizontal="right" wrapText="1"/>
    </xf>
    <xf numFmtId="171" fontId="0" fillId="0" borderId="0" xfId="0" applyAlignment="1">
      <alignment wrapText="1"/>
    </xf>
  </cellXfs>
  <cellStyles count="32">
    <cellStyle name="Comma" xfId="1" builtinId="3"/>
    <cellStyle name="Comma 2" xfId="14"/>
    <cellStyle name="Comma 3" xfId="29"/>
    <cellStyle name="Currency" xfId="2" builtinId="4"/>
    <cellStyle name="Currency 2" xfId="15"/>
    <cellStyle name="Currency No Comma" xfId="16"/>
    <cellStyle name="Hyperlink" xfId="28" builtinId="8"/>
    <cellStyle name="Input" xfId="3" builtinId="20" customBuiltin="1"/>
    <cellStyle name="MCP" xfId="17"/>
    <cellStyle name="noninput" xfId="18"/>
    <cellStyle name="Normal" xfId="0" builtinId="0" customBuiltin="1"/>
    <cellStyle name="Normal 176" xfId="30"/>
    <cellStyle name="Normal 2" xfId="9"/>
    <cellStyle name="Normal 2 2" xfId="13"/>
    <cellStyle name="Normal 3" xfId="10"/>
    <cellStyle name="Normal 3 2" xfId="27"/>
    <cellStyle name="Normal 5" xfId="12"/>
    <cellStyle name="Normal_DRR AC Study - Utah Valley - 53 MW 90 CF (2.28.2005)" xfId="4"/>
    <cellStyle name="Normal_Exhibit GND-1 - 5.24.2005" xfId="31"/>
    <cellStyle name="Normal_INF_06_03_07" xfId="26"/>
    <cellStyle name="Normal_OR AC Sch 37 - AC  Study (Gold) _2009 06 19" xfId="5"/>
    <cellStyle name="Normal_T-INF-10-15-04-TEMPLATE" xfId="6"/>
    <cellStyle name="Normal_UT 2008.Q2 - Compliance - Appendix B - AC Study_2008 08 05" xfId="11"/>
    <cellStyle name="Normal_UT AC 2004 - AC Study (As Ordered by Commission)" xfId="7"/>
    <cellStyle name="Normal_WY AC 2009 - AC Study (Wind Study)_2009 08 11" xfId="25"/>
    <cellStyle name="Normal_xAC_Demand (Avoided Cost)" xfId="23"/>
    <cellStyle name="Password" xfId="19"/>
    <cellStyle name="Percent" xfId="8" builtinId="5"/>
    <cellStyle name="Percent 2" xfId="24"/>
    <cellStyle name="Unprot" xfId="20"/>
    <cellStyle name="Unprot$" xfId="21"/>
    <cellStyle name="Unprotect" xfId="22"/>
  </cellStyles>
  <dxfs count="3">
    <dxf>
      <font>
        <b/>
        <i/>
        <condense val="0"/>
        <extend val="0"/>
      </font>
      <fill>
        <patternFill>
          <bgColor indexed="42"/>
        </patternFill>
      </fill>
    </dxf>
    <dxf>
      <numFmt numFmtId="185" formatCode="&quot;$&quot;#,##0.00_)&quot;x&quot;"/>
    </dxf>
    <dxf>
      <numFmt numFmtId="185" formatCode="&quot;$&quot;#,##0.00_)&quot;x&quot;"/>
    </dxf>
  </dxfs>
  <tableStyles count="0" defaultTableStyle="TableStyleMedium9" defaultPivotStyle="PivotStyleLight16"/>
  <colors>
    <mruColors>
      <color rgb="FFCCECFF"/>
      <color rgb="FFCCFF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7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6.xml"/><Relationship Id="rId37" Type="http://schemas.openxmlformats.org/officeDocument/2006/relationships/externalLink" Target="externalLinks/externalLink11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8\231%20-%20UT%20Compliance%20Filing%20-%20UT%20-%202018%20Jan\Sch%2038%20Filing%20Package\4_Appendix%20B.4%20-%20UT%202017.Q4%20-%20AC%20Study%20NON-CONF%20Thermal_NonRoutin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5%20Apr%20-%20Sch%2037%20Update\Sent%20out%202015%2004%2030%20(filing%20date)\UT%20Sch%2037%202015%20-%20Appendix%201%20-%20AC%20Study%20_2015%2004%2027_Proposed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8\268%20-%20UT%20Compliance%20Filing%20-%20UT%20-%202018%20Apr\Sch%2038%20Filing%20Package\4_Appendix%20B.2%20-%20UT%202018.Q1%20-%20AC%20Study%20NON-CONF%20Win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01%20to%2035%20Studies%20-%20Jan-Feb\29-35%20-%20Goshen%20Valley%20I-VII%20Solar%20-%20UT%20-%202017%20Feb\Scenario\35%20-%20Goshen%20Valley%20Solar%20VII%20-%207---%20Avoided%20Cost%20Study%20_2017%2003%200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45%20-%20UT%20Compliance%20Filing%202016.Q4%20-%202017%20Feb\Scenario\45%20-%20UT%202016.Q4%20-%201---%20Avoided%20Cost%20Study%20_2017%2003%2009%20(GOLD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7%20Apr%20-%20Sch%2037%20Update\Sent%20Out\Public%20Workpapers\17-035-T07%20RMP%20Wkpr%20-%20Avoided%20Cost%20Study-Solar%20T%2005-30-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3%20May%20-%20Sch%2037%20Update\Scenario\Preliminary%20and%20Draft%20Versions\UT%20Sch%2037%202013%20-%202a%20-%20L&amp;R%20%20Study%20_2013%2005%202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egon\OR%20AC%202016%20Jan%20-%20Sch%2037\Scenario\Scenarios_2016%2004%2005\delete_Sce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egon\OR%20AC%202016%20Jan%20-%20Sch%2037\Scenario\OR%20AC%20Sch%2037%20-%20AC%20%20Study_s1_Update_(OFPC1501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4"/>
      <sheetName val="Table 1"/>
      <sheetName val="Table 2"/>
      <sheetName val="Table 4"/>
      <sheetName val="Table 5"/>
      <sheetName val="Table 3 TransCost D2 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 refreshError="1"/>
      <sheetData sheetId="1">
        <row r="9">
          <cell r="G9">
            <v>0.85</v>
          </cell>
        </row>
      </sheetData>
      <sheetData sheetId="2" refreshError="1"/>
      <sheetData sheetId="3" refreshError="1"/>
      <sheetData sheetId="4">
        <row r="6">
          <cell r="M6">
            <v>100</v>
          </cell>
        </row>
        <row r="7">
          <cell r="M7">
            <v>0.85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5">
          <cell r="B45">
            <v>2.1800000000000002</v>
          </cell>
        </row>
        <row r="46">
          <cell r="B46">
            <v>2.83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2"/>
      <sheetName val="Table 1"/>
      <sheetName val="Table 4"/>
      <sheetName val="Table 5"/>
      <sheetName val="Table 3 TransCost D2 "/>
      <sheetName val="Table 3 EV2020 Wind_2020"/>
      <sheetName val="Table 3 EV2020 Wind_2021"/>
      <sheetName val="Table 3 DJ Wind 2030"/>
      <sheetName val="Table 3 ID Wind 2033"/>
      <sheetName val="Table 3 WW Wind 2035"/>
      <sheetName val="Table 3 YK Wind 2035"/>
      <sheetName val="Table 3 OR Wind 2035"/>
      <sheetName val="Table 3 UT Wind 2036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</sheetNames>
    <sheetDataSet>
      <sheetData sheetId="0"/>
      <sheetData sheetId="1">
        <row r="13">
          <cell r="B13">
            <v>2018</v>
          </cell>
          <cell r="C13">
            <v>0</v>
          </cell>
          <cell r="E13">
            <v>14.039132881139894</v>
          </cell>
          <cell r="G13">
            <v>14.039132881139894</v>
          </cell>
        </row>
        <row r="14">
          <cell r="B14">
            <v>2019</v>
          </cell>
          <cell r="C14">
            <v>0</v>
          </cell>
          <cell r="E14">
            <v>14.731984215518219</v>
          </cell>
          <cell r="G14">
            <v>14.731984215518219</v>
          </cell>
        </row>
        <row r="15">
          <cell r="B15">
            <v>2020</v>
          </cell>
          <cell r="C15">
            <v>4.2353720230993206</v>
          </cell>
          <cell r="E15">
            <v>10.600158915085558</v>
          </cell>
          <cell r="G15">
            <v>12.155046403287004</v>
          </cell>
        </row>
        <row r="16">
          <cell r="B16">
            <v>2021</v>
          </cell>
          <cell r="C16">
            <v>19.089292143193102</v>
          </cell>
          <cell r="E16">
            <v>6.0134921028324921</v>
          </cell>
          <cell r="G16">
            <v>13.042190855475017</v>
          </cell>
        </row>
        <row r="17">
          <cell r="B17">
            <v>2022</v>
          </cell>
          <cell r="C17">
            <v>22.52915286593807</v>
          </cell>
          <cell r="E17">
            <v>6.3423682610398906</v>
          </cell>
          <cell r="G17">
            <v>14.637627585434304</v>
          </cell>
        </row>
        <row r="18">
          <cell r="B18">
            <v>2023</v>
          </cell>
          <cell r="C18">
            <v>21.378082852097574</v>
          </cell>
          <cell r="E18">
            <v>6.7038574901045092</v>
          </cell>
          <cell r="G18">
            <v>14.5752915458721</v>
          </cell>
        </row>
        <row r="19">
          <cell r="B19">
            <v>2024</v>
          </cell>
          <cell r="C19">
            <v>24.71701283825708</v>
          </cell>
          <cell r="E19">
            <v>6.7230443924525076</v>
          </cell>
          <cell r="G19">
            <v>15.797140787837629</v>
          </cell>
        </row>
        <row r="20">
          <cell r="B20">
            <v>2025</v>
          </cell>
          <cell r="C20">
            <v>23.576681143511692</v>
          </cell>
          <cell r="E20">
            <v>7.4383723453361901</v>
          </cell>
          <cell r="G20">
            <v>16.11933275506734</v>
          </cell>
        </row>
        <row r="21">
          <cell r="B21">
            <v>2026</v>
          </cell>
          <cell r="C21">
            <v>26.981718608313873</v>
          </cell>
          <cell r="E21">
            <v>7.4334813060905551</v>
          </cell>
          <cell r="G21">
            <v>17.368180324986955</v>
          </cell>
        </row>
        <row r="22">
          <cell r="B22">
            <v>2027</v>
          </cell>
          <cell r="C22">
            <v>25.86601775402093</v>
          </cell>
          <cell r="E22">
            <v>7.7289102497848692</v>
          </cell>
          <cell r="G22">
            <v>17.252806964223517</v>
          </cell>
        </row>
        <row r="23">
          <cell r="B23">
            <v>2028</v>
          </cell>
          <cell r="C23">
            <v>29.255686059275547</v>
          </cell>
          <cell r="E23">
            <v>0.73518546553939612</v>
          </cell>
          <cell r="G23">
            <v>11.475517120993214</v>
          </cell>
        </row>
        <row r="24">
          <cell r="B24">
            <v>2029</v>
          </cell>
          <cell r="C24">
            <v>28.226831002720399</v>
          </cell>
          <cell r="E24">
            <v>0.22308938085139957</v>
          </cell>
          <cell r="G24">
            <v>10.616240178253664</v>
          </cell>
        </row>
        <row r="25">
          <cell r="B25">
            <v>2030</v>
          </cell>
          <cell r="C25">
            <v>50.518714265260364</v>
          </cell>
          <cell r="E25">
            <v>-3.6226766535405047E-2</v>
          </cell>
          <cell r="G25">
            <v>18.564820421479638</v>
          </cell>
        </row>
        <row r="26">
          <cell r="B26">
            <v>2031</v>
          </cell>
          <cell r="C26">
            <v>170.48059752780034</v>
          </cell>
          <cell r="E26">
            <v>-0.84086008135462731</v>
          </cell>
          <cell r="G26">
            <v>61.930286915873303</v>
          </cell>
        </row>
        <row r="27">
          <cell r="B27">
            <v>2032</v>
          </cell>
          <cell r="C27">
            <v>174.03248079034032</v>
          </cell>
          <cell r="E27">
            <v>-0.77077780165401888</v>
          </cell>
          <cell r="G27">
            <v>63.119932493858897</v>
          </cell>
        </row>
        <row r="28">
          <cell r="B28">
            <v>2033</v>
          </cell>
          <cell r="C28">
            <v>177.63510237197539</v>
          </cell>
          <cell r="E28">
            <v>2.5777690407603835E-3</v>
          </cell>
          <cell r="G28">
            <v>65.408021465005106</v>
          </cell>
        </row>
        <row r="29">
          <cell r="B29">
            <v>2034</v>
          </cell>
          <cell r="C29">
            <v>181.27846227270558</v>
          </cell>
          <cell r="E29">
            <v>-0.61024385022210315</v>
          </cell>
          <cell r="G29">
            <v>66.136689042806111</v>
          </cell>
        </row>
        <row r="30">
          <cell r="B30">
            <v>2035</v>
          </cell>
          <cell r="C30">
            <v>184.97256049253093</v>
          </cell>
          <cell r="E30">
            <v>-0.24990961253399488</v>
          </cell>
          <cell r="G30">
            <v>67.857194383490551</v>
          </cell>
        </row>
        <row r="31">
          <cell r="B31">
            <v>2036</v>
          </cell>
          <cell r="C31">
            <v>188.70202787190379</v>
          </cell>
          <cell r="E31">
            <v>-4.5066175854005692</v>
          </cell>
          <cell r="G31">
            <v>64.769568906844157</v>
          </cell>
        </row>
        <row r="32">
          <cell r="B32">
            <v>2037</v>
          </cell>
          <cell r="C32">
            <v>192.51223357037182</v>
          </cell>
          <cell r="E32">
            <v>-4.5553117670994094</v>
          </cell>
          <cell r="G32">
            <v>66.28156110444219</v>
          </cell>
        </row>
        <row r="44">
          <cell r="G44">
            <v>20.923678794637748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</sheetNames>
    <sheetDataSet>
      <sheetData sheetId="0" refreshError="1"/>
      <sheetData sheetId="1" refreshError="1"/>
      <sheetData sheetId="2">
        <row r="3">
          <cell r="B3" t="str">
            <v>Table 1</v>
          </cell>
        </row>
        <row r="8">
          <cell r="I8">
            <v>0.39100000000000001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  <row r="35">
          <cell r="I35">
            <v>6.6600000000000006E-2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M6">
            <v>80</v>
          </cell>
        </row>
        <row r="7">
          <cell r="M7">
            <v>0.29717831763698632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  <sheetName val="45 - UT 2016"/>
    </sheetNames>
    <sheetDataSet>
      <sheetData sheetId="0" refreshError="1"/>
      <sheetData sheetId="1" refreshError="1"/>
      <sheetData sheetId="2">
        <row r="8">
          <cell r="I8">
            <v>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M4" t="str">
            <v>Utah 2016.Q4</v>
          </cell>
        </row>
      </sheetData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17">
          <cell r="I17">
            <v>0</v>
          </cell>
        </row>
      </sheetData>
      <sheetData sheetId="1"/>
      <sheetData sheetId="2" refreshError="1"/>
      <sheetData sheetId="3">
        <row r="6">
          <cell r="M6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rtPPA_2015"/>
      <sheetName val="Scenario Desc"/>
      <sheetName val="Exhibit 1- Std Base Load"/>
      <sheetName val="Exhibit 2- Std Wind "/>
      <sheetName val="Exhibit 3- Std FixedSolar"/>
      <sheetName val="Exhibit 4- Std TrackingSolar"/>
      <sheetName val="Exhibit 5 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 7 to 8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/>
      <sheetData sheetId="1">
        <row r="6">
          <cell r="B6">
            <v>2.2999999999999998</v>
          </cell>
        </row>
      </sheetData>
      <sheetData sheetId="2"/>
      <sheetData sheetId="3">
        <row r="45">
          <cell r="L45">
            <v>3.06</v>
          </cell>
        </row>
      </sheetData>
      <sheetData sheetId="4">
        <row r="53">
          <cell r="G53">
            <v>0.32200000000000001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3">
          <cell r="AE43">
            <v>6.6600000000000006E-2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8">
          <cell r="J8">
            <v>42370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Solar QF"/>
      <sheetName val="Exhibit 4 - Renewable Wind"/>
      <sheetName val="Exhibit 5 - Renewable BaseLoad"/>
      <sheetName val="Exhibit 6 - Renewable Solar"/>
      <sheetName val="Exhibit 7 - Blending"/>
      <sheetName val="Table 1"/>
      <sheetName val="Table 2"/>
      <sheetName val="Tables 3 to 6"/>
      <sheetName val="Table 7(16-30)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42005</v>
          </cell>
          <cell r="K8">
            <v>23.785487297579181</v>
          </cell>
          <cell r="L8">
            <v>19.806235531190044</v>
          </cell>
          <cell r="M8">
            <v>22.074409038031853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42036</v>
          </cell>
          <cell r="K9">
            <v>21.291715830258994</v>
          </cell>
          <cell r="L9">
            <v>12.085937206859114</v>
          </cell>
          <cell r="M9">
            <v>17.333231022197044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42064</v>
          </cell>
          <cell r="K10">
            <v>19.925449308740411</v>
          </cell>
          <cell r="L10">
            <v>15.339238234216703</v>
          </cell>
          <cell r="M10">
            <v>17.953378546695216</v>
          </cell>
          <cell r="P10">
            <v>2024</v>
          </cell>
          <cell r="Q10">
            <v>40.234360833333334</v>
          </cell>
          <cell r="R10">
            <v>32.53317666666667</v>
          </cell>
          <cell r="S10">
            <v>36.851123230456444</v>
          </cell>
          <cell r="T10">
            <v>1.0918082627147911</v>
          </cell>
          <cell r="U10">
            <v>0.88282727403486283</v>
          </cell>
        </row>
        <row r="11">
          <cell r="J11">
            <v>42095</v>
          </cell>
          <cell r="K11">
            <v>20.381100118446795</v>
          </cell>
          <cell r="L11">
            <v>17.068839018130912</v>
          </cell>
          <cell r="M11">
            <v>18.956827845310965</v>
          </cell>
          <cell r="P11">
            <v>2025</v>
          </cell>
          <cell r="Q11">
            <v>42.701166666666666</v>
          </cell>
          <cell r="R11">
            <v>34.631223333333331</v>
          </cell>
          <cell r="S11">
            <v>39.149629846800622</v>
          </cell>
          <cell r="T11">
            <v>1.0907169961443781</v>
          </cell>
          <cell r="U11">
            <v>0.88458622645607099</v>
          </cell>
        </row>
        <row r="12">
          <cell r="J12">
            <v>42125</v>
          </cell>
          <cell r="K12">
            <v>26.676991265709848</v>
          </cell>
          <cell r="L12">
            <v>23.173832127312963</v>
          </cell>
          <cell r="M12">
            <v>25.170632836199186</v>
          </cell>
          <cell r="P12">
            <v>2026</v>
          </cell>
          <cell r="Q12">
            <v>44.195540833333325</v>
          </cell>
          <cell r="R12">
            <v>35.783108333333338</v>
          </cell>
          <cell r="S12">
            <v>40.50154561194838</v>
          </cell>
          <cell r="T12">
            <v>1.0912062778240044</v>
          </cell>
          <cell r="U12">
            <v>0.88349982186301912</v>
          </cell>
        </row>
        <row r="13">
          <cell r="J13">
            <v>42156</v>
          </cell>
          <cell r="K13">
            <v>37.322733874632789</v>
          </cell>
          <cell r="L13">
            <v>24.615597772880243</v>
          </cell>
          <cell r="M13">
            <v>31.858665350879193</v>
          </cell>
          <cell r="P13">
            <v>2027</v>
          </cell>
          <cell r="Q13">
            <v>46.313721666666673</v>
          </cell>
          <cell r="R13">
            <v>37.58096333333333</v>
          </cell>
          <cell r="S13">
            <v>42.47817612083913</v>
          </cell>
          <cell r="T13">
            <v>1.0902944969886756</v>
          </cell>
          <cell r="U13">
            <v>0.88471226322018792</v>
          </cell>
        </row>
        <row r="14">
          <cell r="J14">
            <v>42186</v>
          </cell>
          <cell r="K14">
            <v>40.152853906114792</v>
          </cell>
          <cell r="L14">
            <v>24.660463542903482</v>
          </cell>
          <cell r="M14">
            <v>33.491126049933925</v>
          </cell>
          <cell r="P14">
            <v>2028</v>
          </cell>
          <cell r="Q14">
            <v>48.839144999999995</v>
          </cell>
          <cell r="R14">
            <v>40.069640833333331</v>
          </cell>
          <cell r="S14">
            <v>44.981869826716185</v>
          </cell>
          <cell r="T14">
            <v>1.0857517748404681</v>
          </cell>
          <cell r="U14">
            <v>0.89079535794518439</v>
          </cell>
        </row>
        <row r="15">
          <cell r="J15">
            <v>42217</v>
          </cell>
          <cell r="K15">
            <v>31.865750733301777</v>
          </cell>
          <cell r="L15">
            <v>23.31645309587072</v>
          </cell>
          <cell r="M15">
            <v>28.18955274920642</v>
          </cell>
          <cell r="P15">
            <v>2029</v>
          </cell>
          <cell r="Q15">
            <v>50.089875833333338</v>
          </cell>
          <cell r="R15">
            <v>41.34504583333333</v>
          </cell>
          <cell r="S15">
            <v>46.251120536987266</v>
          </cell>
          <cell r="T15">
            <v>1.0829981036519147</v>
          </cell>
          <cell r="U15">
            <v>0.89392527907014663</v>
          </cell>
        </row>
        <row r="16">
          <cell r="J16">
            <v>42248</v>
          </cell>
          <cell r="K16">
            <v>27.384399892172524</v>
          </cell>
          <cell r="L16">
            <v>23.254535731877322</v>
          </cell>
          <cell r="M16">
            <v>25.608558303245587</v>
          </cell>
          <cell r="P16">
            <v>2030</v>
          </cell>
          <cell r="Q16">
            <v>52.187535000000004</v>
          </cell>
          <cell r="R16">
            <v>42.983530833333326</v>
          </cell>
          <cell r="S16">
            <v>48.144015076549067</v>
          </cell>
          <cell r="T16">
            <v>1.0839880080010305</v>
          </cell>
          <cell r="U16">
            <v>0.8928115107348118</v>
          </cell>
        </row>
        <row r="17">
          <cell r="J17">
            <v>42278</v>
          </cell>
          <cell r="K17">
            <v>23.691494432537873</v>
          </cell>
          <cell r="L17">
            <v>21.501935483870966</v>
          </cell>
          <cell r="M17">
            <v>22.7499840846111</v>
          </cell>
          <cell r="P17">
            <v>2031</v>
          </cell>
          <cell r="Q17">
            <v>55.338625000000008</v>
          </cell>
          <cell r="R17">
            <v>45.840923333333329</v>
          </cell>
          <cell r="S17">
            <v>51.194747550238823</v>
          </cell>
          <cell r="T17">
            <v>1.080943410174934</v>
          </cell>
          <cell r="U17">
            <v>0.89542239247001587</v>
          </cell>
        </row>
        <row r="18">
          <cell r="J18">
            <v>42309</v>
          </cell>
          <cell r="K18">
            <v>22.096778999141115</v>
          </cell>
          <cell r="L18">
            <v>20.605492353584257</v>
          </cell>
          <cell r="M18">
            <v>21.455525741551668</v>
          </cell>
          <cell r="P18">
            <v>2032</v>
          </cell>
          <cell r="Q18">
            <v>56.463290833333325</v>
          </cell>
          <cell r="R18">
            <v>46.926939166666678</v>
          </cell>
          <cell r="S18">
            <v>52.272130315868509</v>
          </cell>
          <cell r="T18">
            <v>1.0801796385978262</v>
          </cell>
          <cell r="U18">
            <v>0.89774300154016939</v>
          </cell>
        </row>
        <row r="19">
          <cell r="J19">
            <v>42339</v>
          </cell>
          <cell r="K19">
            <v>21.549683426272821</v>
          </cell>
          <cell r="L19">
            <v>19.276005748613887</v>
          </cell>
          <cell r="M19">
            <v>20.572002024879481</v>
          </cell>
          <cell r="P19">
            <v>2033</v>
          </cell>
          <cell r="Q19">
            <v>57.682872500000009</v>
          </cell>
          <cell r="R19">
            <v>47.963200000000001</v>
          </cell>
          <cell r="S19">
            <v>53.414606383734444</v>
          </cell>
          <cell r="T19">
            <v>1.0799082199651913</v>
          </cell>
          <cell r="U19">
            <v>0.89794165392568581</v>
          </cell>
        </row>
        <row r="20">
          <cell r="J20">
            <v>42370</v>
          </cell>
          <cell r="K20">
            <v>24.486294135896966</v>
          </cell>
          <cell r="L20">
            <v>21.978847441981479</v>
          </cell>
          <cell r="M20">
            <v>23.408092057513304</v>
          </cell>
          <cell r="P20">
            <v>2034</v>
          </cell>
          <cell r="Q20">
            <v>58.91801916666666</v>
          </cell>
          <cell r="R20">
            <v>49.562219999999996</v>
          </cell>
          <cell r="S20">
            <v>54.796306650984356</v>
          </cell>
          <cell r="T20">
            <v>1.0752188015505286</v>
          </cell>
          <cell r="U20">
            <v>0.9044810321921517</v>
          </cell>
        </row>
        <row r="21">
          <cell r="J21">
            <v>42401</v>
          </cell>
          <cell r="K21">
            <v>23.801406379794031</v>
          </cell>
          <cell r="L21">
            <v>20.851882653228785</v>
          </cell>
          <cell r="M21">
            <v>22.533111177370973</v>
          </cell>
          <cell r="P21">
            <v>2035</v>
          </cell>
          <cell r="Q21">
            <v>60.59161666666666</v>
          </cell>
          <cell r="R21">
            <v>50.87018333333333</v>
          </cell>
          <cell r="S21">
            <v>56.322083962256833</v>
          </cell>
          <cell r="T21">
            <v>1.0758056592378751</v>
          </cell>
          <cell r="U21">
            <v>0.90320136888796598</v>
          </cell>
        </row>
        <row r="22">
          <cell r="J22">
            <v>42430</v>
          </cell>
          <cell r="K22">
            <v>20.131875236863209</v>
          </cell>
          <cell r="L22">
            <v>17.543107525038899</v>
          </cell>
          <cell r="M22">
            <v>19.018705120778755</v>
          </cell>
          <cell r="P22">
            <v>2036</v>
          </cell>
          <cell r="Q22">
            <v>61.740465</v>
          </cell>
          <cell r="R22">
            <v>52.053042500000004</v>
          </cell>
          <cell r="S22">
            <v>57.482592700318101</v>
          </cell>
          <cell r="T22">
            <v>1.0740723773870127</v>
          </cell>
          <cell r="U22">
            <v>0.90554444493092512</v>
          </cell>
        </row>
        <row r="23">
          <cell r="J23">
            <v>42461</v>
          </cell>
          <cell r="K23">
            <v>18.681027162944986</v>
          </cell>
          <cell r="L23">
            <v>13.759514434837946</v>
          </cell>
          <cell r="M23">
            <v>16.564776689858959</v>
          </cell>
          <cell r="P23">
            <v>2037</v>
          </cell>
          <cell r="Q23">
            <v>63.823340000000002</v>
          </cell>
          <cell r="R23">
            <v>53.978084166666662</v>
          </cell>
          <cell r="S23">
            <v>59.495757520429883</v>
          </cell>
          <cell r="T23">
            <v>1.072737665002149</v>
          </cell>
          <cell r="U23">
            <v>0.90725938144634022</v>
          </cell>
        </row>
        <row r="24">
          <cell r="J24">
            <v>42491</v>
          </cell>
          <cell r="K24">
            <v>17.449270932402698</v>
          </cell>
          <cell r="L24">
            <v>10.617283069648192</v>
          </cell>
          <cell r="M24">
            <v>14.51151615141826</v>
          </cell>
          <cell r="P24">
            <v>2038</v>
          </cell>
          <cell r="Q24">
            <v>65.349897499999997</v>
          </cell>
          <cell r="R24">
            <v>56.089000833333337</v>
          </cell>
          <cell r="S24">
            <v>61.274502831085613</v>
          </cell>
          <cell r="T24">
            <v>1.0665104485653512</v>
          </cell>
          <cell r="U24">
            <v>0.91537259776636526</v>
          </cell>
        </row>
        <row r="25">
          <cell r="J25">
            <v>42522</v>
          </cell>
          <cell r="K25">
            <v>17.609162795046313</v>
          </cell>
          <cell r="L25">
            <v>9.2684269105661343</v>
          </cell>
          <cell r="M25">
            <v>14.022646364719835</v>
          </cell>
          <cell r="P25">
            <v>2039</v>
          </cell>
          <cell r="Q25">
            <v>67.611695833333329</v>
          </cell>
          <cell r="R25">
            <v>57.579707500000005</v>
          </cell>
          <cell r="S25">
            <v>63.202639845701789</v>
          </cell>
          <cell r="T25">
            <v>1.069760630226767</v>
          </cell>
          <cell r="U25">
            <v>0.91103326760671399</v>
          </cell>
        </row>
        <row r="26">
          <cell r="J26">
            <v>42552</v>
          </cell>
          <cell r="K26">
            <v>26.008863468110295</v>
          </cell>
          <cell r="L26">
            <v>18.483082449120843</v>
          </cell>
          <cell r="M26">
            <v>22.77277762994483</v>
          </cell>
          <cell r="P26">
            <v>2040</v>
          </cell>
          <cell r="Q26">
            <v>69.93328666666666</v>
          </cell>
          <cell r="R26">
            <v>59.893374166666682</v>
          </cell>
          <cell r="S26">
            <v>65.508768065849026</v>
          </cell>
          <cell r="T26">
            <v>1.0675408610397028</v>
          </cell>
          <cell r="U26">
            <v>0.91428027018401903</v>
          </cell>
        </row>
        <row r="27">
          <cell r="J27">
            <v>42583</v>
          </cell>
          <cell r="K27">
            <v>27.594859252770931</v>
          </cell>
          <cell r="L27">
            <v>21.295809914983657</v>
          </cell>
          <cell r="M27">
            <v>24.886268037522399</v>
          </cell>
          <cell r="P27">
            <v>2041</v>
          </cell>
          <cell r="Q27">
            <v>71.541750833333325</v>
          </cell>
          <cell r="R27">
            <v>61.270920833333328</v>
          </cell>
          <cell r="S27">
            <v>67.034807714218019</v>
          </cell>
          <cell r="T27">
            <v>1.0672328790488854</v>
          </cell>
          <cell r="U27">
            <v>0.91401650758129682</v>
          </cell>
        </row>
        <row r="28">
          <cell r="J28">
            <v>42614</v>
          </cell>
          <cell r="K28">
            <v>26.462973856690652</v>
          </cell>
          <cell r="L28">
            <v>22.793451325123435</v>
          </cell>
          <cell r="M28">
            <v>24.885079168116746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J29">
            <v>42644</v>
          </cell>
          <cell r="K29">
            <v>23.542702132769868</v>
          </cell>
          <cell r="L29">
            <v>20.381485696162081</v>
          </cell>
          <cell r="M29">
            <v>22.183379065028518</v>
          </cell>
        </row>
        <row r="30">
          <cell r="J30">
            <v>42675</v>
          </cell>
          <cell r="K30">
            <v>25.164109673371399</v>
          </cell>
          <cell r="L30">
            <v>21.607856200235972</v>
          </cell>
          <cell r="M30">
            <v>23.634920679923162</v>
          </cell>
        </row>
        <row r="31">
          <cell r="J31">
            <v>42705</v>
          </cell>
          <cell r="K31">
            <v>28.258211271957393</v>
          </cell>
          <cell r="L31">
            <v>22.713748413878509</v>
          </cell>
          <cell r="M31">
            <v>25.874092242983473</v>
          </cell>
        </row>
        <row r="32">
          <cell r="J32">
            <v>42736</v>
          </cell>
          <cell r="K32">
            <v>26.610427810878129</v>
          </cell>
          <cell r="L32">
            <v>23.797296426295663</v>
          </cell>
          <cell r="M32">
            <v>25.400781315507665</v>
          </cell>
        </row>
        <row r="33">
          <cell r="J33">
            <v>42767</v>
          </cell>
          <cell r="K33">
            <v>25.909545443119729</v>
          </cell>
          <cell r="L33">
            <v>22.747854371096416</v>
          </cell>
          <cell r="M33">
            <v>24.550018282149704</v>
          </cell>
        </row>
        <row r="34">
          <cell r="J34">
            <v>42795</v>
          </cell>
          <cell r="K34">
            <v>23.361212127504707</v>
          </cell>
          <cell r="L34">
            <v>21.215682896887287</v>
          </cell>
          <cell r="M34">
            <v>22.438634558339217</v>
          </cell>
        </row>
        <row r="35">
          <cell r="J35">
            <v>42826</v>
          </cell>
          <cell r="K35">
            <v>21.901474569356903</v>
          </cell>
          <cell r="L35">
            <v>15.885975890491896</v>
          </cell>
          <cell r="M35">
            <v>19.314810137444951</v>
          </cell>
        </row>
        <row r="36">
          <cell r="J36">
            <v>42856</v>
          </cell>
          <cell r="K36">
            <v>20.317396454533743</v>
          </cell>
          <cell r="L36">
            <v>11.858997179712611</v>
          </cell>
          <cell r="M36">
            <v>16.680284766360653</v>
          </cell>
        </row>
        <row r="37">
          <cell r="J37">
            <v>42887</v>
          </cell>
          <cell r="K37">
            <v>19.567108149355487</v>
          </cell>
          <cell r="L37">
            <v>11.220612353632701</v>
          </cell>
          <cell r="M37">
            <v>15.978114957194688</v>
          </cell>
        </row>
        <row r="38">
          <cell r="J38">
            <v>42917</v>
          </cell>
          <cell r="K38">
            <v>25.948742376905493</v>
          </cell>
          <cell r="L38">
            <v>17.806195909471736</v>
          </cell>
          <cell r="M38">
            <v>22.447447395908974</v>
          </cell>
        </row>
        <row r="39">
          <cell r="J39">
            <v>42948</v>
          </cell>
          <cell r="K39">
            <v>30.533541998786063</v>
          </cell>
          <cell r="L39">
            <v>22.35372369365761</v>
          </cell>
          <cell r="M39">
            <v>27.01622012758083</v>
          </cell>
        </row>
        <row r="40">
          <cell r="J40">
            <v>42979</v>
          </cell>
          <cell r="K40">
            <v>28.60406750542068</v>
          </cell>
          <cell r="L40">
            <v>24.625492661231061</v>
          </cell>
          <cell r="M40">
            <v>26.893280322419145</v>
          </cell>
        </row>
        <row r="41">
          <cell r="J41">
            <v>43009</v>
          </cell>
          <cell r="K41">
            <v>25.989913440328895</v>
          </cell>
          <cell r="L41">
            <v>23.628670382113711</v>
          </cell>
          <cell r="M41">
            <v>24.974578925296363</v>
          </cell>
        </row>
        <row r="42">
          <cell r="J42">
            <v>43040</v>
          </cell>
          <cell r="K42">
            <v>28.113163745580781</v>
          </cell>
          <cell r="L42">
            <v>24.546063644682789</v>
          </cell>
          <cell r="M42">
            <v>26.579310702194643</v>
          </cell>
        </row>
        <row r="43">
          <cell r="J43">
            <v>43070</v>
          </cell>
          <cell r="K43">
            <v>31.139757935734512</v>
          </cell>
          <cell r="L43">
            <v>25.554573205839706</v>
          </cell>
          <cell r="M43">
            <v>28.738128501879743</v>
          </cell>
        </row>
        <row r="44">
          <cell r="J44">
            <v>43101</v>
          </cell>
          <cell r="K44">
            <v>28.630777287719543</v>
          </cell>
          <cell r="L44">
            <v>25.311396386863883</v>
          </cell>
          <cell r="M44">
            <v>27.203443500351611</v>
          </cell>
        </row>
        <row r="45">
          <cell r="J45">
            <v>43132</v>
          </cell>
          <cell r="K45">
            <v>28.147454865511023</v>
          </cell>
          <cell r="L45">
            <v>24.544171124776078</v>
          </cell>
          <cell r="M45">
            <v>26.598042856994997</v>
          </cell>
        </row>
        <row r="46">
          <cell r="J46">
            <v>43160</v>
          </cell>
          <cell r="K46">
            <v>25.928937124008492</v>
          </cell>
          <cell r="L46">
            <v>23.163109089975052</v>
          </cell>
          <cell r="M46">
            <v>24.739631069374113</v>
          </cell>
        </row>
        <row r="47">
          <cell r="J47">
            <v>43191</v>
          </cell>
          <cell r="K47">
            <v>23.926099349564026</v>
          </cell>
          <cell r="L47">
            <v>17.808535582575868</v>
          </cell>
          <cell r="M47">
            <v>21.295546929759116</v>
          </cell>
          <cell r="U47">
            <v>0.84603740708183717</v>
          </cell>
          <cell r="V47">
            <v>0.15396259291816258</v>
          </cell>
        </row>
        <row r="48">
          <cell r="J48">
            <v>43221</v>
          </cell>
          <cell r="K48">
            <v>21.869745354539877</v>
          </cell>
          <cell r="L48">
            <v>14.506227195892377</v>
          </cell>
          <cell r="M48">
            <v>18.703432546321451</v>
          </cell>
        </row>
        <row r="49">
          <cell r="J49">
            <v>43252</v>
          </cell>
          <cell r="K49">
            <v>21.290968532515009</v>
          </cell>
          <cell r="L49">
            <v>13.740978319677208</v>
          </cell>
          <cell r="M49">
            <v>18.044472740994753</v>
          </cell>
        </row>
        <row r="50">
          <cell r="J50">
            <v>43282</v>
          </cell>
          <cell r="K50">
            <v>27.951055392666483</v>
          </cell>
          <cell r="L50">
            <v>19.022420599461491</v>
          </cell>
          <cell r="M50">
            <v>24.111742431588333</v>
          </cell>
        </row>
        <row r="51">
          <cell r="J51">
            <v>43313</v>
          </cell>
          <cell r="K51">
            <v>32.966684945847746</v>
          </cell>
          <cell r="L51">
            <v>22.908998099040591</v>
          </cell>
          <cell r="M51">
            <v>28.641879601720667</v>
          </cell>
        </row>
        <row r="52">
          <cell r="J52">
            <v>43344</v>
          </cell>
          <cell r="K52">
            <v>31.760542160779163</v>
          </cell>
          <cell r="L52">
            <v>27.527968507046641</v>
          </cell>
          <cell r="M52">
            <v>29.940535489674176</v>
          </cell>
        </row>
        <row r="53">
          <cell r="J53">
            <v>43374</v>
          </cell>
          <cell r="K53">
            <v>29.468658276207591</v>
          </cell>
          <cell r="L53">
            <v>26.133247323853649</v>
          </cell>
          <cell r="M53">
            <v>28.034431566695392</v>
          </cell>
        </row>
        <row r="54">
          <cell r="J54">
            <v>43405</v>
          </cell>
          <cell r="K54">
            <v>30.088737614669448</v>
          </cell>
          <cell r="L54">
            <v>26.33275976271338</v>
          </cell>
          <cell r="M54">
            <v>28.473667138328338</v>
          </cell>
        </row>
        <row r="55">
          <cell r="J55">
            <v>43435</v>
          </cell>
          <cell r="K55">
            <v>32.941209887940651</v>
          </cell>
          <cell r="L55">
            <v>27.872458924115442</v>
          </cell>
          <cell r="M55">
            <v>30.761646973495807</v>
          </cell>
        </row>
        <row r="56">
          <cell r="J56">
            <v>43466</v>
          </cell>
          <cell r="K56">
            <v>31.712489275242294</v>
          </cell>
          <cell r="L56">
            <v>26.936354878696161</v>
          </cell>
          <cell r="M56">
            <v>29.658751484727457</v>
          </cell>
        </row>
        <row r="57">
          <cell r="J57">
            <v>43497</v>
          </cell>
          <cell r="K57">
            <v>30.835402592959074</v>
          </cell>
          <cell r="L57">
            <v>26.812465517997179</v>
          </cell>
          <cell r="M57">
            <v>29.105539650725458</v>
          </cell>
        </row>
        <row r="58">
          <cell r="J58">
            <v>43525</v>
          </cell>
          <cell r="K58">
            <v>28.621915429574734</v>
          </cell>
          <cell r="L58">
            <v>25.577164974680983</v>
          </cell>
          <cell r="M58">
            <v>27.312672733970423</v>
          </cell>
        </row>
        <row r="59">
          <cell r="J59">
            <v>43556</v>
          </cell>
          <cell r="K59">
            <v>26.443074228179981</v>
          </cell>
          <cell r="L59">
            <v>19.292340728291087</v>
          </cell>
          <cell r="M59">
            <v>23.368258823227755</v>
          </cell>
        </row>
        <row r="60">
          <cell r="J60">
            <v>43586</v>
          </cell>
          <cell r="K60">
            <v>24.299465802918718</v>
          </cell>
          <cell r="L60">
            <v>16.136886504276422</v>
          </cell>
          <cell r="M60">
            <v>20.78955670450253</v>
          </cell>
        </row>
        <row r="61">
          <cell r="J61">
            <v>43617</v>
          </cell>
          <cell r="K61">
            <v>23.568072974269327</v>
          </cell>
          <cell r="L61">
            <v>15.659599382441499</v>
          </cell>
          <cell r="M61">
            <v>20.16742932978336</v>
          </cell>
        </row>
        <row r="62">
          <cell r="J62">
            <v>43647</v>
          </cell>
          <cell r="K62">
            <v>30.925149995339424</v>
          </cell>
          <cell r="L62">
            <v>19.937564650654554</v>
          </cell>
          <cell r="M62">
            <v>26.200488297124927</v>
          </cell>
        </row>
        <row r="63">
          <cell r="J63">
            <v>43678</v>
          </cell>
          <cell r="K63">
            <v>35.687791799189093</v>
          </cell>
          <cell r="L63">
            <v>23.767526389997087</v>
          </cell>
          <cell r="M63">
            <v>30.56207767323653</v>
          </cell>
        </row>
        <row r="64">
          <cell r="J64">
            <v>43709</v>
          </cell>
          <cell r="K64">
            <v>34.144843329282288</v>
          </cell>
          <cell r="L64">
            <v>27.917181599591359</v>
          </cell>
          <cell r="M64">
            <v>31.466948785515186</v>
          </cell>
        </row>
        <row r="65">
          <cell r="J65">
            <v>43739</v>
          </cell>
          <cell r="K65">
            <v>31.67789688175851</v>
          </cell>
          <cell r="L65">
            <v>27.132996379069681</v>
          </cell>
          <cell r="M65">
            <v>29.723589665602312</v>
          </cell>
        </row>
        <row r="66">
          <cell r="J66">
            <v>43770</v>
          </cell>
          <cell r="K66">
            <v>32.046545081261456</v>
          </cell>
          <cell r="L66">
            <v>27.40725949635403</v>
          </cell>
          <cell r="M66">
            <v>30.051652279751259</v>
          </cell>
        </row>
        <row r="67">
          <cell r="J67">
            <v>43800</v>
          </cell>
          <cell r="K67">
            <v>34.720098114991757</v>
          </cell>
          <cell r="L67">
            <v>28.352324326223467</v>
          </cell>
          <cell r="M67">
            <v>31.98195538582139</v>
          </cell>
        </row>
        <row r="68">
          <cell r="J68">
            <v>43831</v>
          </cell>
          <cell r="K68">
            <v>33.680304825844352</v>
          </cell>
          <cell r="L68">
            <v>28.662613580203033</v>
          </cell>
          <cell r="M68">
            <v>31.522697590218584</v>
          </cell>
        </row>
        <row r="69">
          <cell r="J69">
            <v>43862</v>
          </cell>
          <cell r="K69">
            <v>32.626697410422061</v>
          </cell>
          <cell r="L69">
            <v>28.634476412077113</v>
          </cell>
          <cell r="M69">
            <v>30.910042381133728</v>
          </cell>
        </row>
        <row r="70">
          <cell r="J70">
            <v>43891</v>
          </cell>
          <cell r="K70">
            <v>30.1830872836004</v>
          </cell>
          <cell r="L70">
            <v>27.179074268941818</v>
          </cell>
          <cell r="M70">
            <v>28.891361687297209</v>
          </cell>
        </row>
        <row r="71">
          <cell r="J71">
            <v>43922</v>
          </cell>
          <cell r="K71">
            <v>28.227572776912108</v>
          </cell>
          <cell r="L71">
            <v>20.355298064007044</v>
          </cell>
          <cell r="M71">
            <v>24.84249465036293</v>
          </cell>
        </row>
        <row r="72">
          <cell r="J72">
            <v>43952</v>
          </cell>
          <cell r="K72">
            <v>26.219011682208333</v>
          </cell>
          <cell r="L72">
            <v>16.92278350651835</v>
          </cell>
          <cell r="M72">
            <v>22.221633566661637</v>
          </cell>
        </row>
        <row r="73">
          <cell r="J73">
            <v>43983</v>
          </cell>
          <cell r="K73">
            <v>25.352232329581003</v>
          </cell>
          <cell r="L73">
            <v>16.319116204521151</v>
          </cell>
          <cell r="M73">
            <v>21.467992395805265</v>
          </cell>
        </row>
        <row r="74">
          <cell r="J74">
            <v>44013</v>
          </cell>
          <cell r="K74">
            <v>32.682881930752835</v>
          </cell>
          <cell r="L74">
            <v>22.026076777313772</v>
          </cell>
          <cell r="M74">
            <v>28.100455714774036</v>
          </cell>
        </row>
        <row r="75">
          <cell r="J75">
            <v>44044</v>
          </cell>
          <cell r="K75">
            <v>37.49153538475948</v>
          </cell>
          <cell r="L75">
            <v>25.653514055433138</v>
          </cell>
          <cell r="M75">
            <v>32.401186213149153</v>
          </cell>
        </row>
        <row r="76">
          <cell r="J76">
            <v>44075</v>
          </cell>
          <cell r="K76">
            <v>35.780428169965511</v>
          </cell>
          <cell r="L76">
            <v>29.905186853097064</v>
          </cell>
          <cell r="M76">
            <v>33.254074403712075</v>
          </cell>
        </row>
        <row r="77">
          <cell r="J77">
            <v>44105</v>
          </cell>
          <cell r="K77">
            <v>33.248582910570228</v>
          </cell>
          <cell r="L77">
            <v>29.146776520440923</v>
          </cell>
          <cell r="M77">
            <v>31.484806162814621</v>
          </cell>
        </row>
        <row r="78">
          <cell r="J78">
            <v>44136</v>
          </cell>
          <cell r="K78">
            <v>33.389774009721847</v>
          </cell>
          <cell r="L78">
            <v>29.373481254676303</v>
          </cell>
          <cell r="M78">
            <v>31.66276812505226</v>
          </cell>
        </row>
        <row r="79">
          <cell r="J79">
            <v>44166</v>
          </cell>
          <cell r="K79">
            <v>36.306635332501514</v>
          </cell>
          <cell r="L79">
            <v>30.354003815839409</v>
          </cell>
          <cell r="M79">
            <v>33.747003780336811</v>
          </cell>
        </row>
        <row r="80">
          <cell r="J80">
            <v>44197</v>
          </cell>
          <cell r="K80">
            <v>35.538718570509147</v>
          </cell>
          <cell r="L80">
            <v>30.098243272510238</v>
          </cell>
          <cell r="M80">
            <v>33.199314192369613</v>
          </cell>
        </row>
        <row r="81">
          <cell r="J81">
            <v>44228</v>
          </cell>
          <cell r="K81">
            <v>34.441695203358556</v>
          </cell>
          <cell r="L81">
            <v>29.266855297094285</v>
          </cell>
          <cell r="M81">
            <v>32.216514043664915</v>
          </cell>
        </row>
        <row r="82">
          <cell r="J82">
            <v>44256</v>
          </cell>
          <cell r="K82">
            <v>32.174954296098456</v>
          </cell>
          <cell r="L82">
            <v>27.807837773181667</v>
          </cell>
          <cell r="M82">
            <v>30.297094191244234</v>
          </cell>
        </row>
        <row r="83">
          <cell r="J83">
            <v>44287</v>
          </cell>
          <cell r="K83">
            <v>29.973960033500305</v>
          </cell>
          <cell r="L83">
            <v>21.911895091694056</v>
          </cell>
          <cell r="M83">
            <v>26.507272108523615</v>
          </cell>
        </row>
        <row r="84">
          <cell r="J84">
            <v>44317</v>
          </cell>
          <cell r="K84">
            <v>27.525178333472443</v>
          </cell>
          <cell r="L84">
            <v>18.357493208260159</v>
          </cell>
          <cell r="M84">
            <v>23.58307372963116</v>
          </cell>
        </row>
        <row r="85">
          <cell r="J85">
            <v>44348</v>
          </cell>
          <cell r="K85">
            <v>27.148949163651803</v>
          </cell>
          <cell r="L85">
            <v>17.976941919717138</v>
          </cell>
          <cell r="M85">
            <v>23.204986048759896</v>
          </cell>
        </row>
        <row r="86">
          <cell r="J86">
            <v>44378</v>
          </cell>
          <cell r="K86">
            <v>34.103562032452118</v>
          </cell>
          <cell r="L86">
            <v>24.110537683068614</v>
          </cell>
          <cell r="M86">
            <v>29.806561562217212</v>
          </cell>
        </row>
        <row r="87">
          <cell r="J87">
            <v>44409</v>
          </cell>
          <cell r="K87">
            <v>38.986344837767028</v>
          </cell>
          <cell r="L87">
            <v>26.922711793453164</v>
          </cell>
          <cell r="M87">
            <v>33.798982628712068</v>
          </cell>
        </row>
        <row r="88">
          <cell r="J88">
            <v>44440</v>
          </cell>
          <cell r="K88">
            <v>37.434497047942614</v>
          </cell>
          <cell r="L88">
            <v>31.399048309734081</v>
          </cell>
          <cell r="M88">
            <v>34.839254090512938</v>
          </cell>
        </row>
        <row r="89">
          <cell r="J89">
            <v>44470</v>
          </cell>
          <cell r="K89">
            <v>35.647784095250337</v>
          </cell>
          <cell r="L89">
            <v>29.725523730625895</v>
          </cell>
          <cell r="M89">
            <v>33.101212138461825</v>
          </cell>
        </row>
        <row r="90">
          <cell r="J90">
            <v>44501</v>
          </cell>
          <cell r="K90">
            <v>36.403057562461079</v>
          </cell>
          <cell r="L90">
            <v>31.150655795282983</v>
          </cell>
          <cell r="M90">
            <v>34.144524802574495</v>
          </cell>
        </row>
        <row r="91">
          <cell r="J91">
            <v>44531</v>
          </cell>
          <cell r="K91">
            <v>38.736995802618729</v>
          </cell>
          <cell r="L91">
            <v>32.31878590676704</v>
          </cell>
          <cell r="M91">
            <v>35.9771655474025</v>
          </cell>
        </row>
        <row r="92">
          <cell r="J92">
            <v>44562</v>
          </cell>
          <cell r="K92">
            <v>36.642906570315489</v>
          </cell>
          <cell r="L92">
            <v>30.80779615640035</v>
          </cell>
          <cell r="M92">
            <v>34.133809092331973</v>
          </cell>
        </row>
        <row r="93">
          <cell r="J93">
            <v>44593</v>
          </cell>
          <cell r="K93">
            <v>37.789078190321604</v>
          </cell>
          <cell r="L93">
            <v>32.723480241446438</v>
          </cell>
          <cell r="M93">
            <v>35.610871072305279</v>
          </cell>
        </row>
        <row r="94">
          <cell r="J94">
            <v>44621</v>
          </cell>
          <cell r="K94">
            <v>34.413280873518538</v>
          </cell>
          <cell r="L94">
            <v>29.732066425870883</v>
          </cell>
          <cell r="M94">
            <v>32.40035866103004</v>
          </cell>
        </row>
        <row r="95">
          <cell r="J95">
            <v>44652</v>
          </cell>
          <cell r="K95">
            <v>32.281156421295059</v>
          </cell>
          <cell r="L95">
            <v>25.778563568510648</v>
          </cell>
          <cell r="M95">
            <v>29.485041494597759</v>
          </cell>
        </row>
        <row r="96">
          <cell r="J96">
            <v>44682</v>
          </cell>
          <cell r="K96">
            <v>28.087133212673201</v>
          </cell>
          <cell r="L96">
            <v>21.099312090687899</v>
          </cell>
          <cell r="M96">
            <v>25.082370130219516</v>
          </cell>
        </row>
        <row r="97">
          <cell r="J97">
            <v>44713</v>
          </cell>
          <cell r="K97">
            <v>31.400920122474496</v>
          </cell>
          <cell r="L97">
            <v>23.378934903575974</v>
          </cell>
          <cell r="M97">
            <v>27.951466478348131</v>
          </cell>
        </row>
        <row r="98">
          <cell r="J98">
            <v>44743</v>
          </cell>
          <cell r="K98">
            <v>36.810354687735604</v>
          </cell>
          <cell r="L98">
            <v>28.071772035855652</v>
          </cell>
          <cell r="M98">
            <v>33.052764147427226</v>
          </cell>
        </row>
        <row r="99">
          <cell r="J99">
            <v>44774</v>
          </cell>
          <cell r="K99">
            <v>41.017683573369155</v>
          </cell>
          <cell r="L99">
            <v>29.08573020960409</v>
          </cell>
          <cell r="M99">
            <v>35.88694362695017</v>
          </cell>
        </row>
        <row r="100">
          <cell r="J100">
            <v>44805</v>
          </cell>
          <cell r="K100">
            <v>40.564012509539012</v>
          </cell>
          <cell r="L100">
            <v>33.300715795969332</v>
          </cell>
          <cell r="M100">
            <v>37.440794922704043</v>
          </cell>
        </row>
        <row r="101">
          <cell r="J101">
            <v>44835</v>
          </cell>
          <cell r="K101">
            <v>37.165669764638032</v>
          </cell>
          <cell r="L101">
            <v>30.66791463373421</v>
          </cell>
          <cell r="M101">
            <v>34.371635058349383</v>
          </cell>
        </row>
        <row r="102">
          <cell r="J102">
            <v>44866</v>
          </cell>
          <cell r="K102">
            <v>39.178441632257979</v>
          </cell>
          <cell r="L102">
            <v>32.890363279523093</v>
          </cell>
          <cell r="M102">
            <v>36.474567940581977</v>
          </cell>
        </row>
        <row r="103">
          <cell r="J103">
            <v>44896</v>
          </cell>
          <cell r="K103">
            <v>40.751413667041909</v>
          </cell>
          <cell r="L103">
            <v>33.857530686768882</v>
          </cell>
          <cell r="M103">
            <v>37.787043985524505</v>
          </cell>
        </row>
        <row r="104">
          <cell r="J104">
            <v>44927</v>
          </cell>
          <cell r="K104">
            <v>38.843501451160016</v>
          </cell>
          <cell r="L104">
            <v>32.087272152164815</v>
          </cell>
          <cell r="M104">
            <v>35.93832285259208</v>
          </cell>
        </row>
        <row r="105">
          <cell r="J105">
            <v>44958</v>
          </cell>
          <cell r="K105">
            <v>41.156463107277766</v>
          </cell>
          <cell r="L105">
            <v>34.370859266865054</v>
          </cell>
          <cell r="M105">
            <v>38.238653455900298</v>
          </cell>
        </row>
        <row r="106">
          <cell r="J106">
            <v>44986</v>
          </cell>
          <cell r="K106">
            <v>36.732416869008915</v>
          </cell>
          <cell r="L106">
            <v>30.979502500219109</v>
          </cell>
          <cell r="M106">
            <v>34.258663690429294</v>
          </cell>
        </row>
        <row r="107">
          <cell r="J107">
            <v>45017</v>
          </cell>
          <cell r="K107">
            <v>34.416551281509193</v>
          </cell>
          <cell r="L107">
            <v>29.927829116374568</v>
          </cell>
          <cell r="M107">
            <v>32.486400750501303</v>
          </cell>
        </row>
        <row r="108">
          <cell r="J108">
            <v>45047</v>
          </cell>
          <cell r="K108">
            <v>29.128795378427412</v>
          </cell>
          <cell r="L108">
            <v>23.736550097014991</v>
          </cell>
          <cell r="M108">
            <v>26.81012990742007</v>
          </cell>
        </row>
        <row r="109">
          <cell r="J109">
            <v>45078</v>
          </cell>
          <cell r="K109">
            <v>35.715943045208022</v>
          </cell>
          <cell r="L109">
            <v>27.719390633160792</v>
          </cell>
          <cell r="M109">
            <v>32.277425508027711</v>
          </cell>
        </row>
        <row r="110">
          <cell r="J110">
            <v>45108</v>
          </cell>
          <cell r="K110">
            <v>39.236040117156229</v>
          </cell>
          <cell r="L110">
            <v>32.231272345796256</v>
          </cell>
          <cell r="M110">
            <v>36.22398997547144</v>
          </cell>
        </row>
        <row r="111">
          <cell r="J111">
            <v>45139</v>
          </cell>
          <cell r="K111">
            <v>43.006934596979001</v>
          </cell>
          <cell r="L111">
            <v>31.495990979044613</v>
          </cell>
          <cell r="M111">
            <v>38.057228841267211</v>
          </cell>
        </row>
        <row r="112">
          <cell r="J112">
            <v>45170</v>
          </cell>
          <cell r="K112">
            <v>43.715377693574894</v>
          </cell>
          <cell r="L112">
            <v>35.558959443075601</v>
          </cell>
          <cell r="M112">
            <v>40.208117845860194</v>
          </cell>
        </row>
        <row r="113">
          <cell r="J113">
            <v>45200</v>
          </cell>
          <cell r="K113">
            <v>38.642350558557489</v>
          </cell>
          <cell r="L113">
            <v>33.017904923299113</v>
          </cell>
          <cell r="M113">
            <v>36.223838935396387</v>
          </cell>
        </row>
        <row r="114">
          <cell r="J114">
            <v>45231</v>
          </cell>
          <cell r="K114">
            <v>41.519414993400837</v>
          </cell>
          <cell r="L114">
            <v>34.515504521730442</v>
          </cell>
          <cell r="M114">
            <v>38.507733490582567</v>
          </cell>
        </row>
        <row r="115">
          <cell r="J115">
            <v>45261</v>
          </cell>
          <cell r="K115">
            <v>42.637692545421054</v>
          </cell>
          <cell r="L115">
            <v>35.103204867404365</v>
          </cell>
          <cell r="M115">
            <v>39.397862843873881</v>
          </cell>
        </row>
        <row r="116">
          <cell r="J116">
            <v>45292</v>
          </cell>
          <cell r="K116">
            <v>41.487269100000006</v>
          </cell>
          <cell r="L116">
            <v>35.154567799999995</v>
          </cell>
          <cell r="M116">
            <v>38.764207540999998</v>
          </cell>
        </row>
        <row r="117">
          <cell r="J117">
            <v>45323</v>
          </cell>
          <cell r="K117">
            <v>43.029638499999997</v>
          </cell>
          <cell r="L117">
            <v>36.714207399999999</v>
          </cell>
          <cell r="M117">
            <v>40.314003126999999</v>
          </cell>
        </row>
        <row r="118">
          <cell r="J118">
            <v>45352</v>
          </cell>
          <cell r="K118">
            <v>38.720404199999997</v>
          </cell>
          <cell r="L118">
            <v>34.101708500000001</v>
          </cell>
          <cell r="M118">
            <v>36.734365048999997</v>
          </cell>
        </row>
        <row r="119">
          <cell r="J119">
            <v>45383</v>
          </cell>
          <cell r="K119">
            <v>36.958962700000001</v>
          </cell>
          <cell r="L119">
            <v>33.048196799999999</v>
          </cell>
          <cell r="M119">
            <v>35.277333362999997</v>
          </cell>
        </row>
        <row r="120">
          <cell r="J120">
            <v>45413</v>
          </cell>
          <cell r="K120">
            <v>29.738377499999999</v>
          </cell>
          <cell r="L120">
            <v>25.972135999999999</v>
          </cell>
          <cell r="M120">
            <v>28.118893654999994</v>
          </cell>
        </row>
        <row r="121">
          <cell r="J121">
            <v>45444</v>
          </cell>
          <cell r="K121">
            <v>35.975518199999996</v>
          </cell>
          <cell r="L121">
            <v>29.846802000000004</v>
          </cell>
          <cell r="M121">
            <v>33.340170233999999</v>
          </cell>
        </row>
        <row r="122">
          <cell r="J122">
            <v>45474</v>
          </cell>
          <cell r="K122">
            <v>41.237815200000007</v>
          </cell>
          <cell r="L122">
            <v>32.739345</v>
          </cell>
          <cell r="M122">
            <v>37.583473013999999</v>
          </cell>
        </row>
        <row r="123">
          <cell r="J123">
            <v>45505</v>
          </cell>
          <cell r="K123">
            <v>45.936894000000002</v>
          </cell>
          <cell r="L123">
            <v>35.334221100000008</v>
          </cell>
          <cell r="M123">
            <v>41.377744653000008</v>
          </cell>
        </row>
        <row r="124">
          <cell r="J124">
            <v>45536</v>
          </cell>
          <cell r="K124">
            <v>47.369253999999998</v>
          </cell>
          <cell r="L124">
            <v>37.765206400000004</v>
          </cell>
          <cell r="M124">
            <v>43.239513532000004</v>
          </cell>
        </row>
        <row r="125">
          <cell r="J125">
            <v>45566</v>
          </cell>
          <cell r="K125">
            <v>41.234943000000001</v>
          </cell>
          <cell r="L125">
            <v>35.24537740000001</v>
          </cell>
          <cell r="M125">
            <v>38.659429791999997</v>
          </cell>
        </row>
        <row r="126">
          <cell r="J126">
            <v>45597</v>
          </cell>
          <cell r="K126">
            <v>44.069286000000005</v>
          </cell>
          <cell r="L126">
            <v>36.526226900000005</v>
          </cell>
          <cell r="M126">
            <v>40.825770587000001</v>
          </cell>
        </row>
        <row r="127">
          <cell r="J127">
            <v>45627</v>
          </cell>
          <cell r="K127">
            <v>45.411766400000005</v>
          </cell>
          <cell r="L127">
            <v>38.222541800000002</v>
          </cell>
          <cell r="M127">
            <v>42.320399821999999</v>
          </cell>
        </row>
        <row r="128">
          <cell r="J128">
            <v>45658</v>
          </cell>
          <cell r="K128">
            <v>43.957384599999997</v>
          </cell>
          <cell r="L128">
            <v>37.208582100000001</v>
          </cell>
          <cell r="M128">
            <v>41.055399524999999</v>
          </cell>
        </row>
        <row r="129">
          <cell r="J129">
            <v>45689</v>
          </cell>
          <cell r="K129">
            <v>46.293465099999999</v>
          </cell>
          <cell r="L129">
            <v>39.351360200000002</v>
          </cell>
          <cell r="M129">
            <v>43.308359992999996</v>
          </cell>
        </row>
        <row r="130">
          <cell r="J130">
            <v>45717</v>
          </cell>
          <cell r="K130">
            <v>41.290517100000002</v>
          </cell>
          <cell r="L130">
            <v>36.165576300000005</v>
          </cell>
          <cell r="M130">
            <v>39.086792556000006</v>
          </cell>
        </row>
        <row r="131">
          <cell r="J131">
            <v>45748</v>
          </cell>
          <cell r="K131">
            <v>39.274839699999994</v>
          </cell>
          <cell r="L131">
            <v>34.974193999999997</v>
          </cell>
          <cell r="M131">
            <v>37.425562048999993</v>
          </cell>
        </row>
        <row r="132">
          <cell r="J132">
            <v>45778</v>
          </cell>
          <cell r="K132">
            <v>31.515341400000001</v>
          </cell>
          <cell r="L132">
            <v>27.459721400000006</v>
          </cell>
          <cell r="M132">
            <v>29.771424799999998</v>
          </cell>
        </row>
        <row r="133">
          <cell r="J133">
            <v>45809</v>
          </cell>
          <cell r="K133">
            <v>38.891174999999997</v>
          </cell>
          <cell r="L133">
            <v>31.539093700000002</v>
          </cell>
          <cell r="M133">
            <v>35.729780040999998</v>
          </cell>
        </row>
        <row r="134">
          <cell r="J134">
            <v>45839</v>
          </cell>
          <cell r="K134">
            <v>43.936765799999996</v>
          </cell>
          <cell r="L134">
            <v>35.139003700000004</v>
          </cell>
          <cell r="M134">
            <v>40.153728096999998</v>
          </cell>
        </row>
        <row r="135">
          <cell r="J135">
            <v>45870</v>
          </cell>
          <cell r="K135">
            <v>49.365698000000009</v>
          </cell>
          <cell r="L135">
            <v>38.682619600000002</v>
          </cell>
          <cell r="M135">
            <v>44.771974288000003</v>
          </cell>
        </row>
        <row r="136">
          <cell r="J136">
            <v>45901</v>
          </cell>
          <cell r="K136">
            <v>50.630898899999998</v>
          </cell>
          <cell r="L136">
            <v>40.352653500000002</v>
          </cell>
          <cell r="M136">
            <v>46.211253377999995</v>
          </cell>
        </row>
        <row r="137">
          <cell r="J137">
            <v>45931</v>
          </cell>
          <cell r="K137">
            <v>43.418008100000002</v>
          </cell>
          <cell r="L137">
            <v>37.470909599999999</v>
          </cell>
          <cell r="M137">
            <v>40.860755744999999</v>
          </cell>
        </row>
        <row r="138">
          <cell r="J138">
            <v>45962</v>
          </cell>
          <cell r="K138">
            <v>45.1162414</v>
          </cell>
          <cell r="L138">
            <v>37.974275599999999</v>
          </cell>
          <cell r="M138">
            <v>42.045196105999999</v>
          </cell>
        </row>
        <row r="139">
          <cell r="J139">
            <v>45992</v>
          </cell>
          <cell r="K139">
            <v>47.259897600000002</v>
          </cell>
          <cell r="L139">
            <v>39.545180800000004</v>
          </cell>
          <cell r="M139">
            <v>43.942569376000002</v>
          </cell>
        </row>
        <row r="140">
          <cell r="J140">
            <v>46023</v>
          </cell>
          <cell r="K140">
            <v>45.733458299999995</v>
          </cell>
          <cell r="L140">
            <v>38.534884699999999</v>
          </cell>
          <cell r="M140">
            <v>42.638071651999994</v>
          </cell>
        </row>
        <row r="141">
          <cell r="J141">
            <v>46054</v>
          </cell>
          <cell r="K141">
            <v>48.238484800000002</v>
          </cell>
          <cell r="L141">
            <v>40.829286000000003</v>
          </cell>
          <cell r="M141">
            <v>45.052529316000005</v>
          </cell>
        </row>
        <row r="142">
          <cell r="J142">
            <v>46082</v>
          </cell>
          <cell r="K142">
            <v>42.420858500000001</v>
          </cell>
          <cell r="L142">
            <v>37.228261600000003</v>
          </cell>
          <cell r="M142">
            <v>40.188041833</v>
          </cell>
        </row>
        <row r="143">
          <cell r="J143">
            <v>46113</v>
          </cell>
          <cell r="K143">
            <v>40.291051899999999</v>
          </cell>
          <cell r="L143">
            <v>35.793675300000004</v>
          </cell>
          <cell r="M143">
            <v>38.357179962000004</v>
          </cell>
        </row>
        <row r="144">
          <cell r="J144">
            <v>46143</v>
          </cell>
          <cell r="K144">
            <v>32.983024499999999</v>
          </cell>
          <cell r="L144">
            <v>30.604773000000002</v>
          </cell>
          <cell r="M144">
            <v>31.960376354999998</v>
          </cell>
        </row>
        <row r="145">
          <cell r="J145">
            <v>46174</v>
          </cell>
          <cell r="K145">
            <v>39.840611700000004</v>
          </cell>
          <cell r="L145">
            <v>31.895895400000004</v>
          </cell>
          <cell r="M145">
            <v>36.424383691000003</v>
          </cell>
        </row>
        <row r="146">
          <cell r="J146">
            <v>46204</v>
          </cell>
          <cell r="K146">
            <v>45.275484499999997</v>
          </cell>
          <cell r="L146">
            <v>36.562843599999994</v>
          </cell>
          <cell r="M146">
            <v>41.529048912999997</v>
          </cell>
        </row>
        <row r="147">
          <cell r="J147">
            <v>46235</v>
          </cell>
          <cell r="K147">
            <v>50.605581999999998</v>
          </cell>
          <cell r="L147">
            <v>39.651285000000001</v>
          </cell>
          <cell r="M147">
            <v>45.895234289999998</v>
          </cell>
        </row>
        <row r="148">
          <cell r="J148">
            <v>46266</v>
          </cell>
          <cell r="K148">
            <v>51.933137000000002</v>
          </cell>
          <cell r="L148">
            <v>41.286541100000001</v>
          </cell>
          <cell r="M148">
            <v>47.355100762999996</v>
          </cell>
        </row>
        <row r="149">
          <cell r="J149">
            <v>46296</v>
          </cell>
          <cell r="K149">
            <v>44.782392199999997</v>
          </cell>
          <cell r="L149">
            <v>38.274518800000003</v>
          </cell>
          <cell r="M149">
            <v>41.984006637999997</v>
          </cell>
        </row>
        <row r="150">
          <cell r="J150">
            <v>46327</v>
          </cell>
          <cell r="K150">
            <v>47.6637147</v>
          </cell>
          <cell r="L150">
            <v>39.7684827</v>
          </cell>
          <cell r="M150">
            <v>44.268764939999997</v>
          </cell>
        </row>
        <row r="151">
          <cell r="J151">
            <v>46357</v>
          </cell>
          <cell r="K151">
            <v>49.076920999999999</v>
          </cell>
          <cell r="L151">
            <v>40.995555500000009</v>
          </cell>
          <cell r="M151">
            <v>45.601933834999997</v>
          </cell>
        </row>
        <row r="152">
          <cell r="J152">
            <v>46388</v>
          </cell>
          <cell r="K152">
            <v>47.100335100000002</v>
          </cell>
          <cell r="L152">
            <v>40.214018700000004</v>
          </cell>
          <cell r="M152">
            <v>44.139219048000001</v>
          </cell>
        </row>
        <row r="153">
          <cell r="J153">
            <v>46419</v>
          </cell>
          <cell r="K153">
            <v>49.329792699999999</v>
          </cell>
          <cell r="L153">
            <v>41.793924099999998</v>
          </cell>
          <cell r="M153">
            <v>46.089369201999993</v>
          </cell>
        </row>
        <row r="154">
          <cell r="J154">
            <v>46447</v>
          </cell>
          <cell r="K154">
            <v>44.452130199999999</v>
          </cell>
          <cell r="L154">
            <v>38.501808100000005</v>
          </cell>
          <cell r="M154">
            <v>41.893491697000002</v>
          </cell>
        </row>
        <row r="155">
          <cell r="J155">
            <v>46478</v>
          </cell>
          <cell r="K155">
            <v>41.314754000000008</v>
          </cell>
          <cell r="L155">
            <v>36.900202900000004</v>
          </cell>
          <cell r="M155">
            <v>39.416497027000005</v>
          </cell>
        </row>
        <row r="156">
          <cell r="J156">
            <v>46508</v>
          </cell>
          <cell r="K156">
            <v>33.7668605</v>
          </cell>
          <cell r="L156">
            <v>31.383099700000002</v>
          </cell>
          <cell r="M156">
            <v>32.741843355999997</v>
          </cell>
        </row>
        <row r="157">
          <cell r="J157">
            <v>46539</v>
          </cell>
          <cell r="K157">
            <v>41.960735</v>
          </cell>
          <cell r="L157">
            <v>33.5107128</v>
          </cell>
          <cell r="M157">
            <v>38.327225454000001</v>
          </cell>
        </row>
        <row r="158">
          <cell r="J158">
            <v>46569</v>
          </cell>
          <cell r="K158">
            <v>47.055763800000001</v>
          </cell>
          <cell r="L158">
            <v>37.995721000000003</v>
          </cell>
          <cell r="M158">
            <v>43.159945395999998</v>
          </cell>
        </row>
        <row r="159">
          <cell r="J159">
            <v>46600</v>
          </cell>
          <cell r="K159">
            <v>52.807780000000008</v>
          </cell>
          <cell r="L159">
            <v>41.227066200000003</v>
          </cell>
          <cell r="M159">
            <v>47.828073066000002</v>
          </cell>
        </row>
        <row r="160">
          <cell r="J160">
            <v>46631</v>
          </cell>
          <cell r="K160">
            <v>54.180534899999998</v>
          </cell>
          <cell r="L160">
            <v>43.433305700000005</v>
          </cell>
          <cell r="M160">
            <v>49.559226343999995</v>
          </cell>
        </row>
        <row r="161">
          <cell r="J161">
            <v>46661</v>
          </cell>
          <cell r="K161">
            <v>48.207409600000005</v>
          </cell>
          <cell r="L161">
            <v>41.3009348</v>
          </cell>
          <cell r="M161">
            <v>45.237625436000002</v>
          </cell>
        </row>
        <row r="162">
          <cell r="J162">
            <v>46692</v>
          </cell>
          <cell r="K162">
            <v>51.874747800000002</v>
          </cell>
          <cell r="L162">
            <v>42.938152500000001</v>
          </cell>
          <cell r="M162">
            <v>48.032011820999998</v>
          </cell>
        </row>
        <row r="163">
          <cell r="J163">
            <v>46722</v>
          </cell>
          <cell r="K163">
            <v>52.146987000000003</v>
          </cell>
          <cell r="L163">
            <v>43.475775999999996</v>
          </cell>
          <cell r="M163">
            <v>48.418366269999993</v>
          </cell>
        </row>
        <row r="164">
          <cell r="J164">
            <v>46753</v>
          </cell>
          <cell r="K164">
            <v>49.686568399999999</v>
          </cell>
          <cell r="L164">
            <v>42.936942600000002</v>
          </cell>
          <cell r="M164">
            <v>46.784229306</v>
          </cell>
        </row>
        <row r="165">
          <cell r="J165">
            <v>46784</v>
          </cell>
          <cell r="K165">
            <v>52.209170299999997</v>
          </cell>
          <cell r="L165">
            <v>44.736397100000005</v>
          </cell>
          <cell r="M165">
            <v>48.995877823999997</v>
          </cell>
        </row>
        <row r="166">
          <cell r="J166">
            <v>46813</v>
          </cell>
          <cell r="K166">
            <v>46.7954206</v>
          </cell>
          <cell r="L166">
            <v>40.934911600000007</v>
          </cell>
          <cell r="M166">
            <v>44.275401729999999</v>
          </cell>
        </row>
        <row r="167">
          <cell r="J167">
            <v>46844</v>
          </cell>
          <cell r="K167">
            <v>43.869229799999999</v>
          </cell>
          <cell r="L167">
            <v>39.497403599999998</v>
          </cell>
          <cell r="M167">
            <v>41.989344533999997</v>
          </cell>
        </row>
        <row r="168">
          <cell r="J168">
            <v>46874</v>
          </cell>
          <cell r="K168">
            <v>36.995133699999997</v>
          </cell>
          <cell r="L168">
            <v>33.570160700000002</v>
          </cell>
          <cell r="M168">
            <v>35.52239531</v>
          </cell>
        </row>
        <row r="169">
          <cell r="J169">
            <v>46905</v>
          </cell>
          <cell r="K169">
            <v>45.315703899999995</v>
          </cell>
          <cell r="L169">
            <v>36.225361500000005</v>
          </cell>
          <cell r="M169">
            <v>41.406856667999996</v>
          </cell>
        </row>
        <row r="170">
          <cell r="J170">
            <v>46935</v>
          </cell>
          <cell r="K170">
            <v>50.056565599999999</v>
          </cell>
          <cell r="L170">
            <v>41.258343800000006</v>
          </cell>
          <cell r="M170">
            <v>46.273330225999999</v>
          </cell>
        </row>
        <row r="171">
          <cell r="J171">
            <v>46966</v>
          </cell>
          <cell r="K171">
            <v>55.534950999999992</v>
          </cell>
          <cell r="L171">
            <v>43.535669100000007</v>
          </cell>
          <cell r="M171">
            <v>50.375259782999997</v>
          </cell>
        </row>
        <row r="172">
          <cell r="J172">
            <v>46997</v>
          </cell>
          <cell r="K172">
            <v>56.395310500000001</v>
          </cell>
          <cell r="L172">
            <v>46.142777699999996</v>
          </cell>
          <cell r="M172">
            <v>51.986721395999993</v>
          </cell>
        </row>
        <row r="173">
          <cell r="J173">
            <v>47027</v>
          </cell>
          <cell r="K173">
            <v>50.706861799999999</v>
          </cell>
          <cell r="L173">
            <v>43.7123864</v>
          </cell>
          <cell r="M173">
            <v>47.699237377999992</v>
          </cell>
        </row>
        <row r="174">
          <cell r="J174">
            <v>47058</v>
          </cell>
          <cell r="K174">
            <v>53.140662399999997</v>
          </cell>
          <cell r="L174">
            <v>44.327889900000002</v>
          </cell>
          <cell r="M174">
            <v>49.351170224999997</v>
          </cell>
        </row>
        <row r="175">
          <cell r="J175">
            <v>47088</v>
          </cell>
          <cell r="K175">
            <v>53.983687799999998</v>
          </cell>
          <cell r="L175">
            <v>46.047636400000002</v>
          </cell>
          <cell r="M175">
            <v>50.571185697999994</v>
          </cell>
        </row>
        <row r="176">
          <cell r="J176">
            <v>47119</v>
          </cell>
          <cell r="K176">
            <v>51.938376400000003</v>
          </cell>
          <cell r="L176">
            <v>44.2995892</v>
          </cell>
          <cell r="M176">
            <v>48.653697903999998</v>
          </cell>
        </row>
        <row r="177">
          <cell r="J177">
            <v>47150</v>
          </cell>
          <cell r="K177">
            <v>55.065736099999995</v>
          </cell>
          <cell r="L177">
            <v>46.872014100000001</v>
          </cell>
          <cell r="M177">
            <v>51.542435639999994</v>
          </cell>
        </row>
        <row r="178">
          <cell r="J178">
            <v>47178</v>
          </cell>
          <cell r="K178">
            <v>48.856930599999998</v>
          </cell>
          <cell r="L178">
            <v>43.179939400000002</v>
          </cell>
          <cell r="M178">
            <v>46.415824383999997</v>
          </cell>
        </row>
        <row r="179">
          <cell r="J179">
            <v>47209</v>
          </cell>
          <cell r="K179">
            <v>46.855847300000008</v>
          </cell>
          <cell r="L179">
            <v>42.254471600000002</v>
          </cell>
          <cell r="M179">
            <v>44.877255749</v>
          </cell>
        </row>
        <row r="180">
          <cell r="J180">
            <v>47239</v>
          </cell>
          <cell r="K180">
            <v>39.566498000000003</v>
          </cell>
          <cell r="L180">
            <v>36.183833199999995</v>
          </cell>
          <cell r="M180">
            <v>38.111952135999999</v>
          </cell>
        </row>
        <row r="181">
          <cell r="J181">
            <v>47270</v>
          </cell>
          <cell r="K181">
            <v>44.747074400000002</v>
          </cell>
          <cell r="L181">
            <v>37.092243800000006</v>
          </cell>
          <cell r="M181">
            <v>41.455497242</v>
          </cell>
        </row>
        <row r="182">
          <cell r="J182">
            <v>47300</v>
          </cell>
          <cell r="K182">
            <v>50.818523700000007</v>
          </cell>
          <cell r="L182">
            <v>42.057327199999996</v>
          </cell>
          <cell r="M182">
            <v>47.051209204999999</v>
          </cell>
        </row>
        <row r="183">
          <cell r="J183">
            <v>47331</v>
          </cell>
          <cell r="K183">
            <v>57.280957999999998</v>
          </cell>
          <cell r="L183">
            <v>44.6713053</v>
          </cell>
          <cell r="M183">
            <v>51.858807338999995</v>
          </cell>
        </row>
        <row r="184">
          <cell r="J184">
            <v>47362</v>
          </cell>
          <cell r="K184">
            <v>57.686473800000002</v>
          </cell>
          <cell r="L184">
            <v>47.595587000000002</v>
          </cell>
          <cell r="M184">
            <v>53.347392475999996</v>
          </cell>
        </row>
        <row r="185">
          <cell r="J185">
            <v>47392</v>
          </cell>
          <cell r="K185">
            <v>50.278776599999993</v>
          </cell>
          <cell r="L185">
            <v>43.644951400000004</v>
          </cell>
          <cell r="M185">
            <v>47.426231763999994</v>
          </cell>
        </row>
        <row r="186">
          <cell r="J186">
            <v>47423</v>
          </cell>
          <cell r="K186">
            <v>51.896645400000004</v>
          </cell>
          <cell r="L186">
            <v>44.086376900000005</v>
          </cell>
          <cell r="M186">
            <v>48.538229944999998</v>
          </cell>
        </row>
        <row r="187">
          <cell r="J187">
            <v>47453</v>
          </cell>
          <cell r="K187">
            <v>53.808254300000002</v>
          </cell>
          <cell r="L187">
            <v>46.158712700000002</v>
          </cell>
          <cell r="M187">
            <v>50.518951412</v>
          </cell>
        </row>
        <row r="188">
          <cell r="J188">
            <v>47484</v>
          </cell>
          <cell r="K188">
            <v>52.580855499999998</v>
          </cell>
          <cell r="L188">
            <v>44.5947137</v>
          </cell>
          <cell r="M188">
            <v>49.146814526</v>
          </cell>
        </row>
        <row r="189">
          <cell r="J189">
            <v>47515</v>
          </cell>
          <cell r="K189">
            <v>55.874215599999999</v>
          </cell>
          <cell r="L189">
            <v>47.684077800000004</v>
          </cell>
          <cell r="M189">
            <v>52.352456345999997</v>
          </cell>
        </row>
        <row r="190">
          <cell r="J190">
            <v>47543</v>
          </cell>
          <cell r="K190">
            <v>50.140831899999995</v>
          </cell>
          <cell r="L190">
            <v>44.401868800000003</v>
          </cell>
          <cell r="M190">
            <v>47.673077766999995</v>
          </cell>
        </row>
        <row r="191">
          <cell r="J191">
            <v>47574</v>
          </cell>
          <cell r="K191">
            <v>47.55602240000001</v>
          </cell>
          <cell r="L191">
            <v>42.721305300000004</v>
          </cell>
          <cell r="M191">
            <v>45.477094047000008</v>
          </cell>
        </row>
        <row r="192">
          <cell r="J192">
            <v>47604</v>
          </cell>
          <cell r="K192">
            <v>39.645007999999997</v>
          </cell>
          <cell r="L192">
            <v>36.481392700000001</v>
          </cell>
          <cell r="M192">
            <v>38.284653420999994</v>
          </cell>
        </row>
        <row r="193">
          <cell r="J193">
            <v>47635</v>
          </cell>
          <cell r="K193">
            <v>46.165172500000004</v>
          </cell>
          <cell r="L193">
            <v>38.981926300000005</v>
          </cell>
          <cell r="M193">
            <v>43.076376633999999</v>
          </cell>
        </row>
        <row r="194">
          <cell r="J194">
            <v>47665</v>
          </cell>
          <cell r="K194">
            <v>52.565380300000001</v>
          </cell>
          <cell r="L194">
            <v>43.246337400000002</v>
          </cell>
          <cell r="M194">
            <v>48.558191852999997</v>
          </cell>
        </row>
        <row r="195">
          <cell r="J195">
            <v>47696</v>
          </cell>
          <cell r="K195">
            <v>59.745545999999997</v>
          </cell>
          <cell r="L195">
            <v>46.645657800000002</v>
          </cell>
          <cell r="M195">
            <v>54.112594074</v>
          </cell>
        </row>
        <row r="196">
          <cell r="J196">
            <v>47727</v>
          </cell>
          <cell r="K196">
            <v>61.246085799999996</v>
          </cell>
          <cell r="L196">
            <v>49.965252899999996</v>
          </cell>
          <cell r="M196">
            <v>56.395327652999988</v>
          </cell>
        </row>
        <row r="197">
          <cell r="J197">
            <v>47757</v>
          </cell>
          <cell r="K197">
            <v>53.880208500000009</v>
          </cell>
          <cell r="L197">
            <v>46.895398</v>
          </cell>
          <cell r="M197">
            <v>50.876739985</v>
          </cell>
        </row>
        <row r="198">
          <cell r="J198">
            <v>47788</v>
          </cell>
          <cell r="K198">
            <v>56.029132600000004</v>
          </cell>
          <cell r="L198">
            <v>47.564411800000002</v>
          </cell>
          <cell r="M198">
            <v>52.389302655999998</v>
          </cell>
        </row>
        <row r="199">
          <cell r="J199">
            <v>47818</v>
          </cell>
          <cell r="K199">
            <v>57.411308699999999</v>
          </cell>
          <cell r="L199">
            <v>49.261281400000001</v>
          </cell>
          <cell r="M199">
            <v>53.906796960999998</v>
          </cell>
        </row>
        <row r="200">
          <cell r="J200">
            <v>47849</v>
          </cell>
          <cell r="K200">
            <v>56.755923200000012</v>
          </cell>
          <cell r="L200">
            <v>48.333595099999997</v>
          </cell>
          <cell r="M200">
            <v>53.134322117000004</v>
          </cell>
        </row>
        <row r="201">
          <cell r="J201">
            <v>47880</v>
          </cell>
          <cell r="K201">
            <v>60.366960399999996</v>
          </cell>
          <cell r="L201">
            <v>51.204324800000002</v>
          </cell>
          <cell r="M201">
            <v>56.427027091999996</v>
          </cell>
        </row>
        <row r="202">
          <cell r="J202">
            <v>47908</v>
          </cell>
          <cell r="K202">
            <v>52.907917799999993</v>
          </cell>
          <cell r="L202">
            <v>47.496288800000002</v>
          </cell>
          <cell r="M202">
            <v>50.580917329999991</v>
          </cell>
        </row>
        <row r="203">
          <cell r="J203">
            <v>47939</v>
          </cell>
          <cell r="K203">
            <v>51.038848999999999</v>
          </cell>
          <cell r="L203">
            <v>45.598187500000009</v>
          </cell>
          <cell r="M203">
            <v>48.699364555000002</v>
          </cell>
        </row>
        <row r="204">
          <cell r="J204">
            <v>47969</v>
          </cell>
          <cell r="K204">
            <v>42.353491199999993</v>
          </cell>
          <cell r="L204">
            <v>38.718935899999998</v>
          </cell>
          <cell r="M204">
            <v>40.790632420999991</v>
          </cell>
        </row>
        <row r="205">
          <cell r="J205">
            <v>48000</v>
          </cell>
          <cell r="K205">
            <v>49.546510499999997</v>
          </cell>
          <cell r="L205">
            <v>41.413231300000007</v>
          </cell>
          <cell r="M205">
            <v>46.049200443999993</v>
          </cell>
        </row>
        <row r="206">
          <cell r="J206">
            <v>48030</v>
          </cell>
          <cell r="K206">
            <v>56.384673999999997</v>
          </cell>
          <cell r="L206">
            <v>46.336682400000001</v>
          </cell>
          <cell r="M206">
            <v>52.064037611999993</v>
          </cell>
        </row>
        <row r="207">
          <cell r="J207">
            <v>48061</v>
          </cell>
          <cell r="K207">
            <v>62.116803000000004</v>
          </cell>
          <cell r="L207">
            <v>49.222441500000002</v>
          </cell>
          <cell r="M207">
            <v>56.572227554999998</v>
          </cell>
        </row>
        <row r="208">
          <cell r="J208">
            <v>48092</v>
          </cell>
          <cell r="K208">
            <v>64.460986299999988</v>
          </cell>
          <cell r="L208">
            <v>52.929933300000002</v>
          </cell>
          <cell r="M208">
            <v>59.502633509999995</v>
          </cell>
        </row>
        <row r="209">
          <cell r="J209">
            <v>48122</v>
          </cell>
          <cell r="K209">
            <v>56.266817700000004</v>
          </cell>
          <cell r="L209">
            <v>49.166473199999999</v>
          </cell>
          <cell r="M209">
            <v>53.213669565000004</v>
          </cell>
        </row>
        <row r="210">
          <cell r="J210">
            <v>48153</v>
          </cell>
          <cell r="K210">
            <v>57.717466599999995</v>
          </cell>
          <cell r="L210">
            <v>49.301496900000004</v>
          </cell>
          <cell r="M210">
            <v>54.098599628999992</v>
          </cell>
        </row>
        <row r="211">
          <cell r="J211">
            <v>48183</v>
          </cell>
          <cell r="K211">
            <v>60.116765299999997</v>
          </cell>
          <cell r="L211">
            <v>51.053019100000007</v>
          </cell>
          <cell r="M211">
            <v>56.219354433999996</v>
          </cell>
        </row>
        <row r="212">
          <cell r="J212">
            <v>48214</v>
          </cell>
          <cell r="K212">
            <v>58.739466099999994</v>
          </cell>
          <cell r="L212">
            <v>50.051509300000006</v>
          </cell>
          <cell r="M212">
            <v>55.003644675999993</v>
          </cell>
        </row>
        <row r="213">
          <cell r="J213">
            <v>48245</v>
          </cell>
          <cell r="K213">
            <v>62.0126609</v>
          </cell>
          <cell r="L213">
            <v>52.043059700000001</v>
          </cell>
          <cell r="M213">
            <v>57.725732383999997</v>
          </cell>
        </row>
        <row r="214">
          <cell r="J214">
            <v>48274</v>
          </cell>
          <cell r="K214">
            <v>54.466053099999996</v>
          </cell>
          <cell r="L214">
            <v>48.4401984</v>
          </cell>
          <cell r="M214">
            <v>51.874935578999995</v>
          </cell>
        </row>
        <row r="215">
          <cell r="J215">
            <v>48305</v>
          </cell>
          <cell r="K215">
            <v>52.590111299999997</v>
          </cell>
          <cell r="L215">
            <v>47.573576200000005</v>
          </cell>
          <cell r="M215">
            <v>50.433001207000004</v>
          </cell>
        </row>
        <row r="216">
          <cell r="J216">
            <v>48335</v>
          </cell>
          <cell r="K216">
            <v>44.063074499999999</v>
          </cell>
          <cell r="L216">
            <v>40.719888600000004</v>
          </cell>
          <cell r="M216">
            <v>42.625504562999993</v>
          </cell>
        </row>
        <row r="217">
          <cell r="J217">
            <v>48366</v>
          </cell>
          <cell r="K217">
            <v>50.820445599999999</v>
          </cell>
          <cell r="L217">
            <v>42.400638200000003</v>
          </cell>
          <cell r="M217">
            <v>47.199928417999999</v>
          </cell>
        </row>
        <row r="218">
          <cell r="J218">
            <v>48396</v>
          </cell>
          <cell r="K218">
            <v>56.9818979</v>
          </cell>
          <cell r="L218">
            <v>46.959916700000001</v>
          </cell>
          <cell r="M218">
            <v>52.672445983999999</v>
          </cell>
        </row>
        <row r="219">
          <cell r="J219">
            <v>48427</v>
          </cell>
          <cell r="K219">
            <v>63.303275999999997</v>
          </cell>
          <cell r="L219">
            <v>49.969761900000002</v>
          </cell>
          <cell r="M219">
            <v>57.569864936999998</v>
          </cell>
        </row>
        <row r="220">
          <cell r="J220">
            <v>48458</v>
          </cell>
          <cell r="K220">
            <v>64.376925999999997</v>
          </cell>
          <cell r="L220">
            <v>53.287614699999999</v>
          </cell>
          <cell r="M220">
            <v>59.608522140999995</v>
          </cell>
        </row>
        <row r="221">
          <cell r="J221">
            <v>48488</v>
          </cell>
          <cell r="K221">
            <v>56.427455599999995</v>
          </cell>
          <cell r="L221">
            <v>49.748735600000003</v>
          </cell>
          <cell r="M221">
            <v>53.555605999999997</v>
          </cell>
        </row>
        <row r="222">
          <cell r="J222">
            <v>48519</v>
          </cell>
          <cell r="K222">
            <v>59.011456299999999</v>
          </cell>
          <cell r="L222">
            <v>49.850075900000007</v>
          </cell>
          <cell r="M222">
            <v>55.072062727999999</v>
          </cell>
        </row>
        <row r="223">
          <cell r="J223">
            <v>48549</v>
          </cell>
          <cell r="K223">
            <v>60.6399744</v>
          </cell>
          <cell r="L223">
            <v>51.675192200000005</v>
          </cell>
          <cell r="M223">
            <v>56.785118054000002</v>
          </cell>
        </row>
        <row r="224">
          <cell r="J224">
            <v>48580</v>
          </cell>
          <cell r="K224">
            <v>59.116253599999993</v>
          </cell>
          <cell r="L224">
            <v>50.701051300000003</v>
          </cell>
          <cell r="M224">
            <v>55.497716611000001</v>
          </cell>
        </row>
        <row r="225">
          <cell r="J225">
            <v>48611</v>
          </cell>
          <cell r="K225">
            <v>62.699695000000006</v>
          </cell>
          <cell r="L225">
            <v>52.776666300000002</v>
          </cell>
          <cell r="M225">
            <v>58.432792659</v>
          </cell>
        </row>
        <row r="226">
          <cell r="J226">
            <v>48639</v>
          </cell>
          <cell r="K226">
            <v>54.953842399999999</v>
          </cell>
          <cell r="L226">
            <v>49.212685200000003</v>
          </cell>
          <cell r="M226">
            <v>52.485144804000001</v>
          </cell>
        </row>
        <row r="227">
          <cell r="J227">
            <v>48670</v>
          </cell>
          <cell r="K227">
            <v>52.5939993</v>
          </cell>
          <cell r="L227">
            <v>47.625693200000001</v>
          </cell>
          <cell r="M227">
            <v>50.457627676999998</v>
          </cell>
        </row>
        <row r="228">
          <cell r="J228">
            <v>48700</v>
          </cell>
          <cell r="K228">
            <v>43.609824200000006</v>
          </cell>
          <cell r="L228">
            <v>40.555333900000001</v>
          </cell>
          <cell r="M228">
            <v>42.296393371000001</v>
          </cell>
        </row>
        <row r="229">
          <cell r="J229">
            <v>48731</v>
          </cell>
          <cell r="K229">
            <v>51.245702700000002</v>
          </cell>
          <cell r="L229">
            <v>43.146857199999999</v>
          </cell>
          <cell r="M229">
            <v>47.763199134999994</v>
          </cell>
        </row>
        <row r="230">
          <cell r="J230">
            <v>48761</v>
          </cell>
          <cell r="K230">
            <v>58.016458899999996</v>
          </cell>
          <cell r="L230">
            <v>48.287817000000004</v>
          </cell>
          <cell r="M230">
            <v>53.833142882999994</v>
          </cell>
        </row>
        <row r="231">
          <cell r="J231">
            <v>48792</v>
          </cell>
          <cell r="K231">
            <v>64.768613999999999</v>
          </cell>
          <cell r="L231">
            <v>50.513313199999999</v>
          </cell>
          <cell r="M231">
            <v>58.638834656</v>
          </cell>
        </row>
        <row r="232">
          <cell r="J232">
            <v>48823</v>
          </cell>
          <cell r="K232">
            <v>65.842453599999999</v>
          </cell>
          <cell r="L232">
            <v>54.6044743</v>
          </cell>
          <cell r="M232">
            <v>61.010122500999998</v>
          </cell>
        </row>
        <row r="233">
          <cell r="J233">
            <v>48853</v>
          </cell>
          <cell r="K233">
            <v>59.0664838</v>
          </cell>
          <cell r="L233">
            <v>51.869668900000001</v>
          </cell>
          <cell r="M233">
            <v>55.971853392999989</v>
          </cell>
        </row>
        <row r="234">
          <cell r="J234">
            <v>48884</v>
          </cell>
          <cell r="K234">
            <v>62.920305500000005</v>
          </cell>
          <cell r="L234">
            <v>52.105343200000007</v>
          </cell>
          <cell r="M234">
            <v>58.269871711</v>
          </cell>
        </row>
        <row r="235">
          <cell r="J235">
            <v>48914</v>
          </cell>
          <cell r="K235">
            <v>63.331136199999996</v>
          </cell>
          <cell r="L235">
            <v>53.720479500000003</v>
          </cell>
          <cell r="M235">
            <v>59.198553818999997</v>
          </cell>
        </row>
        <row r="236">
          <cell r="J236">
            <v>48945</v>
          </cell>
          <cell r="K236">
            <v>61.408858099999996</v>
          </cell>
          <cell r="L236">
            <v>52.676151400000002</v>
          </cell>
          <cell r="M236">
            <v>57.653794218999998</v>
          </cell>
        </row>
        <row r="237">
          <cell r="J237">
            <v>48976</v>
          </cell>
          <cell r="K237">
            <v>64.409637599999996</v>
          </cell>
          <cell r="L237">
            <v>54.8559676</v>
          </cell>
          <cell r="M237">
            <v>60.301559499999996</v>
          </cell>
        </row>
        <row r="238">
          <cell r="J238">
            <v>49004</v>
          </cell>
          <cell r="K238">
            <v>56.390015499999997</v>
          </cell>
          <cell r="L238">
            <v>51.105920900000001</v>
          </cell>
          <cell r="M238">
            <v>54.117854821999998</v>
          </cell>
        </row>
        <row r="239">
          <cell r="J239">
            <v>49035</v>
          </cell>
          <cell r="K239">
            <v>54.391248099999999</v>
          </cell>
          <cell r="L239">
            <v>49.400650600000006</v>
          </cell>
          <cell r="M239">
            <v>52.245291174999998</v>
          </cell>
        </row>
        <row r="240">
          <cell r="J240">
            <v>49065</v>
          </cell>
          <cell r="K240">
            <v>46.424303800000004</v>
          </cell>
          <cell r="L240">
            <v>42.547345700000008</v>
          </cell>
          <cell r="M240">
            <v>44.757211817000005</v>
          </cell>
        </row>
        <row r="241">
          <cell r="J241">
            <v>49096</v>
          </cell>
          <cell r="K241">
            <v>53.7490709</v>
          </cell>
          <cell r="L241">
            <v>45.398245500000002</v>
          </cell>
          <cell r="M241">
            <v>50.158215978000001</v>
          </cell>
        </row>
        <row r="242">
          <cell r="J242">
            <v>49126</v>
          </cell>
          <cell r="K242">
            <v>60.253444499999993</v>
          </cell>
          <cell r="L242">
            <v>50.479268000000005</v>
          </cell>
          <cell r="M242">
            <v>56.050548604999996</v>
          </cell>
        </row>
        <row r="243">
          <cell r="J243">
            <v>49157</v>
          </cell>
          <cell r="K243">
            <v>66.447493000000009</v>
          </cell>
          <cell r="L243">
            <v>52.585804700000004</v>
          </cell>
          <cell r="M243">
            <v>60.486967030999999</v>
          </cell>
        </row>
        <row r="244">
          <cell r="J244">
            <v>49188</v>
          </cell>
          <cell r="K244">
            <v>66.522777300000001</v>
          </cell>
          <cell r="L244">
            <v>56.085793200000005</v>
          </cell>
          <cell r="M244">
            <v>62.034874137000003</v>
          </cell>
        </row>
        <row r="245">
          <cell r="J245">
            <v>49218</v>
          </cell>
          <cell r="K245">
            <v>59.7805623</v>
          </cell>
          <cell r="L245">
            <v>52.483503500000005</v>
          </cell>
          <cell r="M245">
            <v>56.642827015999998</v>
          </cell>
        </row>
        <row r="246">
          <cell r="J246">
            <v>49249</v>
          </cell>
          <cell r="K246">
            <v>61.996063199999995</v>
          </cell>
          <cell r="L246">
            <v>51.825818099999999</v>
          </cell>
          <cell r="M246">
            <v>57.622857806999988</v>
          </cell>
        </row>
        <row r="247">
          <cell r="J247">
            <v>49279</v>
          </cell>
          <cell r="K247">
            <v>62.932901500000007</v>
          </cell>
          <cell r="L247">
            <v>54.603294999999996</v>
          </cell>
          <cell r="M247">
            <v>59.351170705000001</v>
          </cell>
        </row>
        <row r="248">
          <cell r="J248">
            <v>49310</v>
          </cell>
          <cell r="K248">
            <v>62.705987800000003</v>
          </cell>
          <cell r="L248">
            <v>52.772507999999995</v>
          </cell>
          <cell r="M248">
            <v>58.434591485999988</v>
          </cell>
        </row>
        <row r="249">
          <cell r="J249">
            <v>49341</v>
          </cell>
          <cell r="K249">
            <v>66.237489699999998</v>
          </cell>
          <cell r="L249">
            <v>55.836169900000002</v>
          </cell>
          <cell r="M249">
            <v>61.764922185999993</v>
          </cell>
        </row>
        <row r="250">
          <cell r="J250">
            <v>49369</v>
          </cell>
          <cell r="K250">
            <v>57.9699411</v>
          </cell>
          <cell r="L250">
            <v>52.233265200000005</v>
          </cell>
          <cell r="M250">
            <v>55.503170463000004</v>
          </cell>
        </row>
        <row r="251">
          <cell r="J251">
            <v>49400</v>
          </cell>
          <cell r="K251">
            <v>56.143072599999996</v>
          </cell>
          <cell r="L251">
            <v>50.952322700000011</v>
          </cell>
          <cell r="M251">
            <v>53.911050142999997</v>
          </cell>
        </row>
        <row r="252">
          <cell r="J252">
            <v>49430</v>
          </cell>
          <cell r="K252">
            <v>48.933395300000001</v>
          </cell>
          <cell r="L252">
            <v>45.214203100000006</v>
          </cell>
          <cell r="M252">
            <v>47.334142654000004</v>
          </cell>
        </row>
        <row r="253">
          <cell r="J253">
            <v>49461</v>
          </cell>
          <cell r="K253">
            <v>53.4976214</v>
          </cell>
          <cell r="L253">
            <v>45.964795800000005</v>
          </cell>
          <cell r="M253">
            <v>50.258506392000001</v>
          </cell>
        </row>
        <row r="254">
          <cell r="J254">
            <v>49491</v>
          </cell>
          <cell r="K254">
            <v>61.218121500000002</v>
          </cell>
          <cell r="L254">
            <v>50.377049300000003</v>
          </cell>
          <cell r="M254">
            <v>56.556460453999996</v>
          </cell>
        </row>
        <row r="255">
          <cell r="J255">
            <v>49522</v>
          </cell>
          <cell r="K255">
            <v>70.079791</v>
          </cell>
          <cell r="L255">
            <v>54.693744100000004</v>
          </cell>
          <cell r="M255">
            <v>63.463790832999997</v>
          </cell>
        </row>
        <row r="256">
          <cell r="J256">
            <v>49553</v>
          </cell>
          <cell r="K256">
            <v>69.136037700000003</v>
          </cell>
          <cell r="L256">
            <v>57.845614200000007</v>
          </cell>
          <cell r="M256">
            <v>64.281155595000001</v>
          </cell>
        </row>
        <row r="257">
          <cell r="J257">
            <v>49583</v>
          </cell>
          <cell r="K257">
            <v>60.425364699999996</v>
          </cell>
          <cell r="L257">
            <v>53.218449400000004</v>
          </cell>
          <cell r="M257">
            <v>57.326391121</v>
          </cell>
        </row>
        <row r="258">
          <cell r="J258">
            <v>49614</v>
          </cell>
          <cell r="K258">
            <v>62.519111500000001</v>
          </cell>
          <cell r="L258">
            <v>52.878708899999999</v>
          </cell>
          <cell r="M258">
            <v>58.373738381999999</v>
          </cell>
        </row>
        <row r="259">
          <cell r="J259">
            <v>49644</v>
          </cell>
          <cell r="K259">
            <v>65.534979799999988</v>
          </cell>
          <cell r="L259">
            <v>56.348725999999999</v>
          </cell>
          <cell r="M259">
            <v>61.584890665999986</v>
          </cell>
        </row>
        <row r="260">
          <cell r="J260">
            <v>49675</v>
          </cell>
          <cell r="K260">
            <v>64.293732199999994</v>
          </cell>
          <cell r="L260">
            <v>54.329472599999995</v>
          </cell>
          <cell r="M260">
            <v>60.009100571999994</v>
          </cell>
        </row>
        <row r="261">
          <cell r="J261">
            <v>49706</v>
          </cell>
          <cell r="K261">
            <v>66.346242700000005</v>
          </cell>
          <cell r="L261">
            <v>55.689722000000003</v>
          </cell>
          <cell r="M261">
            <v>61.763938799000002</v>
          </cell>
        </row>
        <row r="262">
          <cell r="J262">
            <v>49735</v>
          </cell>
          <cell r="K262">
            <v>58.493513599999993</v>
          </cell>
          <cell r="L262">
            <v>54.097972600000006</v>
          </cell>
          <cell r="M262">
            <v>56.603430969999991</v>
          </cell>
        </row>
        <row r="263">
          <cell r="J263">
            <v>49766</v>
          </cell>
          <cell r="K263">
            <v>56.839399400000005</v>
          </cell>
          <cell r="L263">
            <v>51.916784499999991</v>
          </cell>
          <cell r="M263">
            <v>54.722674992999998</v>
          </cell>
        </row>
        <row r="264">
          <cell r="J264">
            <v>49796</v>
          </cell>
          <cell r="K264">
            <v>48.605054600000003</v>
          </cell>
          <cell r="L264">
            <v>45.416220100000004</v>
          </cell>
          <cell r="M264">
            <v>47.233855765000001</v>
          </cell>
        </row>
        <row r="265">
          <cell r="J265">
            <v>49827</v>
          </cell>
          <cell r="K265">
            <v>54.8854726</v>
          </cell>
          <cell r="L265">
            <v>47.686254099999999</v>
          </cell>
          <cell r="M265">
            <v>51.789808644999994</v>
          </cell>
        </row>
        <row r="266">
          <cell r="J266">
            <v>49857</v>
          </cell>
          <cell r="K266">
            <v>62.097633600000002</v>
          </cell>
          <cell r="L266">
            <v>50.6867643</v>
          </cell>
          <cell r="M266">
            <v>57.190959800999998</v>
          </cell>
        </row>
        <row r="267">
          <cell r="J267">
            <v>49888</v>
          </cell>
          <cell r="K267">
            <v>69.800436000000005</v>
          </cell>
          <cell r="L267">
            <v>56.285028100000005</v>
          </cell>
          <cell r="M267">
            <v>63.988810603000005</v>
          </cell>
        </row>
        <row r="268">
          <cell r="J268">
            <v>49919</v>
          </cell>
          <cell r="K268">
            <v>70.657094499999999</v>
          </cell>
          <cell r="L268">
            <v>58.439846199999998</v>
          </cell>
          <cell r="M268">
            <v>65.403677731000002</v>
          </cell>
        </row>
        <row r="269">
          <cell r="J269">
            <v>49949</v>
          </cell>
          <cell r="K269">
            <v>62.764903499999996</v>
          </cell>
          <cell r="L269">
            <v>53.730384899999997</v>
          </cell>
          <cell r="M269">
            <v>58.880060501999992</v>
          </cell>
        </row>
        <row r="270">
          <cell r="J270">
            <v>49980</v>
          </cell>
          <cell r="K270">
            <v>65.958199799999988</v>
          </cell>
          <cell r="L270">
            <v>55.8952405</v>
          </cell>
          <cell r="M270">
            <v>61.631127300999992</v>
          </cell>
        </row>
        <row r="271">
          <cell r="J271">
            <v>50010</v>
          </cell>
          <cell r="K271">
            <v>67.034925400000006</v>
          </cell>
          <cell r="L271">
            <v>57.315294099999996</v>
          </cell>
          <cell r="M271">
            <v>62.855483940999996</v>
          </cell>
        </row>
        <row r="272">
          <cell r="J272">
            <v>50041</v>
          </cell>
          <cell r="K272">
            <v>66.924730800000006</v>
          </cell>
          <cell r="L272">
            <v>56.648552300000006</v>
          </cell>
          <cell r="M272">
            <v>62.505974045000002</v>
          </cell>
        </row>
        <row r="273">
          <cell r="J273">
            <v>50072</v>
          </cell>
          <cell r="K273">
            <v>70.479227499999993</v>
          </cell>
          <cell r="L273">
            <v>58.928873599999996</v>
          </cell>
          <cell r="M273">
            <v>65.512575322999993</v>
          </cell>
        </row>
        <row r="274">
          <cell r="J274">
            <v>50100</v>
          </cell>
          <cell r="K274">
            <v>60.629319500000001</v>
          </cell>
          <cell r="L274">
            <v>56.366080000000004</v>
          </cell>
          <cell r="M274">
            <v>58.796126514999997</v>
          </cell>
        </row>
        <row r="275">
          <cell r="J275">
            <v>50131</v>
          </cell>
          <cell r="K275">
            <v>58.100565000000003</v>
          </cell>
          <cell r="L275">
            <v>53.805372800000001</v>
          </cell>
          <cell r="M275">
            <v>56.253632353999997</v>
          </cell>
        </row>
        <row r="276">
          <cell r="J276">
            <v>50161</v>
          </cell>
          <cell r="K276">
            <v>50.509577200000003</v>
          </cell>
          <cell r="L276">
            <v>47.472485600000006</v>
          </cell>
          <cell r="M276">
            <v>49.203627812000001</v>
          </cell>
        </row>
        <row r="277">
          <cell r="J277">
            <v>50192</v>
          </cell>
          <cell r="K277">
            <v>57.184662100000004</v>
          </cell>
          <cell r="L277">
            <v>49.731109100000005</v>
          </cell>
          <cell r="M277">
            <v>53.979634309999994</v>
          </cell>
        </row>
        <row r="278">
          <cell r="J278">
            <v>50222</v>
          </cell>
          <cell r="K278">
            <v>63.939491400000001</v>
          </cell>
          <cell r="L278">
            <v>52.707802900000004</v>
          </cell>
          <cell r="M278">
            <v>59.109865345000003</v>
          </cell>
        </row>
        <row r="279">
          <cell r="J279">
            <v>50253</v>
          </cell>
          <cell r="K279">
            <v>71.586652000000001</v>
          </cell>
          <cell r="L279">
            <v>57.801442599999994</v>
          </cell>
          <cell r="M279">
            <v>65.659011957999994</v>
          </cell>
        </row>
        <row r="280">
          <cell r="J280">
            <v>50284</v>
          </cell>
          <cell r="K280">
            <v>72.085360800000004</v>
          </cell>
          <cell r="L280">
            <v>59.946230300000003</v>
          </cell>
          <cell r="M280">
            <v>66.865534685</v>
          </cell>
        </row>
        <row r="281">
          <cell r="J281">
            <v>50314</v>
          </cell>
          <cell r="K281">
            <v>63.081788099999997</v>
          </cell>
          <cell r="L281">
            <v>55.124746500000001</v>
          </cell>
          <cell r="M281">
            <v>59.660260211999997</v>
          </cell>
        </row>
        <row r="282">
          <cell r="J282">
            <v>50345</v>
          </cell>
          <cell r="K282">
            <v>66.945594299999996</v>
          </cell>
          <cell r="L282">
            <v>56.781755499999996</v>
          </cell>
          <cell r="M282">
            <v>62.575143615999991</v>
          </cell>
        </row>
        <row r="283">
          <cell r="J283">
            <v>50375</v>
          </cell>
          <cell r="K283">
            <v>70.105582799999993</v>
          </cell>
          <cell r="L283">
            <v>59.805390200000005</v>
          </cell>
          <cell r="M283">
            <v>65.676499981999996</v>
          </cell>
        </row>
        <row r="284">
          <cell r="J284">
            <v>50406</v>
          </cell>
          <cell r="K284">
            <v>68.146930900000001</v>
          </cell>
          <cell r="L284">
            <v>58.908076399999999</v>
          </cell>
          <cell r="M284">
            <v>64.174223464999997</v>
          </cell>
        </row>
        <row r="285">
          <cell r="J285">
            <v>50437</v>
          </cell>
          <cell r="K285">
            <v>70.769483799999989</v>
          </cell>
          <cell r="L285">
            <v>60.174825999999996</v>
          </cell>
          <cell r="M285">
            <v>66.213780945999986</v>
          </cell>
        </row>
        <row r="286">
          <cell r="J286">
            <v>50465</v>
          </cell>
          <cell r="K286">
            <v>61.984895399999999</v>
          </cell>
          <cell r="L286">
            <v>56.688409399999998</v>
          </cell>
          <cell r="M286">
            <v>59.707406419999998</v>
          </cell>
        </row>
        <row r="287">
          <cell r="J287">
            <v>50496</v>
          </cell>
          <cell r="K287">
            <v>60.081553200000002</v>
          </cell>
          <cell r="L287">
            <v>56.271184300000002</v>
          </cell>
          <cell r="M287">
            <v>58.443094572999996</v>
          </cell>
        </row>
        <row r="288">
          <cell r="J288">
            <v>50526</v>
          </cell>
          <cell r="K288">
            <v>53.759611399999997</v>
          </cell>
          <cell r="L288">
            <v>50.985618500000001</v>
          </cell>
          <cell r="M288">
            <v>52.566794452999993</v>
          </cell>
        </row>
        <row r="289">
          <cell r="J289">
            <v>50557</v>
          </cell>
          <cell r="K289">
            <v>59.532894900000002</v>
          </cell>
          <cell r="L289">
            <v>52.154442899999999</v>
          </cell>
          <cell r="M289">
            <v>56.360160539999995</v>
          </cell>
        </row>
        <row r="290">
          <cell r="J290">
            <v>50587</v>
          </cell>
          <cell r="K290">
            <v>65.904366899999999</v>
          </cell>
          <cell r="L290">
            <v>54.754697300000004</v>
          </cell>
          <cell r="M290">
            <v>61.110008972000003</v>
          </cell>
        </row>
        <row r="291">
          <cell r="J291">
            <v>50618</v>
          </cell>
          <cell r="K291">
            <v>73.829679999999996</v>
          </cell>
          <cell r="L291">
            <v>60.070921700000007</v>
          </cell>
          <cell r="M291">
            <v>67.913413930999994</v>
          </cell>
        </row>
        <row r="292">
          <cell r="J292">
            <v>50649</v>
          </cell>
          <cell r="K292">
            <v>72.098239100000001</v>
          </cell>
          <cell r="L292">
            <v>61.373144600000003</v>
          </cell>
          <cell r="M292">
            <v>67.486448464999995</v>
          </cell>
        </row>
        <row r="293">
          <cell r="J293">
            <v>50679</v>
          </cell>
          <cell r="K293">
            <v>64.5289334</v>
          </cell>
          <cell r="L293">
            <v>57.265215900000001</v>
          </cell>
          <cell r="M293">
            <v>61.405534875000001</v>
          </cell>
        </row>
        <row r="294">
          <cell r="J294">
            <v>50710</v>
          </cell>
          <cell r="K294">
            <v>69.394672499999999</v>
          </cell>
          <cell r="L294">
            <v>59.076160399999999</v>
          </cell>
          <cell r="M294">
            <v>64.957712297</v>
          </cell>
        </row>
        <row r="295">
          <cell r="J295">
            <v>50740</v>
          </cell>
          <cell r="K295">
            <v>71.531839300000001</v>
          </cell>
          <cell r="L295">
            <v>61.678030500000006</v>
          </cell>
          <cell r="M295">
            <v>67.294701516000003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zoomScale="70" zoomScaleNormal="70" zoomScaleSheetLayoutView="80" workbookViewId="0">
      <selection activeCell="B32" sqref="B32"/>
    </sheetView>
  </sheetViews>
  <sheetFormatPr defaultColWidth="9.33203125" defaultRowHeight="12.75"/>
  <cols>
    <col min="1" max="1" width="14" style="54" customWidth="1"/>
    <col min="2" max="2" width="11.6640625" style="54" customWidth="1"/>
    <col min="3" max="5" width="17.5" style="54" customWidth="1"/>
    <col min="6" max="6" width="9.33203125" style="54" customWidth="1"/>
    <col min="7" max="7" width="9.33203125" style="53" customWidth="1"/>
    <col min="8" max="8" width="10.5" style="53" bestFit="1" customWidth="1"/>
    <col min="9" max="16384" width="9.33203125" style="53"/>
  </cols>
  <sheetData>
    <row r="1" spans="2:6" ht="15.75">
      <c r="B1" s="252" t="s">
        <v>181</v>
      </c>
      <c r="C1" s="253"/>
      <c r="D1" s="253"/>
      <c r="E1" s="254"/>
      <c r="F1" s="255"/>
    </row>
    <row r="2" spans="2:6" ht="5.25" customHeight="1">
      <c r="B2" s="252"/>
      <c r="C2" s="253"/>
      <c r="D2" s="253"/>
      <c r="E2" s="254"/>
      <c r="F2" s="255"/>
    </row>
    <row r="3" spans="2:6" ht="15.75">
      <c r="B3" s="256" t="s">
        <v>173</v>
      </c>
      <c r="C3" s="256"/>
      <c r="D3" s="256"/>
      <c r="E3" s="252"/>
      <c r="F3" s="255"/>
    </row>
    <row r="4" spans="2:6" ht="15.75">
      <c r="B4" s="4" t="s">
        <v>180</v>
      </c>
      <c r="C4" s="256"/>
      <c r="D4" s="256"/>
      <c r="E4" s="252"/>
      <c r="F4" s="255"/>
    </row>
    <row r="5" spans="2:6" ht="25.5" customHeight="1">
      <c r="C5" s="257" t="s">
        <v>76</v>
      </c>
      <c r="D5" s="257" t="s">
        <v>76</v>
      </c>
      <c r="E5" s="257" t="str">
        <f>C5</f>
        <v>Wind</v>
      </c>
      <c r="F5" s="255"/>
    </row>
    <row r="6" spans="2:6">
      <c r="B6" s="257" t="s">
        <v>0</v>
      </c>
      <c r="C6" s="258" t="s">
        <v>183</v>
      </c>
      <c r="D6" s="258" t="s">
        <v>182</v>
      </c>
      <c r="E6" s="259"/>
      <c r="F6" s="260"/>
    </row>
    <row r="7" spans="2:6">
      <c r="B7" s="257"/>
      <c r="C7" s="261" t="s">
        <v>174</v>
      </c>
      <c r="D7" s="262" t="s">
        <v>175</v>
      </c>
      <c r="E7" s="263" t="s">
        <v>176</v>
      </c>
      <c r="F7" s="264"/>
    </row>
    <row r="8" spans="2:6">
      <c r="B8" s="265">
        <f>'Table 1'!B14</f>
        <v>2019</v>
      </c>
      <c r="C8" s="266">
        <f ca="1">VLOOKUP($B8,'Table 1'!$B$13:$G$32,6,FALSE)</f>
        <v>16.381831862972561</v>
      </c>
      <c r="D8" s="266">
        <f>VLOOKUP($B8,'[11]Table 1'!$B$13:$G$32,6,FALSE)</f>
        <v>14.731984215518219</v>
      </c>
      <c r="E8" s="267">
        <f t="shared" ref="E8:E22" ca="1" si="0">C8-D8</f>
        <v>1.649847647454342</v>
      </c>
      <c r="F8" s="268"/>
    </row>
    <row r="9" spans="2:6">
      <c r="B9" s="269">
        <f>'Table 1'!B15</f>
        <v>2020</v>
      </c>
      <c r="C9" s="270">
        <f ca="1">VLOOKUP($B9,'Table 1'!$B$13:$G$32,6,FALSE)</f>
        <v>15.518279480509388</v>
      </c>
      <c r="D9" s="270">
        <f>VLOOKUP($B9,'[11]Table 1'!$B$13:$G$32,6,FALSE)</f>
        <v>12.155046403287004</v>
      </c>
      <c r="E9" s="271">
        <f t="shared" ca="1" si="0"/>
        <v>3.3632330772223842</v>
      </c>
      <c r="F9" s="268"/>
    </row>
    <row r="10" spans="2:6">
      <c r="B10" s="269">
        <f>'Table 1'!B16</f>
        <v>2021</v>
      </c>
      <c r="C10" s="270">
        <f ca="1">VLOOKUP($B10,'Table 1'!$B$13:$G$32,6,FALSE)</f>
        <v>13.968876297807361</v>
      </c>
      <c r="D10" s="270">
        <f>VLOOKUP($B10,'[11]Table 1'!$B$13:$G$32,6,FALSE)</f>
        <v>13.042190855475017</v>
      </c>
      <c r="E10" s="271">
        <f t="shared" ca="1" si="0"/>
        <v>0.92668544233234407</v>
      </c>
      <c r="F10" s="268"/>
    </row>
    <row r="11" spans="2:6">
      <c r="B11" s="269">
        <f>'Table 1'!B17</f>
        <v>2022</v>
      </c>
      <c r="C11" s="270">
        <f ca="1">VLOOKUP($B11,'Table 1'!$B$13:$G$32,6,FALSE)</f>
        <v>13.51223024885655</v>
      </c>
      <c r="D11" s="270">
        <f>VLOOKUP($B11,'[11]Table 1'!$B$13:$G$32,6,FALSE)</f>
        <v>14.637627585434304</v>
      </c>
      <c r="E11" s="271">
        <f t="shared" ca="1" si="0"/>
        <v>-1.1253973365777536</v>
      </c>
      <c r="F11" s="268"/>
    </row>
    <row r="12" spans="2:6">
      <c r="B12" s="269">
        <f>'Table 1'!B18</f>
        <v>2023</v>
      </c>
      <c r="C12" s="270">
        <f ca="1">VLOOKUP($B12,'Table 1'!$B$13:$G$32,6,FALSE)</f>
        <v>14.132665329712292</v>
      </c>
      <c r="D12" s="270">
        <f>VLOOKUP($B12,'[11]Table 1'!$B$13:$G$32,6,FALSE)</f>
        <v>14.5752915458721</v>
      </c>
      <c r="E12" s="271">
        <f t="shared" ca="1" si="0"/>
        <v>-0.44262621615980713</v>
      </c>
      <c r="F12" s="268"/>
    </row>
    <row r="13" spans="2:6">
      <c r="B13" s="269">
        <f>'Table 1'!B19</f>
        <v>2024</v>
      </c>
      <c r="C13" s="270">
        <f ca="1">VLOOKUP($B13,'Table 1'!$B$13:$G$32,6,FALSE)</f>
        <v>15.017521634229146</v>
      </c>
      <c r="D13" s="270">
        <f>VLOOKUP($B13,'[11]Table 1'!$B$13:$G$32,6,FALSE)</f>
        <v>15.797140787837629</v>
      </c>
      <c r="E13" s="271">
        <f t="shared" ca="1" si="0"/>
        <v>-0.77961915360848266</v>
      </c>
      <c r="F13" s="268"/>
    </row>
    <row r="14" spans="2:6">
      <c r="B14" s="269">
        <f>'Table 1'!B20</f>
        <v>2025</v>
      </c>
      <c r="C14" s="270">
        <f ca="1">VLOOKUP($B14,'Table 1'!$B$13:$G$32,6,FALSE)</f>
        <v>20.164731271446673</v>
      </c>
      <c r="D14" s="270">
        <f>VLOOKUP($B14,'[11]Table 1'!$B$13:$G$32,6,FALSE)</f>
        <v>16.11933275506734</v>
      </c>
      <c r="E14" s="271">
        <f t="shared" ca="1" si="0"/>
        <v>4.0453985163793327</v>
      </c>
      <c r="F14" s="268"/>
    </row>
    <row r="15" spans="2:6">
      <c r="B15" s="269">
        <f>'Table 1'!B21</f>
        <v>2026</v>
      </c>
      <c r="C15" s="270">
        <f ca="1">VLOOKUP($B15,'Table 1'!$B$13:$G$32,6,FALSE)</f>
        <v>22.520387394793275</v>
      </c>
      <c r="D15" s="270">
        <f>VLOOKUP($B15,'[11]Table 1'!$B$13:$G$32,6,FALSE)</f>
        <v>17.368180324986955</v>
      </c>
      <c r="E15" s="271">
        <f t="shared" ca="1" si="0"/>
        <v>5.1522070698063196</v>
      </c>
      <c r="F15" s="268"/>
    </row>
    <row r="16" spans="2:6">
      <c r="B16" s="269">
        <f>'Table 1'!B22</f>
        <v>2027</v>
      </c>
      <c r="C16" s="270">
        <f ca="1">VLOOKUP($B16,'Table 1'!$B$13:$G$32,6,FALSE)</f>
        <v>23.776715460550971</v>
      </c>
      <c r="D16" s="270">
        <f>VLOOKUP($B16,'[11]Table 1'!$B$13:$G$32,6,FALSE)</f>
        <v>17.252806964223517</v>
      </c>
      <c r="E16" s="271">
        <f t="shared" ca="1" si="0"/>
        <v>6.5239084963274543</v>
      </c>
      <c r="F16" s="268"/>
    </row>
    <row r="17" spans="1:6">
      <c r="B17" s="269">
        <f>'Table 1'!B23</f>
        <v>2028</v>
      </c>
      <c r="C17" s="270">
        <f ca="1">VLOOKUP($B17,'Table 1'!$B$13:$G$32,6,FALSE)</f>
        <v>27.172625873629059</v>
      </c>
      <c r="D17" s="270">
        <f>VLOOKUP($B17,'[11]Table 1'!$B$13:$G$32,6,FALSE)</f>
        <v>11.475517120993214</v>
      </c>
      <c r="E17" s="271">
        <f t="shared" ca="1" si="0"/>
        <v>15.697108752635845</v>
      </c>
      <c r="F17" s="268"/>
    </row>
    <row r="18" spans="1:6">
      <c r="B18" s="269">
        <f>'Table 1'!B24</f>
        <v>2029</v>
      </c>
      <c r="C18" s="270">
        <f ca="1">VLOOKUP($B18,'Table 1'!$B$13:$G$32,6,FALSE)</f>
        <v>31.761207192902624</v>
      </c>
      <c r="D18" s="270">
        <f>VLOOKUP($B18,'[11]Table 1'!$B$13:$G$32,6,FALSE)</f>
        <v>10.616240178253664</v>
      </c>
      <c r="E18" s="271">
        <f t="shared" ca="1" si="0"/>
        <v>21.144967014648962</v>
      </c>
      <c r="F18" s="268"/>
    </row>
    <row r="19" spans="1:6">
      <c r="B19" s="269">
        <f>'Table 1'!B25</f>
        <v>2030</v>
      </c>
      <c r="C19" s="270">
        <f ca="1">VLOOKUP($B19,'Table 1'!$B$13:$G$32,6,FALSE)</f>
        <v>37.7184922866739</v>
      </c>
      <c r="D19" s="270">
        <f>VLOOKUP($B19,'[11]Table 1'!$B$13:$G$32,6,FALSE)</f>
        <v>18.564820421479638</v>
      </c>
      <c r="E19" s="271">
        <f t="shared" ca="1" si="0"/>
        <v>19.153671865194262</v>
      </c>
      <c r="F19" s="268"/>
    </row>
    <row r="20" spans="1:6">
      <c r="B20" s="269">
        <f>'Table 1'!B26</f>
        <v>2031</v>
      </c>
      <c r="C20" s="270">
        <f ca="1">VLOOKUP($B20,'Table 1'!$B$13:$G$32,6,FALSE)</f>
        <v>39.422688859972617</v>
      </c>
      <c r="D20" s="270">
        <f>VLOOKUP($B20,'[11]Table 1'!$B$13:$G$32,6,FALSE)</f>
        <v>61.930286915873303</v>
      </c>
      <c r="E20" s="271">
        <f t="shared" ca="1" si="0"/>
        <v>-22.507598055900687</v>
      </c>
      <c r="F20" s="268"/>
    </row>
    <row r="21" spans="1:6">
      <c r="B21" s="269">
        <f>'Table 1'!B27</f>
        <v>2032</v>
      </c>
      <c r="C21" s="270">
        <f ca="1">VLOOKUP($B21,'Table 1'!$B$13:$G$32,6,FALSE)</f>
        <v>40.445811037895758</v>
      </c>
      <c r="D21" s="270">
        <f>VLOOKUP($B21,'[11]Table 1'!$B$13:$G$32,6,FALSE)</f>
        <v>63.119932493858897</v>
      </c>
      <c r="E21" s="271">
        <f t="shared" ca="1" si="0"/>
        <v>-22.674121455963139</v>
      </c>
      <c r="F21" s="268"/>
    </row>
    <row r="22" spans="1:6">
      <c r="B22" s="272">
        <f>'Table 1'!B28</f>
        <v>2033</v>
      </c>
      <c r="C22" s="273">
        <f ca="1">VLOOKUP($B22,'Table 1'!$B$13:$G$32,6,FALSE)</f>
        <v>50.26402565269057</v>
      </c>
      <c r="D22" s="273">
        <f>VLOOKUP($B22,'[11]Table 1'!$B$13:$G$32,6,FALSE)</f>
        <v>65.408021465005106</v>
      </c>
      <c r="E22" s="274">
        <f t="shared" ca="1" si="0"/>
        <v>-15.143995812314536</v>
      </c>
      <c r="F22" s="268"/>
    </row>
    <row r="23" spans="1:6">
      <c r="D23" s="257"/>
    </row>
    <row r="24" spans="1:6">
      <c r="B24" s="55" t="str">
        <f>"15-Year Levelized Prices (Nominal) @ "&amp;TEXT(Discount_Rate,"0.000%")&amp;" Discount Rate (1) (3)"</f>
        <v>15-Year Levelized Prices (Nominal) @ 6.910% Discount Rate (1) (3)</v>
      </c>
      <c r="D24" s="257"/>
      <c r="F24" s="275"/>
    </row>
    <row r="25" spans="1:6">
      <c r="A25" s="3" t="s">
        <v>177</v>
      </c>
      <c r="B25" s="276" t="s">
        <v>33</v>
      </c>
      <c r="C25" s="277">
        <f ca="1">ROUND('Table 1'!$G$44,2)</f>
        <v>22.56</v>
      </c>
      <c r="D25" s="277">
        <f>ROUND('[11]Table 1'!$G$44,3)</f>
        <v>20.923999999999999</v>
      </c>
      <c r="E25" s="270">
        <f ca="1">C25-D25</f>
        <v>1.6359999999999992</v>
      </c>
      <c r="F25" s="278"/>
    </row>
    <row r="26" spans="1:6" ht="17.25" customHeight="1">
      <c r="B26" s="279"/>
      <c r="C26" s="270"/>
      <c r="D26" s="270"/>
      <c r="E26" s="280"/>
    </row>
    <row r="27" spans="1:6" ht="10.5" customHeight="1">
      <c r="B27" s="276"/>
      <c r="C27" s="270"/>
      <c r="D27" s="270"/>
      <c r="E27" s="270"/>
    </row>
    <row r="28" spans="1:6" s="54" customFormat="1" ht="5.25" customHeight="1">
      <c r="D28" s="281"/>
    </row>
    <row r="29" spans="1:6" s="54" customFormat="1">
      <c r="B29" s="54" t="s">
        <v>16</v>
      </c>
      <c r="C29" s="282"/>
      <c r="D29" s="283"/>
      <c r="E29" s="283"/>
    </row>
    <row r="30" spans="1:6" s="54" customFormat="1">
      <c r="B30" s="54" t="str">
        <f>'Table 1'!$B$70</f>
        <v>(1)   Discount Rate - 2017 IRP Update</v>
      </c>
      <c r="D30" s="285"/>
      <c r="E30" s="285"/>
    </row>
    <row r="31" spans="1:6" s="54" customFormat="1">
      <c r="B31" s="284" t="str">
        <f>"(2)   Total Avoided Costs with Capacity, based on stated CF"</f>
        <v>(2)   Total Avoided Costs with Capacity, based on stated CF</v>
      </c>
    </row>
    <row r="32" spans="1:6" s="54" customFormat="1">
      <c r="B32" s="54" t="str">
        <f>"(3)   15-Years: "&amp;B8&amp;" - "&amp;B22&amp;", levelized monthly"</f>
        <v>(3)   15-Years: 2019 - 2033, levelized monthly</v>
      </c>
    </row>
    <row r="33" spans="2:5" s="54" customFormat="1">
      <c r="B33" s="10"/>
    </row>
    <row r="34" spans="2:5" s="54" customFormat="1">
      <c r="B34" s="10"/>
    </row>
    <row r="35" spans="2:5" s="54" customFormat="1">
      <c r="B35" s="10"/>
    </row>
    <row r="36" spans="2:5" s="54" customFormat="1" hidden="1"/>
    <row r="37" spans="2:5" s="54" customFormat="1">
      <c r="C37" s="270"/>
      <c r="D37" s="270"/>
    </row>
    <row r="39" spans="2:5" s="54" customFormat="1">
      <c r="C39" s="286"/>
      <c r="D39" s="286"/>
      <c r="E39" s="286"/>
    </row>
  </sheetData>
  <conditionalFormatting sqref="D9:D22">
    <cfRule type="expression" dxfId="2" priority="4">
      <formula>ISNA(G9)</formula>
    </cfRule>
  </conditionalFormatting>
  <conditionalFormatting sqref="D8">
    <cfRule type="expression" dxfId="1" priority="2">
      <formula>ISNA(H8)</formula>
    </cfRule>
  </conditionalFormatting>
  <printOptions horizontalCentered="1"/>
  <pageMargins left="0.25" right="0.25" top="0.75" bottom="0.75" header="0.3" footer="0.3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0" style="122" hidden="1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126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38%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7" t="s">
        <v>55</v>
      </c>
      <c r="J5" s="17" t="s">
        <v>55</v>
      </c>
      <c r="K5" s="126" t="s">
        <v>72</v>
      </c>
      <c r="P5" s="126" t="s">
        <v>71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ID Wind Resource - 38%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>
        <f>$C$59</f>
        <v>0</v>
      </c>
    </row>
    <row r="11" spans="2:18">
      <c r="B11" s="131">
        <f t="shared" ref="B11:B36" si="0">B10+1</f>
        <v>2017</v>
      </c>
      <c r="C11" s="137"/>
      <c r="D11" s="133"/>
      <c r="E11" s="133">
        <f>$C$56</f>
        <v>37.570551305416139</v>
      </c>
      <c r="F11" s="134">
        <f t="shared" ref="F11:F36" si="1">(D11+E11)/(8.76*$C$63)</f>
        <v>11.286515052095693</v>
      </c>
      <c r="G11" s="134">
        <f>$C$58</f>
        <v>0</v>
      </c>
      <c r="H11" s="177">
        <f>$C$59</f>
        <v>0</v>
      </c>
      <c r="I11" s="135">
        <f>F11+H11+G11</f>
        <v>11.286515052095693</v>
      </c>
      <c r="J11" s="135">
        <f t="shared" ref="J11:J36" si="2">ROUND(I11*$C$63*8.76,2)</f>
        <v>37.57</v>
      </c>
      <c r="K11" s="133">
        <f>$C$57</f>
        <v>0.58600709999999989</v>
      </c>
      <c r="N11" s="136"/>
      <c r="P11" s="170">
        <f>ROUND(P10*(1+$D66),2)</f>
        <v>0</v>
      </c>
    </row>
    <row r="12" spans="2:18">
      <c r="B12" s="141">
        <f t="shared" si="0"/>
        <v>2018</v>
      </c>
      <c r="C12" s="142"/>
      <c r="D12" s="133"/>
      <c r="E12" s="133">
        <f t="shared" ref="E12:H19" si="3">ROUND(E11*(1+$D67),2)</f>
        <v>38.43</v>
      </c>
      <c r="F12" s="135">
        <f t="shared" si="1"/>
        <v>11.544700793078588</v>
      </c>
      <c r="G12" s="133">
        <f t="shared" si="3"/>
        <v>0</v>
      </c>
      <c r="H12" s="133">
        <f t="shared" si="3"/>
        <v>0</v>
      </c>
      <c r="I12" s="135">
        <f t="shared" ref="I12:I36" si="4">F12+H12+G12</f>
        <v>11.544700793078588</v>
      </c>
      <c r="J12" s="135">
        <f t="shared" si="2"/>
        <v>38.43</v>
      </c>
      <c r="K12" s="133">
        <f t="shared" ref="K12:K19" si="5">ROUND(K11*(1+$D67),2)</f>
        <v>0.6</v>
      </c>
      <c r="L12" s="124"/>
      <c r="N12" s="136"/>
      <c r="P12" s="170">
        <f t="shared" ref="P12:P19" si="6">ROUND(P11*(1+$D67),2)</f>
        <v>0</v>
      </c>
    </row>
    <row r="13" spans="2:18">
      <c r="B13" s="141">
        <f t="shared" si="0"/>
        <v>2019</v>
      </c>
      <c r="C13" s="142"/>
      <c r="D13" s="133"/>
      <c r="E13" s="133">
        <f t="shared" si="3"/>
        <v>39.28</v>
      </c>
      <c r="F13" s="135">
        <f t="shared" si="1"/>
        <v>11.800048065368903</v>
      </c>
      <c r="G13" s="133">
        <f t="shared" si="3"/>
        <v>0</v>
      </c>
      <c r="H13" s="133">
        <f t="shared" si="3"/>
        <v>0</v>
      </c>
      <c r="I13" s="135">
        <f t="shared" si="4"/>
        <v>11.800048065368903</v>
      </c>
      <c r="J13" s="135">
        <f t="shared" si="2"/>
        <v>39.28</v>
      </c>
      <c r="K13" s="133">
        <f t="shared" si="5"/>
        <v>0.61</v>
      </c>
      <c r="L13" s="124"/>
      <c r="N13" s="136"/>
      <c r="P13" s="170">
        <f t="shared" si="6"/>
        <v>0</v>
      </c>
    </row>
    <row r="14" spans="2:18">
      <c r="B14" s="141">
        <f t="shared" si="0"/>
        <v>2020</v>
      </c>
      <c r="C14" s="142"/>
      <c r="D14" s="133"/>
      <c r="E14" s="133">
        <f t="shared" si="3"/>
        <v>40.26</v>
      </c>
      <c r="F14" s="135">
        <f t="shared" si="1"/>
        <v>12.094448449891853</v>
      </c>
      <c r="G14" s="133">
        <f t="shared" si="3"/>
        <v>0</v>
      </c>
      <c r="H14" s="133">
        <f t="shared" si="3"/>
        <v>0</v>
      </c>
      <c r="I14" s="135">
        <f t="shared" si="4"/>
        <v>12.094448449891853</v>
      </c>
      <c r="J14" s="135">
        <f t="shared" si="2"/>
        <v>40.26</v>
      </c>
      <c r="K14" s="133">
        <f t="shared" si="5"/>
        <v>0.63</v>
      </c>
      <c r="L14" s="124"/>
      <c r="N14" s="136"/>
      <c r="O14" s="138"/>
      <c r="P14" s="170">
        <f t="shared" si="6"/>
        <v>0</v>
      </c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3"/>
        <v>41.23</v>
      </c>
      <c r="F15" s="135">
        <f t="shared" si="1"/>
        <v>12.385844748858448</v>
      </c>
      <c r="G15" s="133">
        <f t="shared" si="3"/>
        <v>0</v>
      </c>
      <c r="H15" s="133">
        <f t="shared" si="3"/>
        <v>0</v>
      </c>
      <c r="I15" s="135">
        <f t="shared" si="4"/>
        <v>12.385844748858448</v>
      </c>
      <c r="J15" s="135">
        <f t="shared" si="2"/>
        <v>41.23</v>
      </c>
      <c r="K15" s="133">
        <f t="shared" si="5"/>
        <v>0.65</v>
      </c>
      <c r="L15" s="124"/>
      <c r="N15" s="139"/>
      <c r="O15" s="139"/>
      <c r="P15" s="170">
        <f t="shared" si="6"/>
        <v>0</v>
      </c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3"/>
        <v>42.22</v>
      </c>
      <c r="F16" s="135">
        <f t="shared" si="1"/>
        <v>12.683249218937757</v>
      </c>
      <c r="G16" s="133">
        <f t="shared" si="3"/>
        <v>0</v>
      </c>
      <c r="H16" s="133">
        <f t="shared" si="3"/>
        <v>0</v>
      </c>
      <c r="I16" s="135">
        <f t="shared" si="4"/>
        <v>12.683249218937757</v>
      </c>
      <c r="J16" s="135">
        <f t="shared" si="2"/>
        <v>42.22</v>
      </c>
      <c r="K16" s="133">
        <f t="shared" si="5"/>
        <v>0.67</v>
      </c>
      <c r="L16" s="124"/>
      <c r="N16" s="136"/>
      <c r="P16" s="170">
        <f t="shared" si="6"/>
        <v>0</v>
      </c>
    </row>
    <row r="17" spans="2:16">
      <c r="B17" s="141">
        <f t="shared" si="0"/>
        <v>2023</v>
      </c>
      <c r="C17" s="142"/>
      <c r="D17" s="133"/>
      <c r="E17" s="133">
        <f t="shared" si="3"/>
        <v>43.23</v>
      </c>
      <c r="F17" s="135">
        <f t="shared" si="1"/>
        <v>12.986661860129777</v>
      </c>
      <c r="G17" s="133">
        <f t="shared" si="3"/>
        <v>0</v>
      </c>
      <c r="H17" s="133">
        <f t="shared" si="3"/>
        <v>0</v>
      </c>
      <c r="I17" s="135">
        <f t="shared" si="4"/>
        <v>12.986661860129777</v>
      </c>
      <c r="J17" s="135">
        <f t="shared" si="2"/>
        <v>43.23</v>
      </c>
      <c r="K17" s="133">
        <f t="shared" si="5"/>
        <v>0.69</v>
      </c>
      <c r="L17" s="124"/>
      <c r="N17" s="136"/>
      <c r="O17" s="138"/>
      <c r="P17" s="170">
        <f t="shared" si="6"/>
        <v>0</v>
      </c>
    </row>
    <row r="18" spans="2:16">
      <c r="B18" s="141">
        <f t="shared" si="0"/>
        <v>2024</v>
      </c>
      <c r="C18" s="142"/>
      <c r="D18" s="133"/>
      <c r="E18" s="133">
        <f t="shared" si="3"/>
        <v>44.22</v>
      </c>
      <c r="F18" s="135">
        <f t="shared" si="1"/>
        <v>13.284066330209084</v>
      </c>
      <c r="G18" s="133">
        <f t="shared" si="3"/>
        <v>0</v>
      </c>
      <c r="H18" s="133">
        <f t="shared" si="3"/>
        <v>0</v>
      </c>
      <c r="I18" s="135">
        <f t="shared" si="4"/>
        <v>13.284066330209084</v>
      </c>
      <c r="J18" s="135">
        <f t="shared" si="2"/>
        <v>44.22</v>
      </c>
      <c r="K18" s="133">
        <f t="shared" si="5"/>
        <v>0.71</v>
      </c>
      <c r="L18" s="124"/>
      <c r="N18" s="136"/>
      <c r="O18" s="138"/>
      <c r="P18" s="170">
        <f t="shared" si="6"/>
        <v>0</v>
      </c>
    </row>
    <row r="19" spans="2:16">
      <c r="B19" s="141">
        <f t="shared" si="0"/>
        <v>2025</v>
      </c>
      <c r="C19" s="142"/>
      <c r="D19" s="133"/>
      <c r="E19" s="133">
        <f t="shared" si="3"/>
        <v>45.24</v>
      </c>
      <c r="F19" s="135">
        <f t="shared" si="1"/>
        <v>13.590483056957464</v>
      </c>
      <c r="G19" s="133">
        <f t="shared" si="3"/>
        <v>0</v>
      </c>
      <c r="H19" s="133">
        <f t="shared" si="3"/>
        <v>0</v>
      </c>
      <c r="I19" s="135">
        <f t="shared" si="4"/>
        <v>13.590483056957464</v>
      </c>
      <c r="J19" s="135">
        <f t="shared" si="2"/>
        <v>45.24</v>
      </c>
      <c r="K19" s="133">
        <f t="shared" si="5"/>
        <v>0.73</v>
      </c>
      <c r="L19" s="124"/>
      <c r="N19" s="136"/>
      <c r="O19" s="138"/>
      <c r="P19" s="170">
        <f t="shared" si="6"/>
        <v>0</v>
      </c>
    </row>
    <row r="20" spans="2:16">
      <c r="B20" s="141">
        <f t="shared" si="0"/>
        <v>2026</v>
      </c>
      <c r="C20" s="142"/>
      <c r="D20" s="133"/>
      <c r="E20" s="133">
        <f>ROUND(E19*(1+$G66),2)</f>
        <v>46.24</v>
      </c>
      <c r="F20" s="135">
        <f t="shared" si="1"/>
        <v>13.890891612593128</v>
      </c>
      <c r="G20" s="133">
        <f>ROUND(G19*(1+$G66),2)</f>
        <v>0</v>
      </c>
      <c r="H20" s="133">
        <f>ROUND(H19*(1+$G66),2)</f>
        <v>0</v>
      </c>
      <c r="I20" s="135">
        <f t="shared" si="4"/>
        <v>13.890891612593128</v>
      </c>
      <c r="J20" s="135">
        <f t="shared" si="2"/>
        <v>46.24</v>
      </c>
      <c r="K20" s="133">
        <f>ROUND(K19*(1+$G66),2)</f>
        <v>0.75</v>
      </c>
      <c r="L20" s="124"/>
      <c r="N20" s="136"/>
      <c r="O20" s="138"/>
      <c r="P20" s="170">
        <f>ROUND(P19*(1+$G66),2)</f>
        <v>0</v>
      </c>
    </row>
    <row r="21" spans="2:16">
      <c r="B21" s="141">
        <f t="shared" si="0"/>
        <v>2027</v>
      </c>
      <c r="C21" s="142"/>
      <c r="D21" s="133"/>
      <c r="E21" s="133">
        <f t="shared" ref="E21:H28" si="7">ROUND(E20*(1+$G67),2)</f>
        <v>47.26</v>
      </c>
      <c r="F21" s="135">
        <f t="shared" si="1"/>
        <v>14.197308339341506</v>
      </c>
      <c r="G21" s="133">
        <f t="shared" si="7"/>
        <v>0</v>
      </c>
      <c r="H21" s="133">
        <f t="shared" si="7"/>
        <v>0</v>
      </c>
      <c r="I21" s="135">
        <f t="shared" si="4"/>
        <v>14.197308339341506</v>
      </c>
      <c r="J21" s="135">
        <f t="shared" si="2"/>
        <v>47.26</v>
      </c>
      <c r="K21" s="133">
        <f t="shared" ref="K21:K28" si="8">ROUND(K20*(1+$G67),2)</f>
        <v>0.77</v>
      </c>
      <c r="L21" s="124"/>
      <c r="N21" s="136"/>
      <c r="O21" s="138"/>
      <c r="P21" s="170">
        <f t="shared" ref="P21:P28" si="9">ROUND(P20*(1+$G67),2)</f>
        <v>0</v>
      </c>
    </row>
    <row r="22" spans="2:16">
      <c r="B22" s="141">
        <f t="shared" si="0"/>
        <v>2028</v>
      </c>
      <c r="C22" s="142"/>
      <c r="D22" s="133"/>
      <c r="E22" s="133">
        <f t="shared" si="7"/>
        <v>48.3</v>
      </c>
      <c r="F22" s="135">
        <f t="shared" si="1"/>
        <v>14.509733237202596</v>
      </c>
      <c r="G22" s="133">
        <f t="shared" si="7"/>
        <v>0</v>
      </c>
      <c r="H22" s="133">
        <f t="shared" si="7"/>
        <v>0</v>
      </c>
      <c r="I22" s="135">
        <f t="shared" si="4"/>
        <v>14.509733237202596</v>
      </c>
      <c r="J22" s="135">
        <f t="shared" si="2"/>
        <v>48.3</v>
      </c>
      <c r="K22" s="133">
        <f t="shared" si="8"/>
        <v>0.79</v>
      </c>
      <c r="L22" s="124"/>
      <c r="N22" s="136"/>
      <c r="O22" s="138"/>
      <c r="P22" s="170">
        <f t="shared" si="9"/>
        <v>0</v>
      </c>
    </row>
    <row r="23" spans="2:16">
      <c r="B23" s="141">
        <f t="shared" si="0"/>
        <v>2029</v>
      </c>
      <c r="C23" s="142"/>
      <c r="D23" s="133"/>
      <c r="E23" s="133">
        <f t="shared" si="7"/>
        <v>49.31</v>
      </c>
      <c r="F23" s="135">
        <f t="shared" si="1"/>
        <v>14.813145878394618</v>
      </c>
      <c r="G23" s="133">
        <f t="shared" si="7"/>
        <v>0</v>
      </c>
      <c r="H23" s="133">
        <f t="shared" si="7"/>
        <v>0</v>
      </c>
      <c r="I23" s="135">
        <f t="shared" si="4"/>
        <v>14.813145878394618</v>
      </c>
      <c r="J23" s="135">
        <f t="shared" si="2"/>
        <v>49.31</v>
      </c>
      <c r="K23" s="133">
        <f t="shared" si="8"/>
        <v>0.81</v>
      </c>
      <c r="L23" s="124"/>
      <c r="N23" s="136"/>
      <c r="O23" s="138"/>
      <c r="P23" s="170">
        <f t="shared" si="9"/>
        <v>0</v>
      </c>
    </row>
    <row r="24" spans="2:16">
      <c r="B24" s="141">
        <f t="shared" si="0"/>
        <v>2030</v>
      </c>
      <c r="C24" s="132">
        <f>$C$55</f>
        <v>1410.7096380374778</v>
      </c>
      <c r="D24" s="133">
        <f>C24*$C$62</f>
        <v>100.24490397781955</v>
      </c>
      <c r="E24" s="133">
        <f t="shared" si="7"/>
        <v>50.3</v>
      </c>
      <c r="F24" s="135">
        <f t="shared" si="1"/>
        <v>45.224977162286578</v>
      </c>
      <c r="G24" s="133">
        <f t="shared" si="7"/>
        <v>0</v>
      </c>
      <c r="H24" s="133">
        <f t="shared" si="7"/>
        <v>0</v>
      </c>
      <c r="I24" s="135">
        <f t="shared" si="4"/>
        <v>45.224977162286578</v>
      </c>
      <c r="J24" s="135">
        <f t="shared" si="2"/>
        <v>150.54</v>
      </c>
      <c r="K24" s="133">
        <f t="shared" si="8"/>
        <v>0.83</v>
      </c>
      <c r="L24" s="124"/>
      <c r="N24" s="136"/>
      <c r="O24" s="138"/>
      <c r="P24" s="170">
        <f t="shared" si="9"/>
        <v>0</v>
      </c>
    </row>
    <row r="25" spans="2:16">
      <c r="B25" s="141">
        <f t="shared" si="0"/>
        <v>2031</v>
      </c>
      <c r="C25" s="142"/>
      <c r="D25" s="133">
        <f t="shared" ref="D25:D36" si="10">ROUND(D24*(1+$G71),2)</f>
        <v>102.25</v>
      </c>
      <c r="E25" s="133">
        <f t="shared" si="7"/>
        <v>51.31</v>
      </c>
      <c r="F25" s="135">
        <f t="shared" si="1"/>
        <v>46.130737803412643</v>
      </c>
      <c r="G25" s="133">
        <f t="shared" si="7"/>
        <v>0</v>
      </c>
      <c r="H25" s="133">
        <f t="shared" si="7"/>
        <v>0</v>
      </c>
      <c r="I25" s="135">
        <f t="shared" si="4"/>
        <v>46.130737803412643</v>
      </c>
      <c r="J25" s="135">
        <f t="shared" si="2"/>
        <v>153.56</v>
      </c>
      <c r="K25" s="133">
        <f t="shared" si="8"/>
        <v>0.85</v>
      </c>
      <c r="L25" s="124"/>
      <c r="N25" s="136"/>
      <c r="O25" s="138"/>
      <c r="P25" s="170">
        <f t="shared" si="9"/>
        <v>0</v>
      </c>
    </row>
    <row r="26" spans="2:16">
      <c r="B26" s="141">
        <f t="shared" si="0"/>
        <v>2032</v>
      </c>
      <c r="C26" s="142"/>
      <c r="D26" s="133">
        <f t="shared" si="10"/>
        <v>104.3</v>
      </c>
      <c r="E26" s="133">
        <f t="shared" si="7"/>
        <v>52.34</v>
      </c>
      <c r="F26" s="135">
        <f t="shared" si="1"/>
        <v>47.05599615477049</v>
      </c>
      <c r="G26" s="133">
        <f t="shared" si="7"/>
        <v>0</v>
      </c>
      <c r="H26" s="133">
        <f t="shared" si="7"/>
        <v>0</v>
      </c>
      <c r="I26" s="135">
        <f t="shared" si="4"/>
        <v>47.05599615477049</v>
      </c>
      <c r="J26" s="135">
        <f t="shared" si="2"/>
        <v>156.63999999999999</v>
      </c>
      <c r="K26" s="133">
        <f t="shared" si="8"/>
        <v>0.87</v>
      </c>
      <c r="L26" s="124"/>
      <c r="N26" s="136"/>
      <c r="O26" s="138"/>
      <c r="P26" s="170">
        <f t="shared" si="9"/>
        <v>0</v>
      </c>
    </row>
    <row r="27" spans="2:16">
      <c r="B27" s="141">
        <f t="shared" si="0"/>
        <v>2033</v>
      </c>
      <c r="C27" s="132"/>
      <c r="D27" s="133">
        <f t="shared" si="10"/>
        <v>106.39</v>
      </c>
      <c r="E27" s="133">
        <f t="shared" si="7"/>
        <v>53.39</v>
      </c>
      <c r="F27" s="135">
        <f t="shared" si="1"/>
        <v>47.999279019466478</v>
      </c>
      <c r="G27" s="133">
        <f t="shared" si="7"/>
        <v>0</v>
      </c>
      <c r="H27" s="133">
        <f t="shared" si="7"/>
        <v>0</v>
      </c>
      <c r="I27" s="135">
        <f t="shared" si="4"/>
        <v>47.999279019466478</v>
      </c>
      <c r="J27" s="135">
        <f t="shared" si="2"/>
        <v>159.78</v>
      </c>
      <c r="K27" s="133">
        <f t="shared" si="8"/>
        <v>0.89</v>
      </c>
      <c r="L27" s="124"/>
      <c r="P27" s="170">
        <f t="shared" si="9"/>
        <v>0</v>
      </c>
    </row>
    <row r="28" spans="2:16">
      <c r="B28" s="141">
        <f t="shared" si="0"/>
        <v>2034</v>
      </c>
      <c r="C28" s="142"/>
      <c r="D28" s="133">
        <f t="shared" si="10"/>
        <v>108.52</v>
      </c>
      <c r="E28" s="133">
        <f t="shared" si="7"/>
        <v>54.46</v>
      </c>
      <c r="F28" s="135">
        <f t="shared" si="1"/>
        <v>48.960586397500599</v>
      </c>
      <c r="G28" s="133">
        <f t="shared" si="7"/>
        <v>0</v>
      </c>
      <c r="H28" s="133">
        <f t="shared" si="7"/>
        <v>0</v>
      </c>
      <c r="I28" s="135">
        <f t="shared" si="4"/>
        <v>48.960586397500599</v>
      </c>
      <c r="J28" s="135">
        <f t="shared" si="2"/>
        <v>162.97999999999999</v>
      </c>
      <c r="K28" s="133">
        <f t="shared" si="8"/>
        <v>0.91</v>
      </c>
      <c r="L28" s="124"/>
      <c r="P28" s="170">
        <f t="shared" si="9"/>
        <v>0</v>
      </c>
    </row>
    <row r="29" spans="2:16">
      <c r="B29" s="141">
        <f t="shared" si="0"/>
        <v>2035</v>
      </c>
      <c r="C29" s="142"/>
      <c r="D29" s="133">
        <f t="shared" si="10"/>
        <v>108.52</v>
      </c>
      <c r="E29" s="133">
        <f t="shared" ref="E29:E36" si="11">ROUND(E28*(1+$K66),2)</f>
        <v>55.55</v>
      </c>
      <c r="F29" s="135">
        <f t="shared" si="1"/>
        <v>49.288031723143476</v>
      </c>
      <c r="G29" s="133">
        <f t="shared" ref="G29:H36" si="12">ROUND(G28*(1+$K66),2)</f>
        <v>0</v>
      </c>
      <c r="H29" s="133">
        <f t="shared" si="12"/>
        <v>0</v>
      </c>
      <c r="I29" s="135">
        <f t="shared" si="4"/>
        <v>49.288031723143476</v>
      </c>
      <c r="J29" s="135">
        <f t="shared" si="2"/>
        <v>164.07</v>
      </c>
      <c r="K29" s="133">
        <f>ROUND(K28*(1+$K66),2)</f>
        <v>0.93</v>
      </c>
      <c r="L29" s="124"/>
      <c r="P29" s="170">
        <f>ROUND(P28*(1+$K66),2)</f>
        <v>0</v>
      </c>
    </row>
    <row r="30" spans="2:16">
      <c r="B30" s="141">
        <f t="shared" si="0"/>
        <v>2036</v>
      </c>
      <c r="C30" s="142"/>
      <c r="D30" s="133">
        <f t="shared" si="10"/>
        <v>108.52</v>
      </c>
      <c r="E30" s="133">
        <f t="shared" si="11"/>
        <v>56.66</v>
      </c>
      <c r="F30" s="135">
        <f t="shared" si="1"/>
        <v>49.621485219899071</v>
      </c>
      <c r="G30" s="133">
        <f t="shared" si="12"/>
        <v>0</v>
      </c>
      <c r="H30" s="133">
        <f t="shared" si="12"/>
        <v>0</v>
      </c>
      <c r="I30" s="135">
        <f t="shared" si="4"/>
        <v>49.621485219899071</v>
      </c>
      <c r="J30" s="135">
        <f t="shared" si="2"/>
        <v>165.18</v>
      </c>
      <c r="K30" s="133">
        <f t="shared" ref="K30:K36" si="13">ROUND(K29*(1+$K67),2)</f>
        <v>0.95</v>
      </c>
      <c r="L30" s="124"/>
      <c r="P30" s="170">
        <f t="shared" ref="P30:P36" si="14">ROUND(P29*(1+$K67),2)</f>
        <v>0</v>
      </c>
    </row>
    <row r="31" spans="2:16">
      <c r="B31" s="141">
        <f t="shared" si="0"/>
        <v>2037</v>
      </c>
      <c r="C31" s="142"/>
      <c r="D31" s="133">
        <f t="shared" si="10"/>
        <v>108.52</v>
      </c>
      <c r="E31" s="133">
        <f t="shared" si="11"/>
        <v>57.85</v>
      </c>
      <c r="F31" s="135">
        <f t="shared" si="1"/>
        <v>49.978971401105511</v>
      </c>
      <c r="G31" s="133">
        <f t="shared" si="12"/>
        <v>0</v>
      </c>
      <c r="H31" s="133">
        <f t="shared" si="12"/>
        <v>0</v>
      </c>
      <c r="I31" s="135">
        <f t="shared" si="4"/>
        <v>49.978971401105511</v>
      </c>
      <c r="J31" s="135">
        <f t="shared" si="2"/>
        <v>166.37</v>
      </c>
      <c r="K31" s="133">
        <f t="shared" si="13"/>
        <v>0.97</v>
      </c>
      <c r="L31" s="124"/>
      <c r="P31" s="170">
        <f t="shared" si="14"/>
        <v>0</v>
      </c>
    </row>
    <row r="32" spans="2:16">
      <c r="B32" s="141">
        <f t="shared" si="0"/>
        <v>2038</v>
      </c>
      <c r="C32" s="142"/>
      <c r="D32" s="133">
        <f t="shared" si="10"/>
        <v>108.52</v>
      </c>
      <c r="E32" s="133">
        <f t="shared" si="11"/>
        <v>59.06</v>
      </c>
      <c r="F32" s="135">
        <f t="shared" si="1"/>
        <v>50.342465753424655</v>
      </c>
      <c r="G32" s="133">
        <f t="shared" si="12"/>
        <v>0</v>
      </c>
      <c r="H32" s="133">
        <f t="shared" si="12"/>
        <v>0</v>
      </c>
      <c r="I32" s="135">
        <f t="shared" si="4"/>
        <v>50.342465753424655</v>
      </c>
      <c r="J32" s="135">
        <f t="shared" si="2"/>
        <v>167.58</v>
      </c>
      <c r="K32" s="133">
        <f t="shared" si="13"/>
        <v>0.99</v>
      </c>
      <c r="L32" s="124"/>
      <c r="P32" s="170">
        <f t="shared" si="14"/>
        <v>0</v>
      </c>
    </row>
    <row r="33" spans="2:16">
      <c r="B33" s="141">
        <f t="shared" si="0"/>
        <v>2039</v>
      </c>
      <c r="C33" s="142"/>
      <c r="D33" s="133">
        <f t="shared" si="10"/>
        <v>108.52</v>
      </c>
      <c r="E33" s="133">
        <f t="shared" si="11"/>
        <v>60.3</v>
      </c>
      <c r="F33" s="135">
        <f t="shared" si="1"/>
        <v>50.71497236241288</v>
      </c>
      <c r="G33" s="133">
        <f t="shared" si="12"/>
        <v>0</v>
      </c>
      <c r="H33" s="133">
        <f t="shared" si="12"/>
        <v>0</v>
      </c>
      <c r="I33" s="135">
        <f t="shared" si="4"/>
        <v>50.71497236241288</v>
      </c>
      <c r="J33" s="135">
        <f t="shared" si="2"/>
        <v>168.82</v>
      </c>
      <c r="K33" s="133">
        <f t="shared" si="13"/>
        <v>1.01</v>
      </c>
      <c r="L33" s="124"/>
      <c r="P33" s="170">
        <f t="shared" si="14"/>
        <v>0</v>
      </c>
    </row>
    <row r="34" spans="2:16">
      <c r="B34" s="141">
        <f t="shared" si="0"/>
        <v>2040</v>
      </c>
      <c r="C34" s="142"/>
      <c r="D34" s="133">
        <f t="shared" si="10"/>
        <v>108.52</v>
      </c>
      <c r="E34" s="133">
        <f t="shared" si="11"/>
        <v>61.57</v>
      </c>
      <c r="F34" s="135">
        <f t="shared" si="1"/>
        <v>51.096491228070178</v>
      </c>
      <c r="G34" s="133">
        <f t="shared" si="12"/>
        <v>0</v>
      </c>
      <c r="H34" s="133">
        <f t="shared" si="12"/>
        <v>0</v>
      </c>
      <c r="I34" s="135">
        <f t="shared" si="4"/>
        <v>51.096491228070178</v>
      </c>
      <c r="J34" s="135">
        <f t="shared" si="2"/>
        <v>170.09</v>
      </c>
      <c r="K34" s="133">
        <f t="shared" si="13"/>
        <v>1.03</v>
      </c>
      <c r="L34" s="124"/>
      <c r="P34" s="170">
        <f t="shared" si="14"/>
        <v>0</v>
      </c>
    </row>
    <row r="35" spans="2:16">
      <c r="B35" s="141">
        <f t="shared" si="0"/>
        <v>2041</v>
      </c>
      <c r="C35" s="142"/>
      <c r="D35" s="133">
        <f t="shared" si="10"/>
        <v>108.52</v>
      </c>
      <c r="E35" s="133">
        <f t="shared" si="11"/>
        <v>62.92</v>
      </c>
      <c r="F35" s="135">
        <f t="shared" si="1"/>
        <v>51.502042778178328</v>
      </c>
      <c r="G35" s="133">
        <f t="shared" si="12"/>
        <v>0</v>
      </c>
      <c r="H35" s="133">
        <f t="shared" si="12"/>
        <v>0</v>
      </c>
      <c r="I35" s="135">
        <f t="shared" si="4"/>
        <v>51.502042778178328</v>
      </c>
      <c r="J35" s="135">
        <f t="shared" si="2"/>
        <v>171.44</v>
      </c>
      <c r="K35" s="133">
        <f t="shared" si="13"/>
        <v>1.05</v>
      </c>
      <c r="L35" s="124"/>
      <c r="P35" s="170">
        <f t="shared" si="14"/>
        <v>0</v>
      </c>
    </row>
    <row r="36" spans="2:16">
      <c r="B36" s="141">
        <f t="shared" si="0"/>
        <v>2042</v>
      </c>
      <c r="C36" s="142"/>
      <c r="D36" s="133">
        <f t="shared" si="10"/>
        <v>108.52</v>
      </c>
      <c r="E36" s="133">
        <f t="shared" si="11"/>
        <v>64.3</v>
      </c>
      <c r="F36" s="135">
        <f t="shared" si="1"/>
        <v>51.916606584955538</v>
      </c>
      <c r="G36" s="133">
        <f t="shared" si="12"/>
        <v>0</v>
      </c>
      <c r="H36" s="133">
        <f t="shared" si="12"/>
        <v>0</v>
      </c>
      <c r="I36" s="135">
        <f t="shared" si="4"/>
        <v>51.916606584955538</v>
      </c>
      <c r="J36" s="135">
        <f t="shared" si="2"/>
        <v>172.82</v>
      </c>
      <c r="K36" s="133">
        <f t="shared" si="13"/>
        <v>1.07</v>
      </c>
      <c r="L36" s="124"/>
      <c r="P36" s="170">
        <f t="shared" si="14"/>
        <v>0</v>
      </c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">
        <v>118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0.0710599128799291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38.0%)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ID Wind Resource - 38%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76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120</v>
      </c>
      <c r="C55" s="186">
        <v>1410.7096380374778</v>
      </c>
      <c r="D55" s="122" t="s">
        <v>75</v>
      </c>
      <c r="H55" s="122" t="s">
        <v>9</v>
      </c>
    </row>
    <row r="56" spans="2:24">
      <c r="B56" s="86" t="s">
        <v>112</v>
      </c>
      <c r="C56" s="155">
        <v>37.570551305416139</v>
      </c>
      <c r="D56" s="122" t="s">
        <v>78</v>
      </c>
      <c r="H56" s="122" t="s">
        <v>9</v>
      </c>
    </row>
    <row r="57" spans="2:24">
      <c r="B57" s="86" t="s">
        <v>112</v>
      </c>
      <c r="C57" s="160">
        <v>0.58600709999999989</v>
      </c>
      <c r="D57" s="122" t="s">
        <v>83</v>
      </c>
      <c r="H57" s="122" t="s">
        <v>80</v>
      </c>
    </row>
    <row r="58" spans="2:24">
      <c r="B58" s="86" t="s">
        <v>112</v>
      </c>
      <c r="C58" s="155">
        <v>0</v>
      </c>
      <c r="D58" s="122" t="s">
        <v>79</v>
      </c>
      <c r="H58" s="122" t="s">
        <v>80</v>
      </c>
      <c r="K58" s="124"/>
      <c r="L58" s="156"/>
      <c r="M58" s="52"/>
      <c r="N58" s="157"/>
      <c r="O58" s="52"/>
      <c r="P58" s="157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158"/>
      <c r="L59" s="158"/>
      <c r="M59" s="159"/>
      <c r="N59" s="160"/>
      <c r="O59" s="157"/>
      <c r="P59" s="161"/>
      <c r="Q59" s="124"/>
      <c r="R59" s="124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124"/>
      <c r="O60" s="157"/>
      <c r="P60" s="161"/>
      <c r="Q60" s="124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24"/>
      <c r="O61" s="158"/>
      <c r="P61" s="161"/>
      <c r="S61" s="124"/>
      <c r="T61" s="124"/>
      <c r="U61" s="124"/>
      <c r="V61" s="124"/>
      <c r="W61" s="124"/>
      <c r="X61" s="124"/>
    </row>
    <row r="62" spans="2:24">
      <c r="C62" s="163">
        <v>7.1059912879929146E-2</v>
      </c>
      <c r="D62" s="122" t="s">
        <v>38</v>
      </c>
      <c r="K62" s="164"/>
      <c r="L62" s="165"/>
      <c r="M62" s="165"/>
      <c r="O62" s="166"/>
    </row>
    <row r="63" spans="2:24">
      <c r="C63" s="167">
        <v>0.38</v>
      </c>
      <c r="D63" s="122" t="s">
        <v>39</v>
      </c>
    </row>
    <row r="64" spans="2:24" ht="13.5" thickBot="1">
      <c r="D64" s="161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5">C66+1</f>
        <v>2018</v>
      </c>
      <c r="D67" s="41">
        <v>2.3E-2</v>
      </c>
      <c r="E67" s="86"/>
      <c r="F67" s="88">
        <f t="shared" ref="F67:F74" si="16">F66+1</f>
        <v>2027</v>
      </c>
      <c r="G67" s="41">
        <v>2.1999999999999999E-2</v>
      </c>
      <c r="H67" s="86"/>
      <c r="I67" s="88">
        <f t="shared" ref="I67:I74" si="17">I66+1</f>
        <v>2036</v>
      </c>
      <c r="J67" s="88"/>
      <c r="K67" s="41">
        <v>0.02</v>
      </c>
    </row>
    <row r="68" spans="3:11">
      <c r="C68" s="88">
        <f t="shared" si="15"/>
        <v>2019</v>
      </c>
      <c r="D68" s="41">
        <v>2.1999999999999999E-2</v>
      </c>
      <c r="E68" s="86"/>
      <c r="F68" s="88">
        <f t="shared" si="16"/>
        <v>2028</v>
      </c>
      <c r="G68" s="41">
        <v>2.1999999999999999E-2</v>
      </c>
      <c r="H68" s="86"/>
      <c r="I68" s="88">
        <f t="shared" si="17"/>
        <v>2037</v>
      </c>
      <c r="J68" s="88"/>
      <c r="K68" s="41">
        <v>2.1000000000000001E-2</v>
      </c>
    </row>
    <row r="69" spans="3:11">
      <c r="C69" s="88">
        <f t="shared" si="15"/>
        <v>2020</v>
      </c>
      <c r="D69" s="41">
        <v>2.5000000000000001E-2</v>
      </c>
      <c r="E69" s="86"/>
      <c r="F69" s="88">
        <f t="shared" si="16"/>
        <v>2029</v>
      </c>
      <c r="G69" s="41">
        <v>2.1000000000000001E-2</v>
      </c>
      <c r="H69" s="86"/>
      <c r="I69" s="88">
        <f t="shared" si="17"/>
        <v>2038</v>
      </c>
      <c r="J69" s="88"/>
      <c r="K69" s="41">
        <v>2.1000000000000001E-2</v>
      </c>
    </row>
    <row r="70" spans="3:11">
      <c r="C70" s="88">
        <f t="shared" si="15"/>
        <v>2021</v>
      </c>
      <c r="D70" s="41">
        <v>2.4E-2</v>
      </c>
      <c r="E70" s="86"/>
      <c r="F70" s="88">
        <f t="shared" si="16"/>
        <v>2030</v>
      </c>
      <c r="G70" s="41">
        <v>0.02</v>
      </c>
      <c r="H70" s="86"/>
      <c r="I70" s="88">
        <f t="shared" si="17"/>
        <v>2039</v>
      </c>
      <c r="J70" s="88"/>
      <c r="K70" s="41">
        <v>2.1000000000000001E-2</v>
      </c>
    </row>
    <row r="71" spans="3:11">
      <c r="C71" s="88">
        <f t="shared" si="15"/>
        <v>2022</v>
      </c>
      <c r="D71" s="41">
        <v>2.4E-2</v>
      </c>
      <c r="E71" s="86"/>
      <c r="F71" s="88">
        <f t="shared" si="16"/>
        <v>2031</v>
      </c>
      <c r="G71" s="41">
        <v>0.02</v>
      </c>
      <c r="H71" s="86"/>
      <c r="I71" s="88">
        <f t="shared" si="17"/>
        <v>2040</v>
      </c>
      <c r="J71" s="88"/>
      <c r="K71" s="41">
        <v>2.1000000000000001E-2</v>
      </c>
    </row>
    <row r="72" spans="3:11" s="124" customFormat="1">
      <c r="C72" s="88">
        <f t="shared" si="15"/>
        <v>2023</v>
      </c>
      <c r="D72" s="41">
        <v>2.4E-2</v>
      </c>
      <c r="E72" s="87"/>
      <c r="F72" s="88">
        <f t="shared" si="16"/>
        <v>2032</v>
      </c>
      <c r="G72" s="41">
        <v>0.02</v>
      </c>
      <c r="H72" s="87"/>
      <c r="I72" s="88">
        <f t="shared" si="17"/>
        <v>2041</v>
      </c>
      <c r="J72" s="88"/>
      <c r="K72" s="41">
        <v>2.1999999999999999E-2</v>
      </c>
    </row>
    <row r="73" spans="3:11" s="124" customFormat="1">
      <c r="C73" s="88">
        <f t="shared" si="15"/>
        <v>2024</v>
      </c>
      <c r="D73" s="41">
        <v>2.3E-2</v>
      </c>
      <c r="E73" s="87"/>
      <c r="F73" s="88">
        <f t="shared" si="16"/>
        <v>2033</v>
      </c>
      <c r="G73" s="41">
        <v>0.02</v>
      </c>
      <c r="H73" s="87"/>
      <c r="I73" s="88">
        <f t="shared" si="17"/>
        <v>2042</v>
      </c>
      <c r="J73" s="88"/>
      <c r="K73" s="41">
        <v>2.1999999999999999E-2</v>
      </c>
    </row>
    <row r="74" spans="3:11" s="124" customFormat="1">
      <c r="C74" s="88">
        <f t="shared" si="15"/>
        <v>2025</v>
      </c>
      <c r="D74" s="41">
        <v>2.3E-2</v>
      </c>
      <c r="E74" s="87"/>
      <c r="F74" s="88">
        <f t="shared" si="16"/>
        <v>2034</v>
      </c>
      <c r="G74" s="41">
        <v>0.02</v>
      </c>
      <c r="H74" s="87"/>
      <c r="I74" s="88">
        <f t="shared" si="17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0" style="122" hidden="1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123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31%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26" t="s">
        <v>89</v>
      </c>
      <c r="J5" s="17" t="s">
        <v>55</v>
      </c>
      <c r="K5" s="126" t="s">
        <v>72</v>
      </c>
      <c r="P5" s="126" t="s">
        <v>71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26</v>
      </c>
    </row>
    <row r="8" spans="2:18" ht="6" customHeight="1">
      <c r="K8" s="124"/>
    </row>
    <row r="9" spans="2:18" ht="15.75">
      <c r="B9" s="43" t="str">
        <f>C52</f>
        <v>2017 IRP Update Utah Wind Resource - 31%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224"/>
      <c r="N10" s="136"/>
      <c r="P10" s="170">
        <f>$C$59</f>
        <v>0</v>
      </c>
    </row>
    <row r="11" spans="2:18">
      <c r="B11" s="131">
        <f t="shared" ref="B11:B36" si="0">B10+1</f>
        <v>2017</v>
      </c>
      <c r="C11" s="137"/>
      <c r="D11" s="133"/>
      <c r="E11" s="133">
        <f>$C$56</f>
        <v>37.570551305416139</v>
      </c>
      <c r="F11" s="134">
        <f t="shared" ref="F11:F36" si="1">(D11+E11)/(8.76*$C$63)</f>
        <v>13.835082967085043</v>
      </c>
      <c r="G11" s="134">
        <f>$C$58</f>
        <v>0</v>
      </c>
      <c r="H11" s="133">
        <f>ROUND(H10*(1+$D66),2)</f>
        <v>0</v>
      </c>
      <c r="I11" s="135">
        <f t="shared" ref="I11:I36" si="2">F11+H11+G11</f>
        <v>13.835082967085043</v>
      </c>
      <c r="J11" s="135">
        <f t="shared" ref="J11:J36" si="3">ROUND(I11*$C$63*8.76,2)</f>
        <v>37.57</v>
      </c>
      <c r="K11" s="133">
        <f>$C$57</f>
        <v>0.58600709999999989</v>
      </c>
      <c r="N11" s="136"/>
      <c r="P11" s="170">
        <f>ROUND(P10*(1+$D66),2)</f>
        <v>0</v>
      </c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38.43</v>
      </c>
      <c r="F12" s="135">
        <f t="shared" si="1"/>
        <v>14.151568714096333</v>
      </c>
      <c r="G12" s="133">
        <f t="shared" ref="G12:H19" si="5">ROUND(G11*(1+$D67),2)</f>
        <v>0</v>
      </c>
      <c r="H12" s="143">
        <f t="shared" si="5"/>
        <v>0</v>
      </c>
      <c r="I12" s="135">
        <f t="shared" si="2"/>
        <v>14.151568714096333</v>
      </c>
      <c r="J12" s="135">
        <f t="shared" si="3"/>
        <v>38.43</v>
      </c>
      <c r="K12" s="133">
        <f t="shared" ref="K12:K19" si="6">ROUND(K11*(1+$D67),2)</f>
        <v>0.6</v>
      </c>
      <c r="L12" s="124"/>
      <c r="N12" s="136"/>
      <c r="P12" s="170">
        <f t="shared" ref="P12:P19" si="7">ROUND(P11*(1+$D67),2)</f>
        <v>0</v>
      </c>
    </row>
    <row r="13" spans="2:18">
      <c r="B13" s="141">
        <f t="shared" si="0"/>
        <v>2019</v>
      </c>
      <c r="C13" s="142"/>
      <c r="D13" s="133"/>
      <c r="E13" s="133">
        <f t="shared" si="4"/>
        <v>39.28</v>
      </c>
      <c r="F13" s="135">
        <f t="shared" si="1"/>
        <v>14.464575047871559</v>
      </c>
      <c r="G13" s="133">
        <f t="shared" si="5"/>
        <v>0</v>
      </c>
      <c r="H13" s="143">
        <f t="shared" si="5"/>
        <v>0</v>
      </c>
      <c r="I13" s="135">
        <f t="shared" si="2"/>
        <v>14.464575047871559</v>
      </c>
      <c r="J13" s="135">
        <f t="shared" si="3"/>
        <v>39.28</v>
      </c>
      <c r="K13" s="133">
        <f t="shared" si="6"/>
        <v>0.61</v>
      </c>
      <c r="L13" s="124"/>
      <c r="N13" s="136"/>
      <c r="P13" s="170">
        <f t="shared" si="7"/>
        <v>0</v>
      </c>
    </row>
    <row r="14" spans="2:18">
      <c r="B14" s="141">
        <f t="shared" si="0"/>
        <v>2020</v>
      </c>
      <c r="C14" s="142"/>
      <c r="D14" s="133"/>
      <c r="E14" s="133">
        <f t="shared" si="4"/>
        <v>40.26</v>
      </c>
      <c r="F14" s="135">
        <f t="shared" si="1"/>
        <v>14.82545293857711</v>
      </c>
      <c r="G14" s="133">
        <f t="shared" si="5"/>
        <v>0</v>
      </c>
      <c r="H14" s="143">
        <f t="shared" si="5"/>
        <v>0</v>
      </c>
      <c r="I14" s="135">
        <f t="shared" si="2"/>
        <v>14.82545293857711</v>
      </c>
      <c r="J14" s="135">
        <f t="shared" si="3"/>
        <v>40.26</v>
      </c>
      <c r="K14" s="133">
        <f t="shared" si="6"/>
        <v>0.63</v>
      </c>
      <c r="L14" s="124"/>
      <c r="N14" s="136"/>
      <c r="O14" s="138"/>
      <c r="P14" s="170">
        <f t="shared" si="7"/>
        <v>0</v>
      </c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41.23</v>
      </c>
      <c r="F15" s="135">
        <f t="shared" si="1"/>
        <v>15.182648401826484</v>
      </c>
      <c r="G15" s="133">
        <f t="shared" si="5"/>
        <v>0</v>
      </c>
      <c r="H15" s="143">
        <f t="shared" si="5"/>
        <v>0</v>
      </c>
      <c r="I15" s="135">
        <f t="shared" si="2"/>
        <v>15.182648401826484</v>
      </c>
      <c r="J15" s="135">
        <f t="shared" si="3"/>
        <v>41.23</v>
      </c>
      <c r="K15" s="133">
        <f t="shared" si="6"/>
        <v>0.65</v>
      </c>
      <c r="L15" s="124"/>
      <c r="N15" s="139"/>
      <c r="O15" s="139"/>
      <c r="P15" s="170">
        <f t="shared" si="7"/>
        <v>0</v>
      </c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42.22</v>
      </c>
      <c r="F16" s="135">
        <f t="shared" si="1"/>
        <v>15.547208719988218</v>
      </c>
      <c r="G16" s="133">
        <f t="shared" si="5"/>
        <v>0</v>
      </c>
      <c r="H16" s="143">
        <f t="shared" si="5"/>
        <v>0</v>
      </c>
      <c r="I16" s="135">
        <f t="shared" si="2"/>
        <v>15.547208719988218</v>
      </c>
      <c r="J16" s="135">
        <f t="shared" si="3"/>
        <v>42.22</v>
      </c>
      <c r="K16" s="133">
        <f t="shared" si="6"/>
        <v>0.67</v>
      </c>
      <c r="L16" s="124"/>
      <c r="N16" s="136"/>
      <c r="P16" s="170">
        <f t="shared" si="7"/>
        <v>0</v>
      </c>
    </row>
    <row r="17" spans="2:17">
      <c r="B17" s="141">
        <f t="shared" si="0"/>
        <v>2023</v>
      </c>
      <c r="C17" s="142"/>
      <c r="D17" s="133"/>
      <c r="E17" s="133">
        <f t="shared" si="4"/>
        <v>43.23</v>
      </c>
      <c r="F17" s="135">
        <f t="shared" si="1"/>
        <v>15.919133893062307</v>
      </c>
      <c r="G17" s="133">
        <f t="shared" si="5"/>
        <v>0</v>
      </c>
      <c r="H17" s="143">
        <f t="shared" si="5"/>
        <v>0</v>
      </c>
      <c r="I17" s="135">
        <f t="shared" si="2"/>
        <v>15.919133893062307</v>
      </c>
      <c r="J17" s="135">
        <f t="shared" si="3"/>
        <v>43.23</v>
      </c>
      <c r="K17" s="133">
        <f t="shared" si="6"/>
        <v>0.69</v>
      </c>
      <c r="L17" s="124"/>
      <c r="N17" s="136"/>
      <c r="O17" s="138"/>
      <c r="P17" s="170">
        <f t="shared" si="7"/>
        <v>0</v>
      </c>
    </row>
    <row r="18" spans="2:17">
      <c r="B18" s="141">
        <f t="shared" si="0"/>
        <v>2024</v>
      </c>
      <c r="C18" s="142"/>
      <c r="D18" s="133"/>
      <c r="E18" s="133">
        <f t="shared" si="4"/>
        <v>44.22</v>
      </c>
      <c r="F18" s="135">
        <f t="shared" si="1"/>
        <v>16.283694211224041</v>
      </c>
      <c r="G18" s="133">
        <f t="shared" si="5"/>
        <v>0</v>
      </c>
      <c r="H18" s="143">
        <f t="shared" si="5"/>
        <v>0</v>
      </c>
      <c r="I18" s="135">
        <f t="shared" si="2"/>
        <v>16.283694211224041</v>
      </c>
      <c r="J18" s="135">
        <f t="shared" si="3"/>
        <v>44.22</v>
      </c>
      <c r="K18" s="133">
        <f t="shared" si="6"/>
        <v>0.71</v>
      </c>
      <c r="L18" s="124"/>
      <c r="P18" s="170">
        <f t="shared" si="7"/>
        <v>0</v>
      </c>
    </row>
    <row r="19" spans="2:17">
      <c r="B19" s="141">
        <f t="shared" si="0"/>
        <v>2025</v>
      </c>
      <c r="C19" s="142"/>
      <c r="D19" s="133"/>
      <c r="E19" s="133">
        <f t="shared" si="4"/>
        <v>45.24</v>
      </c>
      <c r="F19" s="135">
        <f t="shared" si="1"/>
        <v>16.659301811754311</v>
      </c>
      <c r="G19" s="133">
        <f t="shared" si="5"/>
        <v>0</v>
      </c>
      <c r="H19" s="143">
        <f t="shared" si="5"/>
        <v>0</v>
      </c>
      <c r="I19" s="135">
        <f t="shared" si="2"/>
        <v>16.659301811754311</v>
      </c>
      <c r="J19" s="135">
        <f t="shared" si="3"/>
        <v>45.24</v>
      </c>
      <c r="K19" s="133">
        <f t="shared" si="6"/>
        <v>0.73</v>
      </c>
      <c r="L19" s="124"/>
      <c r="P19" s="170">
        <f t="shared" si="7"/>
        <v>0</v>
      </c>
    </row>
    <row r="20" spans="2:17">
      <c r="B20" s="141">
        <f t="shared" si="0"/>
        <v>2026</v>
      </c>
      <c r="C20" s="142"/>
      <c r="D20" s="133"/>
      <c r="E20" s="133">
        <f t="shared" ref="E20:E28" si="8">ROUND(E19*(1+$G66),2)</f>
        <v>46.24</v>
      </c>
      <c r="F20" s="135">
        <f t="shared" si="1"/>
        <v>17.02754455737222</v>
      </c>
      <c r="G20" s="133">
        <f t="shared" ref="G20:H28" si="9">ROUND(G19*(1+$G66),2)</f>
        <v>0</v>
      </c>
      <c r="H20" s="143">
        <f t="shared" si="9"/>
        <v>0</v>
      </c>
      <c r="I20" s="135">
        <f t="shared" si="2"/>
        <v>17.02754455737222</v>
      </c>
      <c r="J20" s="135">
        <f t="shared" si="3"/>
        <v>46.24</v>
      </c>
      <c r="K20" s="133">
        <f t="shared" ref="K20:K28" si="10">ROUND(K19*(1+$G66),2)</f>
        <v>0.75</v>
      </c>
      <c r="L20" s="124"/>
      <c r="P20" s="170">
        <f t="shared" ref="P20:P28" si="11">ROUND(P19*(1+$G66),2)</f>
        <v>0</v>
      </c>
      <c r="Q20" s="171"/>
    </row>
    <row r="21" spans="2:17">
      <c r="B21" s="141">
        <f t="shared" si="0"/>
        <v>2027</v>
      </c>
      <c r="C21" s="142"/>
      <c r="D21" s="133"/>
      <c r="E21" s="133">
        <f t="shared" si="8"/>
        <v>47.26</v>
      </c>
      <c r="F21" s="135">
        <f t="shared" si="1"/>
        <v>17.40315215790249</v>
      </c>
      <c r="G21" s="133">
        <f t="shared" si="9"/>
        <v>0</v>
      </c>
      <c r="H21" s="143">
        <f t="shared" si="9"/>
        <v>0</v>
      </c>
      <c r="I21" s="135">
        <f t="shared" si="2"/>
        <v>17.40315215790249</v>
      </c>
      <c r="J21" s="135">
        <f t="shared" si="3"/>
        <v>47.26</v>
      </c>
      <c r="K21" s="133">
        <f t="shared" si="10"/>
        <v>0.77</v>
      </c>
      <c r="L21" s="124"/>
      <c r="P21" s="170">
        <f t="shared" si="11"/>
        <v>0</v>
      </c>
    </row>
    <row r="22" spans="2:17">
      <c r="B22" s="141">
        <f t="shared" si="0"/>
        <v>2028</v>
      </c>
      <c r="C22" s="142"/>
      <c r="D22" s="133"/>
      <c r="E22" s="133">
        <f t="shared" si="8"/>
        <v>48.3</v>
      </c>
      <c r="F22" s="135">
        <f t="shared" si="1"/>
        <v>17.786124613345116</v>
      </c>
      <c r="G22" s="133">
        <f t="shared" si="9"/>
        <v>0</v>
      </c>
      <c r="H22" s="143">
        <f t="shared" si="9"/>
        <v>0</v>
      </c>
      <c r="I22" s="135">
        <f t="shared" si="2"/>
        <v>17.786124613345116</v>
      </c>
      <c r="J22" s="135">
        <f t="shared" si="3"/>
        <v>48.3</v>
      </c>
      <c r="K22" s="133">
        <f t="shared" si="10"/>
        <v>0.79</v>
      </c>
      <c r="L22" s="124"/>
      <c r="P22" s="170">
        <f t="shared" si="11"/>
        <v>0</v>
      </c>
    </row>
    <row r="23" spans="2:17">
      <c r="B23" s="141">
        <f t="shared" si="0"/>
        <v>2029</v>
      </c>
      <c r="C23" s="142"/>
      <c r="D23" s="133"/>
      <c r="E23" s="133">
        <f t="shared" si="8"/>
        <v>49.31</v>
      </c>
      <c r="F23" s="135">
        <f t="shared" si="1"/>
        <v>18.158049786419209</v>
      </c>
      <c r="G23" s="133">
        <f t="shared" si="9"/>
        <v>0</v>
      </c>
      <c r="H23" s="143">
        <f t="shared" si="9"/>
        <v>0</v>
      </c>
      <c r="I23" s="135">
        <f t="shared" si="2"/>
        <v>18.158049786419209</v>
      </c>
      <c r="J23" s="135">
        <f t="shared" si="3"/>
        <v>49.31</v>
      </c>
      <c r="K23" s="133">
        <f t="shared" si="10"/>
        <v>0.81</v>
      </c>
      <c r="L23" s="124"/>
      <c r="P23" s="170">
        <f t="shared" si="11"/>
        <v>0</v>
      </c>
    </row>
    <row r="24" spans="2:17">
      <c r="B24" s="141">
        <f t="shared" si="0"/>
        <v>2030</v>
      </c>
      <c r="C24" s="142"/>
      <c r="D24" s="133"/>
      <c r="E24" s="133">
        <f t="shared" si="8"/>
        <v>50.3</v>
      </c>
      <c r="F24" s="135">
        <f t="shared" si="1"/>
        <v>18.522610104580941</v>
      </c>
      <c r="G24" s="133">
        <f t="shared" si="9"/>
        <v>0</v>
      </c>
      <c r="H24" s="143">
        <f t="shared" si="9"/>
        <v>0</v>
      </c>
      <c r="I24" s="135">
        <f t="shared" si="2"/>
        <v>18.522610104580941</v>
      </c>
      <c r="J24" s="135">
        <f t="shared" si="3"/>
        <v>50.3</v>
      </c>
      <c r="K24" s="133">
        <f t="shared" si="10"/>
        <v>0.83</v>
      </c>
      <c r="L24" s="124"/>
      <c r="P24" s="170">
        <f t="shared" si="11"/>
        <v>0</v>
      </c>
    </row>
    <row r="25" spans="2:17">
      <c r="B25" s="141">
        <f t="shared" si="0"/>
        <v>2031</v>
      </c>
      <c r="C25" s="142"/>
      <c r="D25" s="133"/>
      <c r="E25" s="133">
        <f t="shared" si="8"/>
        <v>51.31</v>
      </c>
      <c r="F25" s="135">
        <f t="shared" si="1"/>
        <v>18.894535277655031</v>
      </c>
      <c r="G25" s="133">
        <f t="shared" si="9"/>
        <v>0</v>
      </c>
      <c r="H25" s="143">
        <f t="shared" si="9"/>
        <v>0</v>
      </c>
      <c r="I25" s="135">
        <f t="shared" si="2"/>
        <v>18.894535277655031</v>
      </c>
      <c r="J25" s="135">
        <f t="shared" si="3"/>
        <v>51.31</v>
      </c>
      <c r="K25" s="133">
        <f t="shared" si="10"/>
        <v>0.85</v>
      </c>
      <c r="L25" s="124"/>
      <c r="P25" s="170">
        <f t="shared" si="11"/>
        <v>0</v>
      </c>
    </row>
    <row r="26" spans="2:17">
      <c r="B26" s="141">
        <f t="shared" si="0"/>
        <v>2032</v>
      </c>
      <c r="C26" s="142"/>
      <c r="D26" s="133"/>
      <c r="E26" s="133">
        <f t="shared" si="8"/>
        <v>52.34</v>
      </c>
      <c r="F26" s="135">
        <f t="shared" si="1"/>
        <v>19.273825305641481</v>
      </c>
      <c r="G26" s="133">
        <f t="shared" si="9"/>
        <v>0</v>
      </c>
      <c r="H26" s="143">
        <f t="shared" si="9"/>
        <v>0</v>
      </c>
      <c r="I26" s="135">
        <f t="shared" si="2"/>
        <v>19.273825305641481</v>
      </c>
      <c r="J26" s="135">
        <f t="shared" si="3"/>
        <v>52.34</v>
      </c>
      <c r="K26" s="133">
        <f t="shared" si="10"/>
        <v>0.87</v>
      </c>
      <c r="L26" s="124"/>
      <c r="P26" s="170">
        <f t="shared" si="11"/>
        <v>0</v>
      </c>
    </row>
    <row r="27" spans="2:17">
      <c r="B27" s="141">
        <f t="shared" si="0"/>
        <v>2033</v>
      </c>
      <c r="C27" s="142"/>
      <c r="D27" s="133"/>
      <c r="E27" s="133">
        <f t="shared" si="8"/>
        <v>53.39</v>
      </c>
      <c r="F27" s="135">
        <f t="shared" si="1"/>
        <v>19.660480188540287</v>
      </c>
      <c r="G27" s="133">
        <f t="shared" si="9"/>
        <v>0</v>
      </c>
      <c r="H27" s="143">
        <f t="shared" si="9"/>
        <v>0</v>
      </c>
      <c r="I27" s="135">
        <f t="shared" si="2"/>
        <v>19.660480188540287</v>
      </c>
      <c r="J27" s="135">
        <f t="shared" si="3"/>
        <v>53.39</v>
      </c>
      <c r="K27" s="133">
        <f t="shared" si="10"/>
        <v>0.89</v>
      </c>
      <c r="L27" s="124"/>
      <c r="P27" s="170">
        <f t="shared" si="11"/>
        <v>0</v>
      </c>
    </row>
    <row r="28" spans="2:17">
      <c r="B28" s="141">
        <f t="shared" si="0"/>
        <v>2034</v>
      </c>
      <c r="C28" s="142"/>
      <c r="D28" s="133"/>
      <c r="E28" s="133">
        <f t="shared" si="8"/>
        <v>54.46</v>
      </c>
      <c r="F28" s="135">
        <f t="shared" si="1"/>
        <v>20.054499926351454</v>
      </c>
      <c r="G28" s="133">
        <f t="shared" si="9"/>
        <v>0</v>
      </c>
      <c r="H28" s="143">
        <f t="shared" si="9"/>
        <v>0</v>
      </c>
      <c r="I28" s="135">
        <f t="shared" si="2"/>
        <v>20.054499926351454</v>
      </c>
      <c r="J28" s="135">
        <f t="shared" si="3"/>
        <v>54.46</v>
      </c>
      <c r="K28" s="133">
        <f t="shared" si="10"/>
        <v>0.91</v>
      </c>
      <c r="L28" s="124"/>
      <c r="P28" s="170">
        <f t="shared" si="11"/>
        <v>0</v>
      </c>
    </row>
    <row r="29" spans="2:17">
      <c r="B29" s="141">
        <f t="shared" si="0"/>
        <v>2035</v>
      </c>
      <c r="C29" s="142"/>
      <c r="D29" s="133"/>
      <c r="E29" s="133">
        <f t="shared" ref="D29:E36" si="12">ROUND(E28*(1+$K66),2)</f>
        <v>55.55</v>
      </c>
      <c r="F29" s="135">
        <f t="shared" si="1"/>
        <v>20.455884519074974</v>
      </c>
      <c r="G29" s="133">
        <f>ROUND(G28*(1+$K66),2)</f>
        <v>0</v>
      </c>
      <c r="H29" s="143">
        <f>ROUND(H28*(1+$K66),2)</f>
        <v>0</v>
      </c>
      <c r="I29" s="135">
        <f t="shared" si="2"/>
        <v>20.455884519074974</v>
      </c>
      <c r="J29" s="135">
        <f t="shared" si="3"/>
        <v>55.55</v>
      </c>
      <c r="K29" s="133">
        <f>ROUND(K28*(1+$K66),2)</f>
        <v>0.93</v>
      </c>
      <c r="L29" s="124"/>
      <c r="P29" s="170">
        <f>ROUND(P28*(1+$K66),2)</f>
        <v>0</v>
      </c>
    </row>
    <row r="30" spans="2:17">
      <c r="B30" s="141">
        <f t="shared" si="0"/>
        <v>2036</v>
      </c>
      <c r="C30" s="142">
        <f>$C$55</f>
        <v>1369.7572941249264</v>
      </c>
      <c r="D30" s="133">
        <f>C30*$C$62</f>
        <v>97.334833987164757</v>
      </c>
      <c r="E30" s="133">
        <f t="shared" si="12"/>
        <v>56.66</v>
      </c>
      <c r="F30" s="135">
        <f t="shared" si="1"/>
        <v>56.707480478408002</v>
      </c>
      <c r="G30" s="133">
        <f t="shared" ref="G30:H36" si="13">ROUND(G29*(1+$K67),2)</f>
        <v>0</v>
      </c>
      <c r="H30" s="143">
        <f t="shared" si="13"/>
        <v>0</v>
      </c>
      <c r="I30" s="135">
        <f t="shared" si="2"/>
        <v>56.707480478408002</v>
      </c>
      <c r="J30" s="135">
        <f t="shared" si="3"/>
        <v>153.99</v>
      </c>
      <c r="K30" s="133">
        <f t="shared" ref="K30:K36" si="14">ROUND(K29*(1+$K67),2)</f>
        <v>0.95</v>
      </c>
      <c r="L30" s="124"/>
      <c r="P30" s="170">
        <f t="shared" ref="P30:P36" si="15">ROUND(P29*(1+$K67),2)</f>
        <v>0</v>
      </c>
    </row>
    <row r="31" spans="2:17">
      <c r="B31" s="141">
        <f t="shared" si="0"/>
        <v>2037</v>
      </c>
      <c r="C31" s="142"/>
      <c r="D31" s="133">
        <f t="shared" si="12"/>
        <v>99.38</v>
      </c>
      <c r="E31" s="133">
        <f t="shared" si="12"/>
        <v>57.85</v>
      </c>
      <c r="F31" s="135">
        <f t="shared" si="1"/>
        <v>57.898806893504201</v>
      </c>
      <c r="G31" s="133">
        <f t="shared" si="13"/>
        <v>0</v>
      </c>
      <c r="H31" s="143">
        <f t="shared" si="13"/>
        <v>0</v>
      </c>
      <c r="I31" s="135">
        <f t="shared" si="2"/>
        <v>57.898806893504201</v>
      </c>
      <c r="J31" s="135">
        <f t="shared" si="3"/>
        <v>157.22999999999999</v>
      </c>
      <c r="K31" s="133">
        <f t="shared" si="14"/>
        <v>0.97</v>
      </c>
      <c r="L31" s="124"/>
      <c r="P31" s="170">
        <f t="shared" si="15"/>
        <v>0</v>
      </c>
    </row>
    <row r="32" spans="2:17">
      <c r="B32" s="141">
        <f t="shared" si="0"/>
        <v>2038</v>
      </c>
      <c r="C32" s="142"/>
      <c r="D32" s="133">
        <f t="shared" si="12"/>
        <v>101.47</v>
      </c>
      <c r="E32" s="133">
        <f t="shared" si="12"/>
        <v>59.06</v>
      </c>
      <c r="F32" s="135">
        <f t="shared" si="1"/>
        <v>59.114007954043309</v>
      </c>
      <c r="G32" s="133">
        <f t="shared" si="13"/>
        <v>0</v>
      </c>
      <c r="H32" s="143">
        <f t="shared" si="13"/>
        <v>0</v>
      </c>
      <c r="I32" s="135">
        <f t="shared" si="2"/>
        <v>59.114007954043309</v>
      </c>
      <c r="J32" s="135">
        <f t="shared" si="3"/>
        <v>160.53</v>
      </c>
      <c r="K32" s="133">
        <f t="shared" si="14"/>
        <v>0.99</v>
      </c>
      <c r="L32" s="124"/>
      <c r="P32" s="170">
        <f t="shared" si="15"/>
        <v>0</v>
      </c>
    </row>
    <row r="33" spans="2:16">
      <c r="B33" s="141">
        <f t="shared" si="0"/>
        <v>2039</v>
      </c>
      <c r="C33" s="142"/>
      <c r="D33" s="133">
        <f t="shared" si="12"/>
        <v>103.6</v>
      </c>
      <c r="E33" s="133">
        <f t="shared" si="12"/>
        <v>60.3</v>
      </c>
      <c r="F33" s="135">
        <f t="shared" si="1"/>
        <v>60.354986006775661</v>
      </c>
      <c r="G33" s="133">
        <f t="shared" si="13"/>
        <v>0</v>
      </c>
      <c r="H33" s="143">
        <f t="shared" si="13"/>
        <v>0</v>
      </c>
      <c r="I33" s="135">
        <f t="shared" si="2"/>
        <v>60.354986006775661</v>
      </c>
      <c r="J33" s="135">
        <f t="shared" si="3"/>
        <v>163.9</v>
      </c>
      <c r="K33" s="133">
        <f t="shared" si="14"/>
        <v>1.01</v>
      </c>
      <c r="L33" s="124"/>
      <c r="P33" s="170">
        <f t="shared" si="15"/>
        <v>0</v>
      </c>
    </row>
    <row r="34" spans="2:16">
      <c r="B34" s="141">
        <f t="shared" si="0"/>
        <v>2040</v>
      </c>
      <c r="C34" s="142"/>
      <c r="D34" s="133">
        <f t="shared" si="12"/>
        <v>105.78</v>
      </c>
      <c r="E34" s="133">
        <f t="shared" si="12"/>
        <v>61.57</v>
      </c>
      <c r="F34" s="135">
        <f t="shared" si="1"/>
        <v>61.625423479157462</v>
      </c>
      <c r="G34" s="133">
        <f t="shared" si="13"/>
        <v>0</v>
      </c>
      <c r="H34" s="143">
        <f t="shared" si="13"/>
        <v>0</v>
      </c>
      <c r="I34" s="135">
        <f t="shared" si="2"/>
        <v>61.625423479157462</v>
      </c>
      <c r="J34" s="135">
        <f t="shared" si="3"/>
        <v>167.35</v>
      </c>
      <c r="K34" s="133">
        <f t="shared" si="14"/>
        <v>1.03</v>
      </c>
      <c r="L34" s="124"/>
      <c r="P34" s="170">
        <f t="shared" si="15"/>
        <v>0</v>
      </c>
    </row>
    <row r="35" spans="2:16">
      <c r="B35" s="141">
        <f t="shared" si="0"/>
        <v>2041</v>
      </c>
      <c r="C35" s="142"/>
      <c r="D35" s="133">
        <f t="shared" si="12"/>
        <v>108.11</v>
      </c>
      <c r="E35" s="133">
        <f t="shared" si="12"/>
        <v>62.92</v>
      </c>
      <c r="F35" s="135">
        <f t="shared" si="1"/>
        <v>62.980556783031382</v>
      </c>
      <c r="G35" s="133">
        <f t="shared" si="13"/>
        <v>0</v>
      </c>
      <c r="H35" s="143">
        <f t="shared" si="13"/>
        <v>0</v>
      </c>
      <c r="I35" s="135">
        <f t="shared" si="2"/>
        <v>62.980556783031382</v>
      </c>
      <c r="J35" s="135">
        <f t="shared" si="3"/>
        <v>171.03</v>
      </c>
      <c r="K35" s="133">
        <f t="shared" si="14"/>
        <v>1.05</v>
      </c>
      <c r="L35" s="124"/>
      <c r="P35" s="170">
        <f t="shared" si="15"/>
        <v>0</v>
      </c>
    </row>
    <row r="36" spans="2:16">
      <c r="B36" s="141">
        <f t="shared" si="0"/>
        <v>2042</v>
      </c>
      <c r="C36" s="142"/>
      <c r="D36" s="133">
        <f t="shared" si="12"/>
        <v>110.49</v>
      </c>
      <c r="E36" s="133">
        <f t="shared" si="12"/>
        <v>64.3</v>
      </c>
      <c r="F36" s="135">
        <f t="shared" si="1"/>
        <v>64.365149506554729</v>
      </c>
      <c r="G36" s="133">
        <f t="shared" si="13"/>
        <v>0</v>
      </c>
      <c r="H36" s="143">
        <f t="shared" si="13"/>
        <v>0</v>
      </c>
      <c r="I36" s="135">
        <f t="shared" si="2"/>
        <v>64.365149506554729</v>
      </c>
      <c r="J36" s="135">
        <f t="shared" si="3"/>
        <v>174.79</v>
      </c>
      <c r="K36" s="133">
        <f t="shared" si="14"/>
        <v>1.07</v>
      </c>
      <c r="L36" s="124"/>
      <c r="P36" s="170">
        <f t="shared" si="15"/>
        <v>0</v>
      </c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tr">
        <f>'Table 3 EV2020 Wind_2020'!D44</f>
        <v>Plant Costs  - 2017 IRP Update - Table 5.4 &amp; 5.5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0.0710599128799291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31.0%)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(i)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Utah Wind Resource - 31%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76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124</v>
      </c>
      <c r="C55" s="186">
        <v>1369.7572941249264</v>
      </c>
      <c r="D55" s="122" t="s">
        <v>75</v>
      </c>
      <c r="H55" s="122" t="s">
        <v>9</v>
      </c>
    </row>
    <row r="56" spans="2:24">
      <c r="B56" s="86" t="s">
        <v>112</v>
      </c>
      <c r="C56" s="155">
        <v>37.570551305416139</v>
      </c>
      <c r="D56" s="122" t="s">
        <v>78</v>
      </c>
      <c r="H56" s="122" t="s">
        <v>9</v>
      </c>
    </row>
    <row r="57" spans="2:24">
      <c r="B57" s="86" t="s">
        <v>112</v>
      </c>
      <c r="C57" s="160">
        <v>0.58600709999999989</v>
      </c>
      <c r="D57" s="122" t="s">
        <v>83</v>
      </c>
      <c r="H57" s="122" t="s">
        <v>80</v>
      </c>
    </row>
    <row r="58" spans="2:24">
      <c r="B58" s="86" t="s">
        <v>112</v>
      </c>
      <c r="C58" s="155">
        <v>0</v>
      </c>
      <c r="D58" s="122" t="s">
        <v>79</v>
      </c>
      <c r="H58" s="122" t="s">
        <v>80</v>
      </c>
      <c r="K58" s="124"/>
      <c r="L58" s="156"/>
      <c r="M58" s="52"/>
      <c r="N58" s="157"/>
      <c r="O58" s="52"/>
      <c r="P58" s="157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158"/>
      <c r="L59" s="158"/>
      <c r="M59" s="159"/>
      <c r="N59" s="160"/>
      <c r="O59" s="157"/>
      <c r="P59" s="161"/>
      <c r="Q59" s="124"/>
      <c r="R59" s="124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124"/>
      <c r="O60" s="157"/>
      <c r="P60" s="161"/>
      <c r="Q60" s="124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24"/>
      <c r="O61" s="158"/>
      <c r="P61" s="161"/>
      <c r="S61" s="124"/>
      <c r="T61" s="124"/>
      <c r="U61" s="124"/>
      <c r="V61" s="124"/>
      <c r="W61" s="124"/>
      <c r="X61" s="124"/>
    </row>
    <row r="62" spans="2:24">
      <c r="C62" s="163">
        <v>7.1059912879929146E-2</v>
      </c>
      <c r="D62" s="122" t="s">
        <v>38</v>
      </c>
      <c r="K62" s="164"/>
      <c r="L62" s="165"/>
      <c r="M62" s="165"/>
      <c r="O62" s="166"/>
    </row>
    <row r="63" spans="2:24">
      <c r="C63" s="167">
        <v>0.31</v>
      </c>
      <c r="D63" s="122" t="s">
        <v>39</v>
      </c>
      <c r="G63" s="223"/>
      <c r="H63" s="222"/>
    </row>
    <row r="64" spans="2:24" ht="13.5" thickBot="1">
      <c r="D64" s="161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6">C66+1</f>
        <v>2018</v>
      </c>
      <c r="D67" s="41">
        <v>2.3E-2</v>
      </c>
      <c r="E67" s="86"/>
      <c r="F67" s="88">
        <f t="shared" ref="F67:F74" si="17">F66+1</f>
        <v>2027</v>
      </c>
      <c r="G67" s="41">
        <v>2.1999999999999999E-2</v>
      </c>
      <c r="H67" s="86"/>
      <c r="I67" s="88">
        <f t="shared" ref="I67:I74" si="18">I66+1</f>
        <v>2036</v>
      </c>
      <c r="J67" s="88"/>
      <c r="K67" s="41">
        <v>0.02</v>
      </c>
    </row>
    <row r="68" spans="3:11">
      <c r="C68" s="88">
        <f t="shared" si="16"/>
        <v>2019</v>
      </c>
      <c r="D68" s="41">
        <v>2.1999999999999999E-2</v>
      </c>
      <c r="E68" s="86"/>
      <c r="F68" s="88">
        <f t="shared" si="17"/>
        <v>2028</v>
      </c>
      <c r="G68" s="41">
        <v>2.1999999999999999E-2</v>
      </c>
      <c r="H68" s="86"/>
      <c r="I68" s="88">
        <f t="shared" si="18"/>
        <v>2037</v>
      </c>
      <c r="J68" s="88"/>
      <c r="K68" s="41">
        <v>2.1000000000000001E-2</v>
      </c>
    </row>
    <row r="69" spans="3:11">
      <c r="C69" s="88">
        <f t="shared" si="16"/>
        <v>2020</v>
      </c>
      <c r="D69" s="41">
        <v>2.5000000000000001E-2</v>
      </c>
      <c r="E69" s="86"/>
      <c r="F69" s="88">
        <f t="shared" si="17"/>
        <v>2029</v>
      </c>
      <c r="G69" s="41">
        <v>2.1000000000000001E-2</v>
      </c>
      <c r="H69" s="86"/>
      <c r="I69" s="88">
        <f t="shared" si="18"/>
        <v>2038</v>
      </c>
      <c r="J69" s="88"/>
      <c r="K69" s="41">
        <v>2.1000000000000001E-2</v>
      </c>
    </row>
    <row r="70" spans="3:11">
      <c r="C70" s="88">
        <f t="shared" si="16"/>
        <v>2021</v>
      </c>
      <c r="D70" s="41">
        <v>2.4E-2</v>
      </c>
      <c r="E70" s="86"/>
      <c r="F70" s="88">
        <f t="shared" si="17"/>
        <v>2030</v>
      </c>
      <c r="G70" s="41">
        <v>0.02</v>
      </c>
      <c r="H70" s="86"/>
      <c r="I70" s="88">
        <f t="shared" si="18"/>
        <v>2039</v>
      </c>
      <c r="J70" s="88"/>
      <c r="K70" s="41">
        <v>2.1000000000000001E-2</v>
      </c>
    </row>
    <row r="71" spans="3:11">
      <c r="C71" s="88">
        <f t="shared" si="16"/>
        <v>2022</v>
      </c>
      <c r="D71" s="41">
        <v>2.4E-2</v>
      </c>
      <c r="E71" s="86"/>
      <c r="F71" s="88">
        <f t="shared" si="17"/>
        <v>2031</v>
      </c>
      <c r="G71" s="41">
        <v>0.02</v>
      </c>
      <c r="H71" s="86"/>
      <c r="I71" s="88">
        <f t="shared" si="18"/>
        <v>2040</v>
      </c>
      <c r="J71" s="88"/>
      <c r="K71" s="41">
        <v>2.1000000000000001E-2</v>
      </c>
    </row>
    <row r="72" spans="3:11" s="124" customFormat="1">
      <c r="C72" s="88">
        <f t="shared" si="16"/>
        <v>2023</v>
      </c>
      <c r="D72" s="41">
        <v>2.4E-2</v>
      </c>
      <c r="E72" s="87"/>
      <c r="F72" s="88">
        <f t="shared" si="17"/>
        <v>2032</v>
      </c>
      <c r="G72" s="41">
        <v>0.02</v>
      </c>
      <c r="H72" s="87"/>
      <c r="I72" s="88">
        <f t="shared" si="18"/>
        <v>2041</v>
      </c>
      <c r="J72" s="88"/>
      <c r="K72" s="41">
        <v>2.1999999999999999E-2</v>
      </c>
    </row>
    <row r="73" spans="3:11" s="124" customFormat="1">
      <c r="C73" s="88">
        <f t="shared" si="16"/>
        <v>2024</v>
      </c>
      <c r="D73" s="41">
        <v>2.3E-2</v>
      </c>
      <c r="E73" s="87"/>
      <c r="F73" s="88">
        <f t="shared" si="17"/>
        <v>2033</v>
      </c>
      <c r="G73" s="41">
        <v>0.02</v>
      </c>
      <c r="H73" s="87"/>
      <c r="I73" s="88">
        <f t="shared" si="18"/>
        <v>2042</v>
      </c>
      <c r="J73" s="88"/>
      <c r="K73" s="41">
        <v>2.1999999999999999E-2</v>
      </c>
    </row>
    <row r="74" spans="3:11" s="124" customFormat="1">
      <c r="C74" s="88">
        <f t="shared" si="16"/>
        <v>2025</v>
      </c>
      <c r="D74" s="41">
        <v>2.3E-2</v>
      </c>
      <c r="E74" s="87"/>
      <c r="F74" s="88">
        <f t="shared" si="17"/>
        <v>2034</v>
      </c>
      <c r="G74" s="41">
        <v>0.02</v>
      </c>
      <c r="H74" s="87"/>
      <c r="I74" s="88">
        <f t="shared" si="18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landscape" r:id="rId1"/>
  <headerFooter alignWithMargins="0"/>
  <rowBreaks count="1" manualBreakCount="1">
    <brk id="51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0" style="122" hidden="1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128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38%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7" t="s">
        <v>55</v>
      </c>
      <c r="J5" s="17" t="s">
        <v>55</v>
      </c>
      <c r="K5" s="126" t="s">
        <v>72</v>
      </c>
      <c r="P5" s="126" t="s">
        <v>71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Walla Walla Wind Resource - 38%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>
        <f>$C$59</f>
        <v>0</v>
      </c>
    </row>
    <row r="11" spans="2:18">
      <c r="B11" s="131">
        <f t="shared" ref="B11:B36" si="0">B10+1</f>
        <v>2017</v>
      </c>
      <c r="C11" s="137"/>
      <c r="D11" s="133"/>
      <c r="E11" s="133">
        <f>$C$56</f>
        <v>37.570551305416139</v>
      </c>
      <c r="F11" s="134">
        <f t="shared" ref="F11:F36" si="1">(D11+E11)/(8.76*$C$63)</f>
        <v>11.286515052095693</v>
      </c>
      <c r="G11" s="134">
        <f>$C$58</f>
        <v>0</v>
      </c>
      <c r="H11" s="177">
        <f>$C$59</f>
        <v>0</v>
      </c>
      <c r="I11" s="135">
        <f>F11+H11+G11</f>
        <v>11.286515052095693</v>
      </c>
      <c r="J11" s="135">
        <f t="shared" ref="J11:J36" si="2">ROUND(I11*$C$63*8.76,2)</f>
        <v>37.57</v>
      </c>
      <c r="K11" s="133">
        <f>$C$57</f>
        <v>0.58600709999999989</v>
      </c>
      <c r="N11" s="136"/>
      <c r="P11" s="170">
        <f>ROUND(P10*(1+$D66),2)</f>
        <v>0</v>
      </c>
    </row>
    <row r="12" spans="2:18">
      <c r="B12" s="141">
        <f t="shared" si="0"/>
        <v>2018</v>
      </c>
      <c r="C12" s="142"/>
      <c r="D12" s="133"/>
      <c r="E12" s="133">
        <f t="shared" ref="E12:H19" si="3">ROUND(E11*(1+$D67),2)</f>
        <v>38.43</v>
      </c>
      <c r="F12" s="135">
        <f t="shared" si="1"/>
        <v>11.544700793078588</v>
      </c>
      <c r="G12" s="133">
        <f t="shared" si="3"/>
        <v>0</v>
      </c>
      <c r="H12" s="133">
        <f t="shared" si="3"/>
        <v>0</v>
      </c>
      <c r="I12" s="135">
        <f t="shared" ref="I12:I36" si="4">F12+H12+G12</f>
        <v>11.544700793078588</v>
      </c>
      <c r="J12" s="135">
        <f t="shared" si="2"/>
        <v>38.43</v>
      </c>
      <c r="K12" s="133">
        <f t="shared" ref="K12:K19" si="5">ROUND(K11*(1+$D67),2)</f>
        <v>0.6</v>
      </c>
      <c r="L12" s="124"/>
      <c r="N12" s="136"/>
      <c r="P12" s="170">
        <f t="shared" ref="P12:P19" si="6">ROUND(P11*(1+$D67),2)</f>
        <v>0</v>
      </c>
    </row>
    <row r="13" spans="2:18">
      <c r="B13" s="141">
        <f t="shared" si="0"/>
        <v>2019</v>
      </c>
      <c r="C13" s="142"/>
      <c r="D13" s="133"/>
      <c r="E13" s="133">
        <f t="shared" si="3"/>
        <v>39.28</v>
      </c>
      <c r="F13" s="135">
        <f t="shared" si="1"/>
        <v>11.800048065368903</v>
      </c>
      <c r="G13" s="133">
        <f t="shared" si="3"/>
        <v>0</v>
      </c>
      <c r="H13" s="133">
        <f t="shared" si="3"/>
        <v>0</v>
      </c>
      <c r="I13" s="135">
        <f t="shared" si="4"/>
        <v>11.800048065368903</v>
      </c>
      <c r="J13" s="135">
        <f t="shared" si="2"/>
        <v>39.28</v>
      </c>
      <c r="K13" s="133">
        <f t="shared" si="5"/>
        <v>0.61</v>
      </c>
      <c r="L13" s="124"/>
      <c r="N13" s="136"/>
      <c r="P13" s="170">
        <f t="shared" si="6"/>
        <v>0</v>
      </c>
    </row>
    <row r="14" spans="2:18">
      <c r="B14" s="141">
        <f t="shared" si="0"/>
        <v>2020</v>
      </c>
      <c r="C14" s="142"/>
      <c r="D14" s="133"/>
      <c r="E14" s="133">
        <f t="shared" si="3"/>
        <v>40.26</v>
      </c>
      <c r="F14" s="135">
        <f t="shared" si="1"/>
        <v>12.094448449891853</v>
      </c>
      <c r="G14" s="133">
        <f t="shared" si="3"/>
        <v>0</v>
      </c>
      <c r="H14" s="133">
        <f t="shared" si="3"/>
        <v>0</v>
      </c>
      <c r="I14" s="135">
        <f t="shared" si="4"/>
        <v>12.094448449891853</v>
      </c>
      <c r="J14" s="135">
        <f t="shared" si="2"/>
        <v>40.26</v>
      </c>
      <c r="K14" s="133">
        <f t="shared" si="5"/>
        <v>0.63</v>
      </c>
      <c r="L14" s="124"/>
      <c r="N14" s="136"/>
      <c r="O14" s="138"/>
      <c r="P14" s="170">
        <f t="shared" si="6"/>
        <v>0</v>
      </c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3"/>
        <v>41.23</v>
      </c>
      <c r="F15" s="135">
        <f t="shared" si="1"/>
        <v>12.385844748858448</v>
      </c>
      <c r="G15" s="133">
        <f t="shared" si="3"/>
        <v>0</v>
      </c>
      <c r="H15" s="133">
        <f t="shared" si="3"/>
        <v>0</v>
      </c>
      <c r="I15" s="135">
        <f t="shared" si="4"/>
        <v>12.385844748858448</v>
      </c>
      <c r="J15" s="135">
        <f t="shared" si="2"/>
        <v>41.23</v>
      </c>
      <c r="K15" s="133">
        <f t="shared" si="5"/>
        <v>0.65</v>
      </c>
      <c r="L15" s="124"/>
      <c r="N15" s="139"/>
      <c r="O15" s="139"/>
      <c r="P15" s="170">
        <f t="shared" si="6"/>
        <v>0</v>
      </c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3"/>
        <v>42.22</v>
      </c>
      <c r="F16" s="135">
        <f t="shared" si="1"/>
        <v>12.683249218937757</v>
      </c>
      <c r="G16" s="133">
        <f t="shared" si="3"/>
        <v>0</v>
      </c>
      <c r="H16" s="133">
        <f t="shared" si="3"/>
        <v>0</v>
      </c>
      <c r="I16" s="135">
        <f t="shared" si="4"/>
        <v>12.683249218937757</v>
      </c>
      <c r="J16" s="135">
        <f t="shared" si="2"/>
        <v>42.22</v>
      </c>
      <c r="K16" s="133">
        <f t="shared" si="5"/>
        <v>0.67</v>
      </c>
      <c r="L16" s="124"/>
      <c r="N16" s="136"/>
      <c r="P16" s="170">
        <f t="shared" si="6"/>
        <v>0</v>
      </c>
    </row>
    <row r="17" spans="2:16">
      <c r="B17" s="141">
        <f t="shared" si="0"/>
        <v>2023</v>
      </c>
      <c r="C17" s="142"/>
      <c r="D17" s="133"/>
      <c r="E17" s="133">
        <f t="shared" si="3"/>
        <v>43.23</v>
      </c>
      <c r="F17" s="135">
        <f t="shared" si="1"/>
        <v>12.986661860129777</v>
      </c>
      <c r="G17" s="133">
        <f t="shared" si="3"/>
        <v>0</v>
      </c>
      <c r="H17" s="133">
        <f t="shared" si="3"/>
        <v>0</v>
      </c>
      <c r="I17" s="135">
        <f t="shared" si="4"/>
        <v>12.986661860129777</v>
      </c>
      <c r="J17" s="135">
        <f t="shared" si="2"/>
        <v>43.23</v>
      </c>
      <c r="K17" s="133">
        <f t="shared" si="5"/>
        <v>0.69</v>
      </c>
      <c r="L17" s="124"/>
      <c r="N17" s="136"/>
      <c r="O17" s="138"/>
      <c r="P17" s="170">
        <f t="shared" si="6"/>
        <v>0</v>
      </c>
    </row>
    <row r="18" spans="2:16">
      <c r="B18" s="141">
        <f t="shared" si="0"/>
        <v>2024</v>
      </c>
      <c r="C18" s="142"/>
      <c r="D18" s="133"/>
      <c r="E18" s="133">
        <f t="shared" si="3"/>
        <v>44.22</v>
      </c>
      <c r="F18" s="135">
        <f t="shared" si="1"/>
        <v>13.284066330209084</v>
      </c>
      <c r="G18" s="133">
        <f t="shared" si="3"/>
        <v>0</v>
      </c>
      <c r="H18" s="133">
        <f t="shared" si="3"/>
        <v>0</v>
      </c>
      <c r="I18" s="135">
        <f t="shared" si="4"/>
        <v>13.284066330209084</v>
      </c>
      <c r="J18" s="135">
        <f t="shared" si="2"/>
        <v>44.22</v>
      </c>
      <c r="K18" s="133">
        <f t="shared" si="5"/>
        <v>0.71</v>
      </c>
      <c r="L18" s="124"/>
      <c r="N18" s="136"/>
      <c r="O18" s="138"/>
      <c r="P18" s="170">
        <f t="shared" si="6"/>
        <v>0</v>
      </c>
    </row>
    <row r="19" spans="2:16">
      <c r="B19" s="141">
        <f t="shared" si="0"/>
        <v>2025</v>
      </c>
      <c r="C19" s="142"/>
      <c r="D19" s="133"/>
      <c r="E19" s="133">
        <f t="shared" si="3"/>
        <v>45.24</v>
      </c>
      <c r="F19" s="135">
        <f t="shared" si="1"/>
        <v>13.590483056957464</v>
      </c>
      <c r="G19" s="133">
        <f t="shared" si="3"/>
        <v>0</v>
      </c>
      <c r="H19" s="133">
        <f t="shared" si="3"/>
        <v>0</v>
      </c>
      <c r="I19" s="135">
        <f t="shared" si="4"/>
        <v>13.590483056957464</v>
      </c>
      <c r="J19" s="135">
        <f t="shared" si="2"/>
        <v>45.24</v>
      </c>
      <c r="K19" s="133">
        <f t="shared" si="5"/>
        <v>0.73</v>
      </c>
      <c r="L19" s="124"/>
      <c r="N19" s="136"/>
      <c r="O19" s="138"/>
      <c r="P19" s="170">
        <f t="shared" si="6"/>
        <v>0</v>
      </c>
    </row>
    <row r="20" spans="2:16">
      <c r="B20" s="141">
        <f t="shared" si="0"/>
        <v>2026</v>
      </c>
      <c r="C20" s="142"/>
      <c r="D20" s="133"/>
      <c r="E20" s="133">
        <f>ROUND(E19*(1+$G66),2)</f>
        <v>46.24</v>
      </c>
      <c r="F20" s="135">
        <f t="shared" si="1"/>
        <v>13.890891612593128</v>
      </c>
      <c r="G20" s="133">
        <f>ROUND(G19*(1+$G66),2)</f>
        <v>0</v>
      </c>
      <c r="H20" s="133">
        <f>ROUND(H19*(1+$G66),2)</f>
        <v>0</v>
      </c>
      <c r="I20" s="135">
        <f t="shared" si="4"/>
        <v>13.890891612593128</v>
      </c>
      <c r="J20" s="135">
        <f t="shared" si="2"/>
        <v>46.24</v>
      </c>
      <c r="K20" s="133">
        <f>ROUND(K19*(1+$G66),2)</f>
        <v>0.75</v>
      </c>
      <c r="L20" s="124"/>
      <c r="N20" s="136"/>
      <c r="O20" s="138"/>
      <c r="P20" s="170">
        <f>ROUND(P19*(1+$G66),2)</f>
        <v>0</v>
      </c>
    </row>
    <row r="21" spans="2:16">
      <c r="B21" s="141">
        <f t="shared" si="0"/>
        <v>2027</v>
      </c>
      <c r="C21" s="142"/>
      <c r="D21" s="133"/>
      <c r="E21" s="133">
        <f t="shared" ref="E21:H28" si="7">ROUND(E20*(1+$G67),2)</f>
        <v>47.26</v>
      </c>
      <c r="F21" s="135">
        <f t="shared" si="1"/>
        <v>14.197308339341506</v>
      </c>
      <c r="G21" s="133">
        <f t="shared" si="7"/>
        <v>0</v>
      </c>
      <c r="H21" s="133">
        <f t="shared" si="7"/>
        <v>0</v>
      </c>
      <c r="I21" s="135">
        <f t="shared" si="4"/>
        <v>14.197308339341506</v>
      </c>
      <c r="J21" s="135">
        <f t="shared" si="2"/>
        <v>47.26</v>
      </c>
      <c r="K21" s="133">
        <f t="shared" ref="K21:K28" si="8">ROUND(K20*(1+$G67),2)</f>
        <v>0.77</v>
      </c>
      <c r="L21" s="124"/>
      <c r="N21" s="136"/>
      <c r="O21" s="138"/>
      <c r="P21" s="170">
        <f t="shared" ref="P21:P28" si="9">ROUND(P20*(1+$G67),2)</f>
        <v>0</v>
      </c>
    </row>
    <row r="22" spans="2:16">
      <c r="B22" s="141">
        <f t="shared" si="0"/>
        <v>2028</v>
      </c>
      <c r="C22" s="142"/>
      <c r="D22" s="133"/>
      <c r="E22" s="133">
        <f t="shared" si="7"/>
        <v>48.3</v>
      </c>
      <c r="F22" s="135">
        <f t="shared" si="1"/>
        <v>14.509733237202596</v>
      </c>
      <c r="G22" s="133">
        <f t="shared" si="7"/>
        <v>0</v>
      </c>
      <c r="H22" s="133">
        <f t="shared" si="7"/>
        <v>0</v>
      </c>
      <c r="I22" s="135">
        <f t="shared" si="4"/>
        <v>14.509733237202596</v>
      </c>
      <c r="J22" s="135">
        <f t="shared" si="2"/>
        <v>48.3</v>
      </c>
      <c r="K22" s="133">
        <f t="shared" si="8"/>
        <v>0.79</v>
      </c>
      <c r="L22" s="124"/>
      <c r="N22" s="136"/>
      <c r="O22" s="138"/>
      <c r="P22" s="170">
        <f t="shared" si="9"/>
        <v>0</v>
      </c>
    </row>
    <row r="23" spans="2:16">
      <c r="B23" s="141">
        <f t="shared" si="0"/>
        <v>2029</v>
      </c>
      <c r="C23" s="142"/>
      <c r="D23" s="133"/>
      <c r="E23" s="133">
        <f t="shared" si="7"/>
        <v>49.31</v>
      </c>
      <c r="F23" s="135">
        <f t="shared" si="1"/>
        <v>14.813145878394618</v>
      </c>
      <c r="G23" s="133">
        <f t="shared" si="7"/>
        <v>0</v>
      </c>
      <c r="H23" s="133">
        <f t="shared" si="7"/>
        <v>0</v>
      </c>
      <c r="I23" s="135">
        <f t="shared" si="4"/>
        <v>14.813145878394618</v>
      </c>
      <c r="J23" s="135">
        <f t="shared" si="2"/>
        <v>49.31</v>
      </c>
      <c r="K23" s="133">
        <f t="shared" si="8"/>
        <v>0.81</v>
      </c>
      <c r="L23" s="124"/>
      <c r="N23" s="136"/>
      <c r="O23" s="138"/>
      <c r="P23" s="170">
        <f t="shared" si="9"/>
        <v>0</v>
      </c>
    </row>
    <row r="24" spans="2:16">
      <c r="B24" s="141">
        <f t="shared" si="0"/>
        <v>2030</v>
      </c>
      <c r="C24" s="142"/>
      <c r="D24" s="133"/>
      <c r="E24" s="133">
        <f t="shared" si="7"/>
        <v>50.3</v>
      </c>
      <c r="F24" s="135">
        <f t="shared" si="1"/>
        <v>15.110550348473925</v>
      </c>
      <c r="G24" s="133">
        <f t="shared" si="7"/>
        <v>0</v>
      </c>
      <c r="H24" s="133">
        <f t="shared" si="7"/>
        <v>0</v>
      </c>
      <c r="I24" s="135">
        <f t="shared" si="4"/>
        <v>15.110550348473925</v>
      </c>
      <c r="J24" s="135">
        <f t="shared" si="2"/>
        <v>50.3</v>
      </c>
      <c r="K24" s="133">
        <f t="shared" si="8"/>
        <v>0.83</v>
      </c>
      <c r="L24" s="124"/>
      <c r="N24" s="136"/>
      <c r="O24" s="138"/>
      <c r="P24" s="170">
        <f t="shared" si="9"/>
        <v>0</v>
      </c>
    </row>
    <row r="25" spans="2:16">
      <c r="B25" s="141">
        <f t="shared" si="0"/>
        <v>2031</v>
      </c>
      <c r="C25" s="142"/>
      <c r="D25" s="133"/>
      <c r="E25" s="133">
        <f t="shared" si="7"/>
        <v>51.31</v>
      </c>
      <c r="F25" s="135">
        <f t="shared" si="1"/>
        <v>15.413962989665947</v>
      </c>
      <c r="G25" s="133">
        <f t="shared" si="7"/>
        <v>0</v>
      </c>
      <c r="H25" s="133">
        <f t="shared" si="7"/>
        <v>0</v>
      </c>
      <c r="I25" s="135">
        <f t="shared" si="4"/>
        <v>15.413962989665947</v>
      </c>
      <c r="J25" s="135">
        <f t="shared" si="2"/>
        <v>51.31</v>
      </c>
      <c r="K25" s="133">
        <f t="shared" si="8"/>
        <v>0.85</v>
      </c>
      <c r="L25" s="124"/>
      <c r="N25" s="136"/>
      <c r="O25" s="138"/>
      <c r="P25" s="170">
        <f t="shared" si="9"/>
        <v>0</v>
      </c>
    </row>
    <row r="26" spans="2:16">
      <c r="B26" s="141">
        <f t="shared" si="0"/>
        <v>2032</v>
      </c>
      <c r="C26" s="142"/>
      <c r="D26" s="133"/>
      <c r="E26" s="133">
        <f t="shared" si="7"/>
        <v>52.34</v>
      </c>
      <c r="F26" s="135">
        <f t="shared" si="1"/>
        <v>15.723383801970682</v>
      </c>
      <c r="G26" s="133">
        <f t="shared" si="7"/>
        <v>0</v>
      </c>
      <c r="H26" s="133">
        <f t="shared" si="7"/>
        <v>0</v>
      </c>
      <c r="I26" s="135">
        <f t="shared" si="4"/>
        <v>15.723383801970682</v>
      </c>
      <c r="J26" s="135">
        <f t="shared" si="2"/>
        <v>52.34</v>
      </c>
      <c r="K26" s="133">
        <f t="shared" si="8"/>
        <v>0.87</v>
      </c>
      <c r="L26" s="124"/>
      <c r="N26" s="136"/>
      <c r="O26" s="138"/>
      <c r="P26" s="170">
        <f t="shared" si="9"/>
        <v>0</v>
      </c>
    </row>
    <row r="27" spans="2:16">
      <c r="B27" s="141">
        <f t="shared" si="0"/>
        <v>2033</v>
      </c>
      <c r="C27" s="132"/>
      <c r="D27" s="133"/>
      <c r="E27" s="133">
        <f t="shared" si="7"/>
        <v>53.39</v>
      </c>
      <c r="F27" s="135">
        <f t="shared" si="1"/>
        <v>16.038812785388128</v>
      </c>
      <c r="G27" s="133">
        <f t="shared" si="7"/>
        <v>0</v>
      </c>
      <c r="H27" s="133">
        <f t="shared" si="7"/>
        <v>0</v>
      </c>
      <c r="I27" s="135">
        <f t="shared" si="4"/>
        <v>16.038812785388128</v>
      </c>
      <c r="J27" s="135">
        <f t="shared" si="2"/>
        <v>53.39</v>
      </c>
      <c r="K27" s="133">
        <f t="shared" si="8"/>
        <v>0.89</v>
      </c>
      <c r="L27" s="124"/>
      <c r="P27" s="170">
        <f t="shared" si="9"/>
        <v>0</v>
      </c>
    </row>
    <row r="28" spans="2:16">
      <c r="B28" s="141">
        <f t="shared" si="0"/>
        <v>2034</v>
      </c>
      <c r="C28" s="142"/>
      <c r="D28" s="133"/>
      <c r="E28" s="133">
        <f t="shared" si="7"/>
        <v>54.46</v>
      </c>
      <c r="F28" s="135">
        <f t="shared" si="1"/>
        <v>16.36024993991829</v>
      </c>
      <c r="G28" s="133">
        <f t="shared" si="7"/>
        <v>0</v>
      </c>
      <c r="H28" s="133">
        <f t="shared" si="7"/>
        <v>0</v>
      </c>
      <c r="I28" s="135">
        <f t="shared" si="4"/>
        <v>16.36024993991829</v>
      </c>
      <c r="J28" s="135">
        <f t="shared" si="2"/>
        <v>54.46</v>
      </c>
      <c r="K28" s="133">
        <f t="shared" si="8"/>
        <v>0.91</v>
      </c>
      <c r="L28" s="124"/>
      <c r="P28" s="170">
        <f t="shared" si="9"/>
        <v>0</v>
      </c>
    </row>
    <row r="29" spans="2:16">
      <c r="B29" s="141">
        <f t="shared" si="0"/>
        <v>2035</v>
      </c>
      <c r="C29" s="132">
        <f>$C$55</f>
        <v>1417.4139219193135</v>
      </c>
      <c r="D29" s="133">
        <f>C29*$C$62</f>
        <v>100.72130980638511</v>
      </c>
      <c r="E29" s="133">
        <f t="shared" ref="D29:E36" si="10">ROUND(E28*(1+$K66),2)</f>
        <v>55.55</v>
      </c>
      <c r="F29" s="135">
        <f t="shared" si="1"/>
        <v>46.945238466229604</v>
      </c>
      <c r="G29" s="133">
        <f t="shared" ref="G29:H36" si="11">ROUND(G28*(1+$K66),2)</f>
        <v>0</v>
      </c>
      <c r="H29" s="133">
        <f t="shared" si="11"/>
        <v>0</v>
      </c>
      <c r="I29" s="135">
        <f t="shared" si="4"/>
        <v>46.945238466229604</v>
      </c>
      <c r="J29" s="135">
        <f t="shared" si="2"/>
        <v>156.27000000000001</v>
      </c>
      <c r="K29" s="133">
        <f>ROUND(K28*(1+$K66),2)</f>
        <v>0.93</v>
      </c>
      <c r="L29" s="124"/>
      <c r="P29" s="170">
        <f>ROUND(P28*(1+$K66),2)</f>
        <v>0</v>
      </c>
    </row>
    <row r="30" spans="2:16">
      <c r="B30" s="141">
        <f t="shared" si="0"/>
        <v>2036</v>
      </c>
      <c r="C30" s="142"/>
      <c r="D30" s="133">
        <f t="shared" si="10"/>
        <v>102.74</v>
      </c>
      <c r="E30" s="133">
        <f t="shared" si="10"/>
        <v>56.66</v>
      </c>
      <c r="F30" s="135">
        <f t="shared" si="1"/>
        <v>47.885123768324917</v>
      </c>
      <c r="G30" s="133">
        <f t="shared" si="11"/>
        <v>0</v>
      </c>
      <c r="H30" s="133">
        <f t="shared" si="11"/>
        <v>0</v>
      </c>
      <c r="I30" s="135">
        <f t="shared" si="4"/>
        <v>47.885123768324917</v>
      </c>
      <c r="J30" s="135">
        <f t="shared" si="2"/>
        <v>159.4</v>
      </c>
      <c r="K30" s="133">
        <f t="shared" ref="K30:K36" si="12">ROUND(K29*(1+$K67),2)</f>
        <v>0.95</v>
      </c>
      <c r="L30" s="124"/>
      <c r="P30" s="170">
        <f t="shared" ref="P30:P36" si="13">ROUND(P29*(1+$K67),2)</f>
        <v>0</v>
      </c>
    </row>
    <row r="31" spans="2:16">
      <c r="B31" s="141">
        <f t="shared" si="0"/>
        <v>2037</v>
      </c>
      <c r="C31" s="142"/>
      <c r="D31" s="133">
        <f t="shared" si="10"/>
        <v>104.9</v>
      </c>
      <c r="E31" s="133">
        <f t="shared" si="10"/>
        <v>57.85</v>
      </c>
      <c r="F31" s="135">
        <f t="shared" si="1"/>
        <v>48.8914924297044</v>
      </c>
      <c r="G31" s="133">
        <f t="shared" si="11"/>
        <v>0</v>
      </c>
      <c r="H31" s="133">
        <f t="shared" si="11"/>
        <v>0</v>
      </c>
      <c r="I31" s="135">
        <f t="shared" si="4"/>
        <v>48.8914924297044</v>
      </c>
      <c r="J31" s="135">
        <f t="shared" si="2"/>
        <v>162.75</v>
      </c>
      <c r="K31" s="133">
        <f t="shared" si="12"/>
        <v>0.97</v>
      </c>
      <c r="L31" s="124"/>
      <c r="P31" s="170">
        <f t="shared" si="13"/>
        <v>0</v>
      </c>
    </row>
    <row r="32" spans="2:16">
      <c r="B32" s="141">
        <f t="shared" si="0"/>
        <v>2038</v>
      </c>
      <c r="C32" s="142"/>
      <c r="D32" s="133">
        <f t="shared" si="10"/>
        <v>107.1</v>
      </c>
      <c r="E32" s="133">
        <f t="shared" si="10"/>
        <v>59.06</v>
      </c>
      <c r="F32" s="135">
        <f t="shared" si="1"/>
        <v>49.915885604422016</v>
      </c>
      <c r="G32" s="133">
        <f t="shared" si="11"/>
        <v>0</v>
      </c>
      <c r="H32" s="133">
        <f t="shared" si="11"/>
        <v>0</v>
      </c>
      <c r="I32" s="135">
        <f t="shared" si="4"/>
        <v>49.915885604422016</v>
      </c>
      <c r="J32" s="135">
        <f t="shared" si="2"/>
        <v>166.16</v>
      </c>
      <c r="K32" s="133">
        <f t="shared" si="12"/>
        <v>0.99</v>
      </c>
      <c r="L32" s="124"/>
      <c r="P32" s="170">
        <f t="shared" si="13"/>
        <v>0</v>
      </c>
    </row>
    <row r="33" spans="2:16">
      <c r="B33" s="141">
        <f t="shared" si="0"/>
        <v>2039</v>
      </c>
      <c r="C33" s="142"/>
      <c r="D33" s="133">
        <f t="shared" si="10"/>
        <v>109.35</v>
      </c>
      <c r="E33" s="133">
        <f t="shared" si="10"/>
        <v>60.3</v>
      </c>
      <c r="F33" s="135">
        <f t="shared" si="1"/>
        <v>50.964311463590477</v>
      </c>
      <c r="G33" s="133">
        <f t="shared" si="11"/>
        <v>0</v>
      </c>
      <c r="H33" s="133">
        <f t="shared" si="11"/>
        <v>0</v>
      </c>
      <c r="I33" s="135">
        <f t="shared" si="4"/>
        <v>50.964311463590477</v>
      </c>
      <c r="J33" s="135">
        <f t="shared" si="2"/>
        <v>169.65</v>
      </c>
      <c r="K33" s="133">
        <f t="shared" si="12"/>
        <v>1.01</v>
      </c>
      <c r="L33" s="124"/>
      <c r="P33" s="170">
        <f t="shared" si="13"/>
        <v>0</v>
      </c>
    </row>
    <row r="34" spans="2:16">
      <c r="B34" s="141">
        <f t="shared" si="0"/>
        <v>2040</v>
      </c>
      <c r="C34" s="142"/>
      <c r="D34" s="133">
        <f t="shared" si="10"/>
        <v>111.65</v>
      </c>
      <c r="E34" s="133">
        <f t="shared" si="10"/>
        <v>61.57</v>
      </c>
      <c r="F34" s="135">
        <f t="shared" si="1"/>
        <v>52.03677000720981</v>
      </c>
      <c r="G34" s="133">
        <f t="shared" si="11"/>
        <v>0</v>
      </c>
      <c r="H34" s="133">
        <f t="shared" si="11"/>
        <v>0</v>
      </c>
      <c r="I34" s="135">
        <f t="shared" si="4"/>
        <v>52.03677000720981</v>
      </c>
      <c r="J34" s="135">
        <f t="shared" si="2"/>
        <v>173.22</v>
      </c>
      <c r="K34" s="133">
        <f t="shared" si="12"/>
        <v>1.03</v>
      </c>
      <c r="L34" s="124"/>
      <c r="P34" s="170">
        <f t="shared" si="13"/>
        <v>0</v>
      </c>
    </row>
    <row r="35" spans="2:16">
      <c r="B35" s="141">
        <f t="shared" si="0"/>
        <v>2041</v>
      </c>
      <c r="C35" s="142"/>
      <c r="D35" s="133">
        <f t="shared" si="10"/>
        <v>114.11</v>
      </c>
      <c r="E35" s="133">
        <f t="shared" si="10"/>
        <v>62.92</v>
      </c>
      <c r="F35" s="135">
        <f t="shared" si="1"/>
        <v>53.181326604181692</v>
      </c>
      <c r="G35" s="133">
        <f t="shared" si="11"/>
        <v>0</v>
      </c>
      <c r="H35" s="133">
        <f t="shared" si="11"/>
        <v>0</v>
      </c>
      <c r="I35" s="135">
        <f t="shared" si="4"/>
        <v>53.181326604181692</v>
      </c>
      <c r="J35" s="135">
        <f t="shared" si="2"/>
        <v>177.03</v>
      </c>
      <c r="K35" s="133">
        <f t="shared" si="12"/>
        <v>1.05</v>
      </c>
      <c r="L35" s="124"/>
      <c r="P35" s="170">
        <f t="shared" si="13"/>
        <v>0</v>
      </c>
    </row>
    <row r="36" spans="2:16">
      <c r="B36" s="141">
        <f t="shared" si="0"/>
        <v>2042</v>
      </c>
      <c r="C36" s="142"/>
      <c r="D36" s="133">
        <f t="shared" si="10"/>
        <v>116.62</v>
      </c>
      <c r="E36" s="133">
        <f t="shared" si="10"/>
        <v>64.3</v>
      </c>
      <c r="F36" s="135">
        <f t="shared" si="1"/>
        <v>54.349915885604432</v>
      </c>
      <c r="G36" s="133">
        <f t="shared" si="11"/>
        <v>0</v>
      </c>
      <c r="H36" s="133">
        <f t="shared" si="11"/>
        <v>0</v>
      </c>
      <c r="I36" s="135">
        <f t="shared" si="4"/>
        <v>54.349915885604432</v>
      </c>
      <c r="J36" s="135">
        <f t="shared" si="2"/>
        <v>180.92</v>
      </c>
      <c r="K36" s="133">
        <f t="shared" si="12"/>
        <v>1.07</v>
      </c>
      <c r="L36" s="124"/>
      <c r="P36" s="170">
        <f t="shared" si="13"/>
        <v>0</v>
      </c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">
        <v>118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0.0710599128799291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38.0%)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Walla Walla Wind Resource - 38%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76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127</v>
      </c>
      <c r="C55" s="186">
        <v>1417.4139219193135</v>
      </c>
      <c r="D55" s="122" t="s">
        <v>75</v>
      </c>
      <c r="H55" s="122" t="s">
        <v>9</v>
      </c>
    </row>
    <row r="56" spans="2:24">
      <c r="B56" s="86" t="s">
        <v>112</v>
      </c>
      <c r="C56" s="155">
        <v>37.570551305416139</v>
      </c>
      <c r="D56" s="122" t="s">
        <v>78</v>
      </c>
      <c r="H56" s="122" t="s">
        <v>9</v>
      </c>
    </row>
    <row r="57" spans="2:24">
      <c r="B57" s="86" t="s">
        <v>112</v>
      </c>
      <c r="C57" s="160">
        <v>0.58600709999999989</v>
      </c>
      <c r="D57" s="122" t="s">
        <v>83</v>
      </c>
      <c r="H57" s="122" t="s">
        <v>80</v>
      </c>
    </row>
    <row r="58" spans="2:24">
      <c r="B58" s="86" t="s">
        <v>112</v>
      </c>
      <c r="C58" s="155">
        <v>0</v>
      </c>
      <c r="D58" s="122" t="s">
        <v>79</v>
      </c>
      <c r="H58" s="122" t="s">
        <v>80</v>
      </c>
      <c r="K58" s="124"/>
      <c r="L58" s="156"/>
      <c r="M58" s="52"/>
      <c r="N58" s="157"/>
      <c r="O58" s="52"/>
      <c r="P58" s="157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158"/>
      <c r="L59" s="158"/>
      <c r="M59" s="159"/>
      <c r="N59" s="160"/>
      <c r="O59" s="157"/>
      <c r="P59" s="161"/>
      <c r="Q59" s="124"/>
      <c r="R59" s="124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124"/>
      <c r="O60" s="157"/>
      <c r="P60" s="161"/>
      <c r="Q60" s="124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24"/>
      <c r="O61" s="158"/>
      <c r="P61" s="161"/>
      <c r="S61" s="124"/>
      <c r="T61" s="124"/>
      <c r="U61" s="124"/>
      <c r="V61" s="124"/>
      <c r="W61" s="124"/>
      <c r="X61" s="124"/>
    </row>
    <row r="62" spans="2:24">
      <c r="C62" s="163">
        <v>7.1059912879929146E-2</v>
      </c>
      <c r="D62" s="122" t="s">
        <v>38</v>
      </c>
      <c r="K62" s="164"/>
      <c r="L62" s="165"/>
      <c r="M62" s="165"/>
      <c r="O62" s="166"/>
    </row>
    <row r="63" spans="2:24">
      <c r="C63" s="167">
        <v>0.38</v>
      </c>
      <c r="D63" s="122" t="s">
        <v>39</v>
      </c>
    </row>
    <row r="64" spans="2:24" ht="13.5" thickBot="1">
      <c r="D64" s="161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4">C66+1</f>
        <v>2018</v>
      </c>
      <c r="D67" s="41">
        <v>2.3E-2</v>
      </c>
      <c r="E67" s="86"/>
      <c r="F67" s="88">
        <f t="shared" ref="F67:F74" si="15">F66+1</f>
        <v>2027</v>
      </c>
      <c r="G67" s="41">
        <v>2.1999999999999999E-2</v>
      </c>
      <c r="H67" s="86"/>
      <c r="I67" s="88">
        <f t="shared" ref="I67:I74" si="16">I66+1</f>
        <v>2036</v>
      </c>
      <c r="J67" s="88"/>
      <c r="K67" s="41">
        <v>0.02</v>
      </c>
    </row>
    <row r="68" spans="3:11">
      <c r="C68" s="88">
        <f t="shared" si="14"/>
        <v>2019</v>
      </c>
      <c r="D68" s="41">
        <v>2.1999999999999999E-2</v>
      </c>
      <c r="E68" s="86"/>
      <c r="F68" s="88">
        <f t="shared" si="15"/>
        <v>2028</v>
      </c>
      <c r="G68" s="41">
        <v>2.1999999999999999E-2</v>
      </c>
      <c r="H68" s="86"/>
      <c r="I68" s="88">
        <f t="shared" si="16"/>
        <v>2037</v>
      </c>
      <c r="J68" s="88"/>
      <c r="K68" s="41">
        <v>2.1000000000000001E-2</v>
      </c>
    </row>
    <row r="69" spans="3:11">
      <c r="C69" s="88">
        <f t="shared" si="14"/>
        <v>2020</v>
      </c>
      <c r="D69" s="41">
        <v>2.5000000000000001E-2</v>
      </c>
      <c r="E69" s="86"/>
      <c r="F69" s="88">
        <f t="shared" si="15"/>
        <v>2029</v>
      </c>
      <c r="G69" s="41">
        <v>2.1000000000000001E-2</v>
      </c>
      <c r="H69" s="86"/>
      <c r="I69" s="88">
        <f t="shared" si="16"/>
        <v>2038</v>
      </c>
      <c r="J69" s="88"/>
      <c r="K69" s="41">
        <v>2.1000000000000001E-2</v>
      </c>
    </row>
    <row r="70" spans="3:11">
      <c r="C70" s="88">
        <f t="shared" si="14"/>
        <v>2021</v>
      </c>
      <c r="D70" s="41">
        <v>2.4E-2</v>
      </c>
      <c r="E70" s="86"/>
      <c r="F70" s="88">
        <f t="shared" si="15"/>
        <v>2030</v>
      </c>
      <c r="G70" s="41">
        <v>0.02</v>
      </c>
      <c r="H70" s="86"/>
      <c r="I70" s="88">
        <f t="shared" si="16"/>
        <v>2039</v>
      </c>
      <c r="J70" s="88"/>
      <c r="K70" s="41">
        <v>2.1000000000000001E-2</v>
      </c>
    </row>
    <row r="71" spans="3:11">
      <c r="C71" s="88">
        <f t="shared" si="14"/>
        <v>2022</v>
      </c>
      <c r="D71" s="41">
        <v>2.4E-2</v>
      </c>
      <c r="E71" s="86"/>
      <c r="F71" s="88">
        <f t="shared" si="15"/>
        <v>2031</v>
      </c>
      <c r="G71" s="41">
        <v>0.02</v>
      </c>
      <c r="H71" s="86"/>
      <c r="I71" s="88">
        <f t="shared" si="16"/>
        <v>2040</v>
      </c>
      <c r="J71" s="88"/>
      <c r="K71" s="41">
        <v>2.1000000000000001E-2</v>
      </c>
    </row>
    <row r="72" spans="3:11" s="124" customFormat="1">
      <c r="C72" s="88">
        <f t="shared" si="14"/>
        <v>2023</v>
      </c>
      <c r="D72" s="41">
        <v>2.4E-2</v>
      </c>
      <c r="E72" s="87"/>
      <c r="F72" s="88">
        <f t="shared" si="15"/>
        <v>2032</v>
      </c>
      <c r="G72" s="41">
        <v>0.02</v>
      </c>
      <c r="H72" s="87"/>
      <c r="I72" s="88">
        <f t="shared" si="16"/>
        <v>2041</v>
      </c>
      <c r="J72" s="88"/>
      <c r="K72" s="41">
        <v>2.1999999999999999E-2</v>
      </c>
    </row>
    <row r="73" spans="3:11" s="124" customFormat="1">
      <c r="C73" s="88">
        <f t="shared" si="14"/>
        <v>2024</v>
      </c>
      <c r="D73" s="41">
        <v>2.3E-2</v>
      </c>
      <c r="E73" s="87"/>
      <c r="F73" s="88">
        <f t="shared" si="15"/>
        <v>2033</v>
      </c>
      <c r="G73" s="41">
        <v>0.02</v>
      </c>
      <c r="H73" s="87"/>
      <c r="I73" s="88">
        <f t="shared" si="16"/>
        <v>2042</v>
      </c>
      <c r="J73" s="88"/>
      <c r="K73" s="41">
        <v>2.1999999999999999E-2</v>
      </c>
    </row>
    <row r="74" spans="3:11" s="124" customFormat="1">
      <c r="C74" s="88">
        <f t="shared" si="14"/>
        <v>2025</v>
      </c>
      <c r="D74" s="41">
        <v>2.3E-2</v>
      </c>
      <c r="E74" s="87"/>
      <c r="F74" s="88">
        <f t="shared" si="15"/>
        <v>2034</v>
      </c>
      <c r="G74" s="41">
        <v>0.02</v>
      </c>
      <c r="H74" s="87"/>
      <c r="I74" s="88">
        <f t="shared" si="16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0" style="122" hidden="1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129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38%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7" t="s">
        <v>55</v>
      </c>
      <c r="J5" s="17" t="s">
        <v>55</v>
      </c>
      <c r="K5" s="126" t="s">
        <v>72</v>
      </c>
      <c r="P5" s="126" t="s">
        <v>71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Yakima Wind Resource - 38%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>
        <f>$C$59</f>
        <v>0</v>
      </c>
    </row>
    <row r="11" spans="2:18">
      <c r="B11" s="131">
        <f t="shared" ref="B11:B36" si="0">B10+1</f>
        <v>2017</v>
      </c>
      <c r="C11" s="137"/>
      <c r="D11" s="133"/>
      <c r="E11" s="133">
        <f>$C$56</f>
        <v>37.570551305416139</v>
      </c>
      <c r="F11" s="134">
        <f t="shared" ref="F11:F36" si="1">(D11+E11)/(8.76*$C$63)</f>
        <v>11.286515052095693</v>
      </c>
      <c r="G11" s="134">
        <f>$C$58</f>
        <v>0</v>
      </c>
      <c r="H11" s="177">
        <f>$C$59</f>
        <v>0</v>
      </c>
      <c r="I11" s="135">
        <f>F11+H11+G11</f>
        <v>11.286515052095693</v>
      </c>
      <c r="J11" s="135">
        <f t="shared" ref="J11:J36" si="2">ROUND(I11*$C$63*8.76,2)</f>
        <v>37.57</v>
      </c>
      <c r="K11" s="133">
        <f>$C$57</f>
        <v>0.58600709999999989</v>
      </c>
      <c r="N11" s="136"/>
      <c r="P11" s="170">
        <f>ROUND(P10*(1+$D66),2)</f>
        <v>0</v>
      </c>
    </row>
    <row r="12" spans="2:18">
      <c r="B12" s="141">
        <f t="shared" si="0"/>
        <v>2018</v>
      </c>
      <c r="C12" s="142"/>
      <c r="D12" s="133"/>
      <c r="E12" s="133">
        <f t="shared" ref="E12:H19" si="3">ROUND(E11*(1+$D67),2)</f>
        <v>38.43</v>
      </c>
      <c r="F12" s="135">
        <f t="shared" si="1"/>
        <v>11.544700793078588</v>
      </c>
      <c r="G12" s="133">
        <f t="shared" si="3"/>
        <v>0</v>
      </c>
      <c r="H12" s="133">
        <f t="shared" si="3"/>
        <v>0</v>
      </c>
      <c r="I12" s="135">
        <f t="shared" ref="I12:I36" si="4">F12+H12+G12</f>
        <v>11.544700793078588</v>
      </c>
      <c r="J12" s="135">
        <f t="shared" si="2"/>
        <v>38.43</v>
      </c>
      <c r="K12" s="133">
        <f t="shared" ref="K12:K19" si="5">ROUND(K11*(1+$D67),2)</f>
        <v>0.6</v>
      </c>
      <c r="L12" s="124"/>
      <c r="N12" s="136"/>
      <c r="P12" s="170">
        <f t="shared" ref="P12:P19" si="6">ROUND(P11*(1+$D67),2)</f>
        <v>0</v>
      </c>
    </row>
    <row r="13" spans="2:18">
      <c r="B13" s="141">
        <f t="shared" si="0"/>
        <v>2019</v>
      </c>
      <c r="C13" s="142"/>
      <c r="D13" s="133"/>
      <c r="E13" s="133">
        <f t="shared" si="3"/>
        <v>39.28</v>
      </c>
      <c r="F13" s="135">
        <f t="shared" si="1"/>
        <v>11.800048065368903</v>
      </c>
      <c r="G13" s="133">
        <f t="shared" si="3"/>
        <v>0</v>
      </c>
      <c r="H13" s="133">
        <f t="shared" si="3"/>
        <v>0</v>
      </c>
      <c r="I13" s="135">
        <f t="shared" si="4"/>
        <v>11.800048065368903</v>
      </c>
      <c r="J13" s="135">
        <f t="shared" si="2"/>
        <v>39.28</v>
      </c>
      <c r="K13" s="133">
        <f t="shared" si="5"/>
        <v>0.61</v>
      </c>
      <c r="L13" s="124"/>
      <c r="N13" s="136"/>
      <c r="P13" s="170">
        <f t="shared" si="6"/>
        <v>0</v>
      </c>
    </row>
    <row r="14" spans="2:18">
      <c r="B14" s="141">
        <f t="shared" si="0"/>
        <v>2020</v>
      </c>
      <c r="C14" s="142"/>
      <c r="D14" s="133"/>
      <c r="E14" s="133">
        <f t="shared" si="3"/>
        <v>40.26</v>
      </c>
      <c r="F14" s="135">
        <f t="shared" si="1"/>
        <v>12.094448449891853</v>
      </c>
      <c r="G14" s="133">
        <f t="shared" si="3"/>
        <v>0</v>
      </c>
      <c r="H14" s="133">
        <f t="shared" si="3"/>
        <v>0</v>
      </c>
      <c r="I14" s="135">
        <f t="shared" si="4"/>
        <v>12.094448449891853</v>
      </c>
      <c r="J14" s="135">
        <f t="shared" si="2"/>
        <v>40.26</v>
      </c>
      <c r="K14" s="133">
        <f t="shared" si="5"/>
        <v>0.63</v>
      </c>
      <c r="L14" s="124"/>
      <c r="N14" s="136"/>
      <c r="O14" s="138"/>
      <c r="P14" s="170">
        <f t="shared" si="6"/>
        <v>0</v>
      </c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3"/>
        <v>41.23</v>
      </c>
      <c r="F15" s="135">
        <f t="shared" si="1"/>
        <v>12.385844748858448</v>
      </c>
      <c r="G15" s="133">
        <f t="shared" si="3"/>
        <v>0</v>
      </c>
      <c r="H15" s="133">
        <f t="shared" si="3"/>
        <v>0</v>
      </c>
      <c r="I15" s="135">
        <f t="shared" si="4"/>
        <v>12.385844748858448</v>
      </c>
      <c r="J15" s="135">
        <f t="shared" si="2"/>
        <v>41.23</v>
      </c>
      <c r="K15" s="133">
        <f t="shared" si="5"/>
        <v>0.65</v>
      </c>
      <c r="L15" s="124"/>
      <c r="N15" s="139"/>
      <c r="O15" s="139"/>
      <c r="P15" s="170">
        <f t="shared" si="6"/>
        <v>0</v>
      </c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3"/>
        <v>42.22</v>
      </c>
      <c r="F16" s="135">
        <f t="shared" si="1"/>
        <v>12.683249218937757</v>
      </c>
      <c r="G16" s="133">
        <f t="shared" si="3"/>
        <v>0</v>
      </c>
      <c r="H16" s="133">
        <f t="shared" si="3"/>
        <v>0</v>
      </c>
      <c r="I16" s="135">
        <f t="shared" si="4"/>
        <v>12.683249218937757</v>
      </c>
      <c r="J16" s="135">
        <f t="shared" si="2"/>
        <v>42.22</v>
      </c>
      <c r="K16" s="133">
        <f t="shared" si="5"/>
        <v>0.67</v>
      </c>
      <c r="L16" s="124"/>
      <c r="N16" s="136"/>
      <c r="P16" s="170">
        <f t="shared" si="6"/>
        <v>0</v>
      </c>
    </row>
    <row r="17" spans="2:16">
      <c r="B17" s="141">
        <f t="shared" si="0"/>
        <v>2023</v>
      </c>
      <c r="C17" s="142"/>
      <c r="D17" s="133"/>
      <c r="E17" s="133">
        <f t="shared" si="3"/>
        <v>43.23</v>
      </c>
      <c r="F17" s="135">
        <f t="shared" si="1"/>
        <v>12.986661860129777</v>
      </c>
      <c r="G17" s="133">
        <f t="shared" si="3"/>
        <v>0</v>
      </c>
      <c r="H17" s="133">
        <f t="shared" si="3"/>
        <v>0</v>
      </c>
      <c r="I17" s="135">
        <f t="shared" si="4"/>
        <v>12.986661860129777</v>
      </c>
      <c r="J17" s="135">
        <f t="shared" si="2"/>
        <v>43.23</v>
      </c>
      <c r="K17" s="133">
        <f t="shared" si="5"/>
        <v>0.69</v>
      </c>
      <c r="L17" s="124"/>
      <c r="N17" s="136"/>
      <c r="O17" s="138"/>
      <c r="P17" s="170">
        <f t="shared" si="6"/>
        <v>0</v>
      </c>
    </row>
    <row r="18" spans="2:16">
      <c r="B18" s="141">
        <f t="shared" si="0"/>
        <v>2024</v>
      </c>
      <c r="C18" s="142"/>
      <c r="D18" s="133"/>
      <c r="E18" s="133">
        <f t="shared" si="3"/>
        <v>44.22</v>
      </c>
      <c r="F18" s="135">
        <f t="shared" si="1"/>
        <v>13.284066330209084</v>
      </c>
      <c r="G18" s="133">
        <f t="shared" si="3"/>
        <v>0</v>
      </c>
      <c r="H18" s="133">
        <f t="shared" si="3"/>
        <v>0</v>
      </c>
      <c r="I18" s="135">
        <f t="shared" si="4"/>
        <v>13.284066330209084</v>
      </c>
      <c r="J18" s="135">
        <f t="shared" si="2"/>
        <v>44.22</v>
      </c>
      <c r="K18" s="133">
        <f t="shared" si="5"/>
        <v>0.71</v>
      </c>
      <c r="L18" s="124"/>
      <c r="N18" s="136"/>
      <c r="O18" s="138"/>
      <c r="P18" s="170">
        <f t="shared" si="6"/>
        <v>0</v>
      </c>
    </row>
    <row r="19" spans="2:16">
      <c r="B19" s="141">
        <f t="shared" si="0"/>
        <v>2025</v>
      </c>
      <c r="C19" s="142"/>
      <c r="D19" s="133"/>
      <c r="E19" s="133">
        <f t="shared" si="3"/>
        <v>45.24</v>
      </c>
      <c r="F19" s="135">
        <f t="shared" si="1"/>
        <v>13.590483056957464</v>
      </c>
      <c r="G19" s="133">
        <f t="shared" si="3"/>
        <v>0</v>
      </c>
      <c r="H19" s="133">
        <f t="shared" si="3"/>
        <v>0</v>
      </c>
      <c r="I19" s="135">
        <f t="shared" si="4"/>
        <v>13.590483056957464</v>
      </c>
      <c r="J19" s="135">
        <f t="shared" si="2"/>
        <v>45.24</v>
      </c>
      <c r="K19" s="133">
        <f t="shared" si="5"/>
        <v>0.73</v>
      </c>
      <c r="L19" s="124"/>
      <c r="N19" s="136"/>
      <c r="O19" s="138"/>
      <c r="P19" s="170">
        <f t="shared" si="6"/>
        <v>0</v>
      </c>
    </row>
    <row r="20" spans="2:16">
      <c r="B20" s="141">
        <f t="shared" si="0"/>
        <v>2026</v>
      </c>
      <c r="C20" s="142"/>
      <c r="D20" s="133"/>
      <c r="E20" s="133">
        <f>ROUND(E19*(1+$G66),2)</f>
        <v>46.24</v>
      </c>
      <c r="F20" s="135">
        <f t="shared" si="1"/>
        <v>13.890891612593128</v>
      </c>
      <c r="G20" s="133">
        <f>ROUND(G19*(1+$G66),2)</f>
        <v>0</v>
      </c>
      <c r="H20" s="133">
        <f>ROUND(H19*(1+$G66),2)</f>
        <v>0</v>
      </c>
      <c r="I20" s="135">
        <f t="shared" si="4"/>
        <v>13.890891612593128</v>
      </c>
      <c r="J20" s="135">
        <f t="shared" si="2"/>
        <v>46.24</v>
      </c>
      <c r="K20" s="133">
        <f>ROUND(K19*(1+$G66),2)</f>
        <v>0.75</v>
      </c>
      <c r="L20" s="124"/>
      <c r="N20" s="136"/>
      <c r="O20" s="138"/>
      <c r="P20" s="170">
        <f>ROUND(P19*(1+$G66),2)</f>
        <v>0</v>
      </c>
    </row>
    <row r="21" spans="2:16">
      <c r="B21" s="141">
        <f t="shared" si="0"/>
        <v>2027</v>
      </c>
      <c r="C21" s="142"/>
      <c r="D21" s="133"/>
      <c r="E21" s="133">
        <f t="shared" ref="E21:H28" si="7">ROUND(E20*(1+$G67),2)</f>
        <v>47.26</v>
      </c>
      <c r="F21" s="135">
        <f t="shared" si="1"/>
        <v>14.197308339341506</v>
      </c>
      <c r="G21" s="133">
        <f t="shared" si="7"/>
        <v>0</v>
      </c>
      <c r="H21" s="133">
        <f t="shared" si="7"/>
        <v>0</v>
      </c>
      <c r="I21" s="135">
        <f t="shared" si="4"/>
        <v>14.197308339341506</v>
      </c>
      <c r="J21" s="135">
        <f t="shared" si="2"/>
        <v>47.26</v>
      </c>
      <c r="K21" s="133">
        <f t="shared" ref="K21:K28" si="8">ROUND(K20*(1+$G67),2)</f>
        <v>0.77</v>
      </c>
      <c r="L21" s="124"/>
      <c r="N21" s="136"/>
      <c r="O21" s="138"/>
      <c r="P21" s="170">
        <f t="shared" ref="P21:P28" si="9">ROUND(P20*(1+$G67),2)</f>
        <v>0</v>
      </c>
    </row>
    <row r="22" spans="2:16">
      <c r="B22" s="141">
        <f t="shared" si="0"/>
        <v>2028</v>
      </c>
      <c r="C22" s="142"/>
      <c r="D22" s="133"/>
      <c r="E22" s="133">
        <f t="shared" si="7"/>
        <v>48.3</v>
      </c>
      <c r="F22" s="135">
        <f t="shared" si="1"/>
        <v>14.509733237202596</v>
      </c>
      <c r="G22" s="133">
        <f t="shared" si="7"/>
        <v>0</v>
      </c>
      <c r="H22" s="133">
        <f t="shared" si="7"/>
        <v>0</v>
      </c>
      <c r="I22" s="135">
        <f t="shared" si="4"/>
        <v>14.509733237202596</v>
      </c>
      <c r="J22" s="135">
        <f t="shared" si="2"/>
        <v>48.3</v>
      </c>
      <c r="K22" s="133">
        <f t="shared" si="8"/>
        <v>0.79</v>
      </c>
      <c r="L22" s="124"/>
      <c r="N22" s="136"/>
      <c r="O22" s="138"/>
      <c r="P22" s="170">
        <f t="shared" si="9"/>
        <v>0</v>
      </c>
    </row>
    <row r="23" spans="2:16">
      <c r="B23" s="141">
        <f t="shared" si="0"/>
        <v>2029</v>
      </c>
      <c r="C23" s="142"/>
      <c r="D23" s="133"/>
      <c r="E23" s="133">
        <f t="shared" si="7"/>
        <v>49.31</v>
      </c>
      <c r="F23" s="135">
        <f t="shared" si="1"/>
        <v>14.813145878394618</v>
      </c>
      <c r="G23" s="133">
        <f t="shared" si="7"/>
        <v>0</v>
      </c>
      <c r="H23" s="133">
        <f t="shared" si="7"/>
        <v>0</v>
      </c>
      <c r="I23" s="135">
        <f t="shared" si="4"/>
        <v>14.813145878394618</v>
      </c>
      <c r="J23" s="135">
        <f t="shared" si="2"/>
        <v>49.31</v>
      </c>
      <c r="K23" s="133">
        <f t="shared" si="8"/>
        <v>0.81</v>
      </c>
      <c r="L23" s="124"/>
      <c r="N23" s="136"/>
      <c r="O23" s="138"/>
      <c r="P23" s="170">
        <f t="shared" si="9"/>
        <v>0</v>
      </c>
    </row>
    <row r="24" spans="2:16">
      <c r="B24" s="141">
        <f t="shared" si="0"/>
        <v>2030</v>
      </c>
      <c r="C24" s="142"/>
      <c r="D24" s="133"/>
      <c r="E24" s="133">
        <f t="shared" si="7"/>
        <v>50.3</v>
      </c>
      <c r="F24" s="135">
        <f t="shared" si="1"/>
        <v>15.110550348473925</v>
      </c>
      <c r="G24" s="133">
        <f t="shared" si="7"/>
        <v>0</v>
      </c>
      <c r="H24" s="133">
        <f t="shared" si="7"/>
        <v>0</v>
      </c>
      <c r="I24" s="135">
        <f t="shared" si="4"/>
        <v>15.110550348473925</v>
      </c>
      <c r="J24" s="135">
        <f t="shared" si="2"/>
        <v>50.3</v>
      </c>
      <c r="K24" s="133">
        <f t="shared" si="8"/>
        <v>0.83</v>
      </c>
      <c r="L24" s="124"/>
      <c r="N24" s="136"/>
      <c r="O24" s="138"/>
      <c r="P24" s="170">
        <f t="shared" si="9"/>
        <v>0</v>
      </c>
    </row>
    <row r="25" spans="2:16">
      <c r="B25" s="141">
        <f t="shared" si="0"/>
        <v>2031</v>
      </c>
      <c r="C25" s="142"/>
      <c r="D25" s="133"/>
      <c r="E25" s="133">
        <f t="shared" si="7"/>
        <v>51.31</v>
      </c>
      <c r="F25" s="135">
        <f t="shared" si="1"/>
        <v>15.413962989665947</v>
      </c>
      <c r="G25" s="133">
        <f t="shared" si="7"/>
        <v>0</v>
      </c>
      <c r="H25" s="133">
        <f t="shared" si="7"/>
        <v>0</v>
      </c>
      <c r="I25" s="135">
        <f t="shared" si="4"/>
        <v>15.413962989665947</v>
      </c>
      <c r="J25" s="135">
        <f t="shared" si="2"/>
        <v>51.31</v>
      </c>
      <c r="K25" s="133">
        <f t="shared" si="8"/>
        <v>0.85</v>
      </c>
      <c r="L25" s="124"/>
      <c r="N25" s="136"/>
      <c r="O25" s="138"/>
      <c r="P25" s="170">
        <f t="shared" si="9"/>
        <v>0</v>
      </c>
    </row>
    <row r="26" spans="2:16">
      <c r="B26" s="141">
        <f t="shared" si="0"/>
        <v>2032</v>
      </c>
      <c r="C26" s="142"/>
      <c r="D26" s="133"/>
      <c r="E26" s="133">
        <f t="shared" si="7"/>
        <v>52.34</v>
      </c>
      <c r="F26" s="135">
        <f t="shared" si="1"/>
        <v>15.723383801970682</v>
      </c>
      <c r="G26" s="133">
        <f t="shared" si="7"/>
        <v>0</v>
      </c>
      <c r="H26" s="133">
        <f t="shared" si="7"/>
        <v>0</v>
      </c>
      <c r="I26" s="135">
        <f t="shared" si="4"/>
        <v>15.723383801970682</v>
      </c>
      <c r="J26" s="135">
        <f t="shared" si="2"/>
        <v>52.34</v>
      </c>
      <c r="K26" s="133">
        <f t="shared" si="8"/>
        <v>0.87</v>
      </c>
      <c r="L26" s="124"/>
      <c r="N26" s="136"/>
      <c r="O26" s="138"/>
      <c r="P26" s="170">
        <f t="shared" si="9"/>
        <v>0</v>
      </c>
    </row>
    <row r="27" spans="2:16">
      <c r="B27" s="141">
        <f t="shared" si="0"/>
        <v>2033</v>
      </c>
      <c r="C27" s="132"/>
      <c r="D27" s="133"/>
      <c r="E27" s="133">
        <f t="shared" si="7"/>
        <v>53.39</v>
      </c>
      <c r="F27" s="135">
        <f t="shared" si="1"/>
        <v>16.038812785388128</v>
      </c>
      <c r="G27" s="133">
        <f t="shared" si="7"/>
        <v>0</v>
      </c>
      <c r="H27" s="133">
        <f t="shared" si="7"/>
        <v>0</v>
      </c>
      <c r="I27" s="135">
        <f t="shared" si="4"/>
        <v>16.038812785388128</v>
      </c>
      <c r="J27" s="135">
        <f t="shared" si="2"/>
        <v>53.39</v>
      </c>
      <c r="K27" s="133">
        <f t="shared" si="8"/>
        <v>0.89</v>
      </c>
      <c r="L27" s="124"/>
      <c r="P27" s="170">
        <f t="shared" si="9"/>
        <v>0</v>
      </c>
    </row>
    <row r="28" spans="2:16">
      <c r="B28" s="141">
        <f t="shared" si="0"/>
        <v>2034</v>
      </c>
      <c r="C28" s="142"/>
      <c r="D28" s="133"/>
      <c r="E28" s="133">
        <f t="shared" si="7"/>
        <v>54.46</v>
      </c>
      <c r="F28" s="135">
        <f t="shared" si="1"/>
        <v>16.36024993991829</v>
      </c>
      <c r="G28" s="133">
        <f t="shared" si="7"/>
        <v>0</v>
      </c>
      <c r="H28" s="133">
        <f t="shared" si="7"/>
        <v>0</v>
      </c>
      <c r="I28" s="135">
        <f t="shared" si="4"/>
        <v>16.36024993991829</v>
      </c>
      <c r="J28" s="135">
        <f t="shared" si="2"/>
        <v>54.46</v>
      </c>
      <c r="K28" s="133">
        <f t="shared" si="8"/>
        <v>0.91</v>
      </c>
      <c r="L28" s="124"/>
      <c r="P28" s="170">
        <f t="shared" si="9"/>
        <v>0</v>
      </c>
    </row>
    <row r="29" spans="2:16">
      <c r="B29" s="141">
        <f t="shared" si="0"/>
        <v>2035</v>
      </c>
      <c r="C29" s="132">
        <f>$C$55</f>
        <v>1417.4139219193135</v>
      </c>
      <c r="D29" s="133">
        <f>C29*$C$62</f>
        <v>100.72130980638511</v>
      </c>
      <c r="E29" s="133">
        <f t="shared" ref="D29:E36" si="10">ROUND(E28*(1+$K66),2)</f>
        <v>55.55</v>
      </c>
      <c r="F29" s="135">
        <f t="shared" si="1"/>
        <v>46.945238466229604</v>
      </c>
      <c r="G29" s="133">
        <f t="shared" ref="G29:H36" si="11">ROUND(G28*(1+$K66),2)</f>
        <v>0</v>
      </c>
      <c r="H29" s="133">
        <f t="shared" si="11"/>
        <v>0</v>
      </c>
      <c r="I29" s="135">
        <f t="shared" si="4"/>
        <v>46.945238466229604</v>
      </c>
      <c r="J29" s="135">
        <f t="shared" si="2"/>
        <v>156.27000000000001</v>
      </c>
      <c r="K29" s="133">
        <f>ROUND(K28*(1+$K66),2)</f>
        <v>0.93</v>
      </c>
      <c r="L29" s="124"/>
      <c r="P29" s="170">
        <f>ROUND(P28*(1+$K66),2)</f>
        <v>0</v>
      </c>
    </row>
    <row r="30" spans="2:16">
      <c r="B30" s="141">
        <f t="shared" si="0"/>
        <v>2036</v>
      </c>
      <c r="C30" s="142"/>
      <c r="D30" s="133">
        <f t="shared" si="10"/>
        <v>102.74</v>
      </c>
      <c r="E30" s="133">
        <f t="shared" si="10"/>
        <v>56.66</v>
      </c>
      <c r="F30" s="135">
        <f t="shared" si="1"/>
        <v>47.885123768324917</v>
      </c>
      <c r="G30" s="133">
        <f t="shared" si="11"/>
        <v>0</v>
      </c>
      <c r="H30" s="133">
        <f t="shared" si="11"/>
        <v>0</v>
      </c>
      <c r="I30" s="135">
        <f t="shared" si="4"/>
        <v>47.885123768324917</v>
      </c>
      <c r="J30" s="135">
        <f t="shared" si="2"/>
        <v>159.4</v>
      </c>
      <c r="K30" s="133">
        <f t="shared" ref="K30:K36" si="12">ROUND(K29*(1+$K67),2)</f>
        <v>0.95</v>
      </c>
      <c r="L30" s="124"/>
      <c r="P30" s="170">
        <f t="shared" ref="P30:P36" si="13">ROUND(P29*(1+$K67),2)</f>
        <v>0</v>
      </c>
    </row>
    <row r="31" spans="2:16">
      <c r="B31" s="141">
        <f t="shared" si="0"/>
        <v>2037</v>
      </c>
      <c r="C31" s="142"/>
      <c r="D31" s="133">
        <f t="shared" si="10"/>
        <v>104.9</v>
      </c>
      <c r="E31" s="133">
        <f t="shared" si="10"/>
        <v>57.85</v>
      </c>
      <c r="F31" s="135">
        <f t="shared" si="1"/>
        <v>48.8914924297044</v>
      </c>
      <c r="G31" s="133">
        <f t="shared" si="11"/>
        <v>0</v>
      </c>
      <c r="H31" s="133">
        <f t="shared" si="11"/>
        <v>0</v>
      </c>
      <c r="I31" s="135">
        <f t="shared" si="4"/>
        <v>48.8914924297044</v>
      </c>
      <c r="J31" s="135">
        <f t="shared" si="2"/>
        <v>162.75</v>
      </c>
      <c r="K31" s="133">
        <f t="shared" si="12"/>
        <v>0.97</v>
      </c>
      <c r="L31" s="124"/>
      <c r="P31" s="170">
        <f t="shared" si="13"/>
        <v>0</v>
      </c>
    </row>
    <row r="32" spans="2:16">
      <c r="B32" s="141">
        <f t="shared" si="0"/>
        <v>2038</v>
      </c>
      <c r="C32" s="142"/>
      <c r="D32" s="133">
        <f t="shared" si="10"/>
        <v>107.1</v>
      </c>
      <c r="E32" s="133">
        <f t="shared" si="10"/>
        <v>59.06</v>
      </c>
      <c r="F32" s="135">
        <f t="shared" si="1"/>
        <v>49.915885604422016</v>
      </c>
      <c r="G32" s="133">
        <f t="shared" si="11"/>
        <v>0</v>
      </c>
      <c r="H32" s="133">
        <f t="shared" si="11"/>
        <v>0</v>
      </c>
      <c r="I32" s="135">
        <f t="shared" si="4"/>
        <v>49.915885604422016</v>
      </c>
      <c r="J32" s="135">
        <f t="shared" si="2"/>
        <v>166.16</v>
      </c>
      <c r="K32" s="133">
        <f t="shared" si="12"/>
        <v>0.99</v>
      </c>
      <c r="L32" s="124"/>
      <c r="P32" s="170">
        <f t="shared" si="13"/>
        <v>0</v>
      </c>
    </row>
    <row r="33" spans="2:16">
      <c r="B33" s="141">
        <f t="shared" si="0"/>
        <v>2039</v>
      </c>
      <c r="C33" s="142"/>
      <c r="D33" s="133">
        <f t="shared" si="10"/>
        <v>109.35</v>
      </c>
      <c r="E33" s="133">
        <f t="shared" si="10"/>
        <v>60.3</v>
      </c>
      <c r="F33" s="135">
        <f t="shared" si="1"/>
        <v>50.964311463590477</v>
      </c>
      <c r="G33" s="133">
        <f t="shared" si="11"/>
        <v>0</v>
      </c>
      <c r="H33" s="133">
        <f t="shared" si="11"/>
        <v>0</v>
      </c>
      <c r="I33" s="135">
        <f t="shared" si="4"/>
        <v>50.964311463590477</v>
      </c>
      <c r="J33" s="135">
        <f t="shared" si="2"/>
        <v>169.65</v>
      </c>
      <c r="K33" s="133">
        <f t="shared" si="12"/>
        <v>1.01</v>
      </c>
      <c r="L33" s="124"/>
      <c r="P33" s="170">
        <f t="shared" si="13"/>
        <v>0</v>
      </c>
    </row>
    <row r="34" spans="2:16">
      <c r="B34" s="141">
        <f t="shared" si="0"/>
        <v>2040</v>
      </c>
      <c r="C34" s="142"/>
      <c r="D34" s="133">
        <f t="shared" si="10"/>
        <v>111.65</v>
      </c>
      <c r="E34" s="133">
        <f t="shared" si="10"/>
        <v>61.57</v>
      </c>
      <c r="F34" s="135">
        <f t="shared" si="1"/>
        <v>52.03677000720981</v>
      </c>
      <c r="G34" s="133">
        <f t="shared" si="11"/>
        <v>0</v>
      </c>
      <c r="H34" s="133">
        <f t="shared" si="11"/>
        <v>0</v>
      </c>
      <c r="I34" s="135">
        <f t="shared" si="4"/>
        <v>52.03677000720981</v>
      </c>
      <c r="J34" s="135">
        <f t="shared" si="2"/>
        <v>173.22</v>
      </c>
      <c r="K34" s="133">
        <f t="shared" si="12"/>
        <v>1.03</v>
      </c>
      <c r="L34" s="124"/>
      <c r="P34" s="170">
        <f t="shared" si="13"/>
        <v>0</v>
      </c>
    </row>
    <row r="35" spans="2:16">
      <c r="B35" s="141">
        <f t="shared" si="0"/>
        <v>2041</v>
      </c>
      <c r="C35" s="142"/>
      <c r="D35" s="133">
        <f t="shared" si="10"/>
        <v>114.11</v>
      </c>
      <c r="E35" s="133">
        <f t="shared" si="10"/>
        <v>62.92</v>
      </c>
      <c r="F35" s="135">
        <f t="shared" si="1"/>
        <v>53.181326604181692</v>
      </c>
      <c r="G35" s="133">
        <f t="shared" si="11"/>
        <v>0</v>
      </c>
      <c r="H35" s="133">
        <f t="shared" si="11"/>
        <v>0</v>
      </c>
      <c r="I35" s="135">
        <f t="shared" si="4"/>
        <v>53.181326604181692</v>
      </c>
      <c r="J35" s="135">
        <f t="shared" si="2"/>
        <v>177.03</v>
      </c>
      <c r="K35" s="133">
        <f t="shared" si="12"/>
        <v>1.05</v>
      </c>
      <c r="L35" s="124"/>
      <c r="P35" s="170">
        <f t="shared" si="13"/>
        <v>0</v>
      </c>
    </row>
    <row r="36" spans="2:16">
      <c r="B36" s="141">
        <f t="shared" si="0"/>
        <v>2042</v>
      </c>
      <c r="C36" s="142"/>
      <c r="D36" s="133">
        <f t="shared" si="10"/>
        <v>116.62</v>
      </c>
      <c r="E36" s="133">
        <f t="shared" si="10"/>
        <v>64.3</v>
      </c>
      <c r="F36" s="135">
        <f t="shared" si="1"/>
        <v>54.349915885604432</v>
      </c>
      <c r="G36" s="133">
        <f t="shared" si="11"/>
        <v>0</v>
      </c>
      <c r="H36" s="133">
        <f t="shared" si="11"/>
        <v>0</v>
      </c>
      <c r="I36" s="135">
        <f t="shared" si="4"/>
        <v>54.349915885604432</v>
      </c>
      <c r="J36" s="135">
        <f t="shared" si="2"/>
        <v>180.92</v>
      </c>
      <c r="K36" s="133">
        <f t="shared" si="12"/>
        <v>1.07</v>
      </c>
      <c r="L36" s="124"/>
      <c r="P36" s="170">
        <f t="shared" si="13"/>
        <v>0</v>
      </c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">
        <v>118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0.0710599128799291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38.0%)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Yakima Wind Resource - 38%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76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127</v>
      </c>
      <c r="C55" s="186">
        <v>1417.4139219193135</v>
      </c>
      <c r="D55" s="122" t="s">
        <v>75</v>
      </c>
      <c r="H55" s="122" t="s">
        <v>9</v>
      </c>
    </row>
    <row r="56" spans="2:24">
      <c r="B56" s="86" t="s">
        <v>112</v>
      </c>
      <c r="C56" s="155">
        <v>37.570551305416139</v>
      </c>
      <c r="D56" s="122" t="s">
        <v>78</v>
      </c>
      <c r="H56" s="122" t="s">
        <v>9</v>
      </c>
    </row>
    <row r="57" spans="2:24">
      <c r="B57" s="86" t="s">
        <v>112</v>
      </c>
      <c r="C57" s="160">
        <v>0.58600709999999989</v>
      </c>
      <c r="D57" s="122" t="s">
        <v>83</v>
      </c>
      <c r="H57" s="122" t="s">
        <v>80</v>
      </c>
    </row>
    <row r="58" spans="2:24">
      <c r="B58" s="86" t="s">
        <v>112</v>
      </c>
      <c r="C58" s="155">
        <v>0</v>
      </c>
      <c r="D58" s="122" t="s">
        <v>79</v>
      </c>
      <c r="H58" s="122" t="s">
        <v>80</v>
      </c>
      <c r="K58" s="124"/>
      <c r="L58" s="156"/>
      <c r="M58" s="52"/>
      <c r="N58" s="157"/>
      <c r="O58" s="52"/>
      <c r="P58" s="157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158"/>
      <c r="L59" s="158"/>
      <c r="M59" s="159"/>
      <c r="N59" s="160"/>
      <c r="O59" s="157"/>
      <c r="P59" s="161"/>
      <c r="Q59" s="124"/>
      <c r="R59" s="124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124"/>
      <c r="O60" s="157"/>
      <c r="P60" s="161"/>
      <c r="Q60" s="124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24"/>
      <c r="O61" s="158"/>
      <c r="P61" s="161"/>
      <c r="S61" s="124"/>
      <c r="T61" s="124"/>
      <c r="U61" s="124"/>
      <c r="V61" s="124"/>
      <c r="W61" s="124"/>
      <c r="X61" s="124"/>
    </row>
    <row r="62" spans="2:24">
      <c r="C62" s="163">
        <v>7.1059912879929146E-2</v>
      </c>
      <c r="D62" s="122" t="s">
        <v>38</v>
      </c>
      <c r="K62" s="164"/>
      <c r="L62" s="165"/>
      <c r="M62" s="165"/>
      <c r="O62" s="166"/>
    </row>
    <row r="63" spans="2:24">
      <c r="C63" s="167">
        <v>0.38</v>
      </c>
      <c r="D63" s="122" t="s">
        <v>39</v>
      </c>
    </row>
    <row r="64" spans="2:24" ht="13.5" thickBot="1">
      <c r="D64" s="161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4">C66+1</f>
        <v>2018</v>
      </c>
      <c r="D67" s="41">
        <v>2.3E-2</v>
      </c>
      <c r="E67" s="86"/>
      <c r="F67" s="88">
        <f t="shared" ref="F67:F74" si="15">F66+1</f>
        <v>2027</v>
      </c>
      <c r="G67" s="41">
        <v>2.1999999999999999E-2</v>
      </c>
      <c r="H67" s="86"/>
      <c r="I67" s="88">
        <f t="shared" ref="I67:I74" si="16">I66+1</f>
        <v>2036</v>
      </c>
      <c r="J67" s="88"/>
      <c r="K67" s="41">
        <v>0.02</v>
      </c>
    </row>
    <row r="68" spans="3:11">
      <c r="C68" s="88">
        <f t="shared" si="14"/>
        <v>2019</v>
      </c>
      <c r="D68" s="41">
        <v>2.1999999999999999E-2</v>
      </c>
      <c r="E68" s="86"/>
      <c r="F68" s="88">
        <f t="shared" si="15"/>
        <v>2028</v>
      </c>
      <c r="G68" s="41">
        <v>2.1999999999999999E-2</v>
      </c>
      <c r="H68" s="86"/>
      <c r="I68" s="88">
        <f t="shared" si="16"/>
        <v>2037</v>
      </c>
      <c r="J68" s="88"/>
      <c r="K68" s="41">
        <v>2.1000000000000001E-2</v>
      </c>
    </row>
    <row r="69" spans="3:11">
      <c r="C69" s="88">
        <f t="shared" si="14"/>
        <v>2020</v>
      </c>
      <c r="D69" s="41">
        <v>2.5000000000000001E-2</v>
      </c>
      <c r="E69" s="86"/>
      <c r="F69" s="88">
        <f t="shared" si="15"/>
        <v>2029</v>
      </c>
      <c r="G69" s="41">
        <v>2.1000000000000001E-2</v>
      </c>
      <c r="H69" s="86"/>
      <c r="I69" s="88">
        <f t="shared" si="16"/>
        <v>2038</v>
      </c>
      <c r="J69" s="88"/>
      <c r="K69" s="41">
        <v>2.1000000000000001E-2</v>
      </c>
    </row>
    <row r="70" spans="3:11">
      <c r="C70" s="88">
        <f t="shared" si="14"/>
        <v>2021</v>
      </c>
      <c r="D70" s="41">
        <v>2.4E-2</v>
      </c>
      <c r="E70" s="86"/>
      <c r="F70" s="88">
        <f t="shared" si="15"/>
        <v>2030</v>
      </c>
      <c r="G70" s="41">
        <v>0.02</v>
      </c>
      <c r="H70" s="86"/>
      <c r="I70" s="88">
        <f t="shared" si="16"/>
        <v>2039</v>
      </c>
      <c r="J70" s="88"/>
      <c r="K70" s="41">
        <v>2.1000000000000001E-2</v>
      </c>
    </row>
    <row r="71" spans="3:11">
      <c r="C71" s="88">
        <f t="shared" si="14"/>
        <v>2022</v>
      </c>
      <c r="D71" s="41">
        <v>2.4E-2</v>
      </c>
      <c r="E71" s="86"/>
      <c r="F71" s="88">
        <f t="shared" si="15"/>
        <v>2031</v>
      </c>
      <c r="G71" s="41">
        <v>0.02</v>
      </c>
      <c r="H71" s="86"/>
      <c r="I71" s="88">
        <f t="shared" si="16"/>
        <v>2040</v>
      </c>
      <c r="J71" s="88"/>
      <c r="K71" s="41">
        <v>2.1000000000000001E-2</v>
      </c>
    </row>
    <row r="72" spans="3:11" s="124" customFormat="1">
      <c r="C72" s="88">
        <f t="shared" si="14"/>
        <v>2023</v>
      </c>
      <c r="D72" s="41">
        <v>2.4E-2</v>
      </c>
      <c r="E72" s="87"/>
      <c r="F72" s="88">
        <f t="shared" si="15"/>
        <v>2032</v>
      </c>
      <c r="G72" s="41">
        <v>0.02</v>
      </c>
      <c r="H72" s="87"/>
      <c r="I72" s="88">
        <f t="shared" si="16"/>
        <v>2041</v>
      </c>
      <c r="J72" s="88"/>
      <c r="K72" s="41">
        <v>2.1999999999999999E-2</v>
      </c>
    </row>
    <row r="73" spans="3:11" s="124" customFormat="1">
      <c r="C73" s="88">
        <f t="shared" si="14"/>
        <v>2024</v>
      </c>
      <c r="D73" s="41">
        <v>2.3E-2</v>
      </c>
      <c r="E73" s="87"/>
      <c r="F73" s="88">
        <f t="shared" si="15"/>
        <v>2033</v>
      </c>
      <c r="G73" s="41">
        <v>0.02</v>
      </c>
      <c r="H73" s="87"/>
      <c r="I73" s="88">
        <f t="shared" si="16"/>
        <v>2042</v>
      </c>
      <c r="J73" s="88"/>
      <c r="K73" s="41">
        <v>2.1999999999999999E-2</v>
      </c>
    </row>
    <row r="74" spans="3:11" s="124" customFormat="1">
      <c r="C74" s="88">
        <f t="shared" si="14"/>
        <v>2025</v>
      </c>
      <c r="D74" s="41">
        <v>2.3E-2</v>
      </c>
      <c r="E74" s="87"/>
      <c r="F74" s="88">
        <f t="shared" si="15"/>
        <v>2034</v>
      </c>
      <c r="G74" s="41">
        <v>0.02</v>
      </c>
      <c r="H74" s="87"/>
      <c r="I74" s="88">
        <f t="shared" si="16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0" style="122" hidden="1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130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38%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7" t="s">
        <v>55</v>
      </c>
      <c r="J5" s="17" t="s">
        <v>55</v>
      </c>
      <c r="K5" s="126" t="s">
        <v>72</v>
      </c>
      <c r="P5" s="126" t="s">
        <v>71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Oregon Wind Resource - 38%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>
        <f>$C$59</f>
        <v>0</v>
      </c>
    </row>
    <row r="11" spans="2:18">
      <c r="B11" s="131">
        <f t="shared" ref="B11:B36" si="0">B10+1</f>
        <v>2017</v>
      </c>
      <c r="C11" s="137"/>
      <c r="D11" s="133"/>
      <c r="E11" s="133">
        <f>$C$56</f>
        <v>37.570551305416139</v>
      </c>
      <c r="F11" s="134">
        <f t="shared" ref="F11:F36" si="1">(D11+E11)/(8.76*$C$63)</f>
        <v>11.286515052095693</v>
      </c>
      <c r="G11" s="134">
        <f>$C$58</f>
        <v>0</v>
      </c>
      <c r="H11" s="177">
        <f>$C$59</f>
        <v>0</v>
      </c>
      <c r="I11" s="135">
        <f>F11+H11+G11</f>
        <v>11.286515052095693</v>
      </c>
      <c r="J11" s="135">
        <f t="shared" ref="J11:J36" si="2">ROUND(I11*$C$63*8.76,2)</f>
        <v>37.57</v>
      </c>
      <c r="K11" s="133">
        <f>$C$57</f>
        <v>0.58600709999999989</v>
      </c>
      <c r="N11" s="136"/>
      <c r="P11" s="170">
        <f>ROUND(P10*(1+$D66),2)</f>
        <v>0</v>
      </c>
    </row>
    <row r="12" spans="2:18">
      <c r="B12" s="141">
        <f t="shared" si="0"/>
        <v>2018</v>
      </c>
      <c r="C12" s="142"/>
      <c r="D12" s="133"/>
      <c r="E12" s="133">
        <f t="shared" ref="E12:H19" si="3">ROUND(E11*(1+$D67),2)</f>
        <v>38.43</v>
      </c>
      <c r="F12" s="135">
        <f t="shared" si="1"/>
        <v>11.544700793078588</v>
      </c>
      <c r="G12" s="133">
        <f t="shared" si="3"/>
        <v>0</v>
      </c>
      <c r="H12" s="133">
        <f t="shared" si="3"/>
        <v>0</v>
      </c>
      <c r="I12" s="135">
        <f t="shared" ref="I12:I36" si="4">F12+H12+G12</f>
        <v>11.544700793078588</v>
      </c>
      <c r="J12" s="135">
        <f t="shared" si="2"/>
        <v>38.43</v>
      </c>
      <c r="K12" s="133">
        <f t="shared" ref="K12:K19" si="5">ROUND(K11*(1+$D67),2)</f>
        <v>0.6</v>
      </c>
      <c r="L12" s="124"/>
      <c r="N12" s="136"/>
      <c r="P12" s="170">
        <f t="shared" ref="P12:P19" si="6">ROUND(P11*(1+$D67),2)</f>
        <v>0</v>
      </c>
    </row>
    <row r="13" spans="2:18">
      <c r="B13" s="141">
        <f t="shared" si="0"/>
        <v>2019</v>
      </c>
      <c r="C13" s="142"/>
      <c r="D13" s="133"/>
      <c r="E13" s="133">
        <f t="shared" si="3"/>
        <v>39.28</v>
      </c>
      <c r="F13" s="135">
        <f t="shared" si="1"/>
        <v>11.800048065368903</v>
      </c>
      <c r="G13" s="133">
        <f t="shared" si="3"/>
        <v>0</v>
      </c>
      <c r="H13" s="133">
        <f t="shared" si="3"/>
        <v>0</v>
      </c>
      <c r="I13" s="135">
        <f t="shared" si="4"/>
        <v>11.800048065368903</v>
      </c>
      <c r="J13" s="135">
        <f t="shared" si="2"/>
        <v>39.28</v>
      </c>
      <c r="K13" s="133">
        <f t="shared" si="5"/>
        <v>0.61</v>
      </c>
      <c r="L13" s="124"/>
      <c r="N13" s="136"/>
      <c r="P13" s="170">
        <f t="shared" si="6"/>
        <v>0</v>
      </c>
    </row>
    <row r="14" spans="2:18">
      <c r="B14" s="141">
        <f t="shared" si="0"/>
        <v>2020</v>
      </c>
      <c r="C14" s="142"/>
      <c r="D14" s="133"/>
      <c r="E14" s="133">
        <f t="shared" si="3"/>
        <v>40.26</v>
      </c>
      <c r="F14" s="135">
        <f t="shared" si="1"/>
        <v>12.094448449891853</v>
      </c>
      <c r="G14" s="133">
        <f t="shared" si="3"/>
        <v>0</v>
      </c>
      <c r="H14" s="133">
        <f t="shared" si="3"/>
        <v>0</v>
      </c>
      <c r="I14" s="135">
        <f t="shared" si="4"/>
        <v>12.094448449891853</v>
      </c>
      <c r="J14" s="135">
        <f t="shared" si="2"/>
        <v>40.26</v>
      </c>
      <c r="K14" s="133">
        <f t="shared" si="5"/>
        <v>0.63</v>
      </c>
      <c r="L14" s="124"/>
      <c r="N14" s="136"/>
      <c r="O14" s="138"/>
      <c r="P14" s="170">
        <f t="shared" si="6"/>
        <v>0</v>
      </c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3"/>
        <v>41.23</v>
      </c>
      <c r="F15" s="135">
        <f t="shared" si="1"/>
        <v>12.385844748858448</v>
      </c>
      <c r="G15" s="133">
        <f t="shared" si="3"/>
        <v>0</v>
      </c>
      <c r="H15" s="133">
        <f t="shared" si="3"/>
        <v>0</v>
      </c>
      <c r="I15" s="135">
        <f t="shared" si="4"/>
        <v>12.385844748858448</v>
      </c>
      <c r="J15" s="135">
        <f t="shared" si="2"/>
        <v>41.23</v>
      </c>
      <c r="K15" s="133">
        <f t="shared" si="5"/>
        <v>0.65</v>
      </c>
      <c r="L15" s="124"/>
      <c r="N15" s="139"/>
      <c r="O15" s="139"/>
      <c r="P15" s="170">
        <f t="shared" si="6"/>
        <v>0</v>
      </c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3"/>
        <v>42.22</v>
      </c>
      <c r="F16" s="135">
        <f t="shared" si="1"/>
        <v>12.683249218937757</v>
      </c>
      <c r="G16" s="133">
        <f t="shared" si="3"/>
        <v>0</v>
      </c>
      <c r="H16" s="133">
        <f t="shared" si="3"/>
        <v>0</v>
      </c>
      <c r="I16" s="135">
        <f t="shared" si="4"/>
        <v>12.683249218937757</v>
      </c>
      <c r="J16" s="135">
        <f t="shared" si="2"/>
        <v>42.22</v>
      </c>
      <c r="K16" s="133">
        <f t="shared" si="5"/>
        <v>0.67</v>
      </c>
      <c r="L16" s="124"/>
      <c r="N16" s="136"/>
      <c r="P16" s="170">
        <f t="shared" si="6"/>
        <v>0</v>
      </c>
    </row>
    <row r="17" spans="2:16">
      <c r="B17" s="141">
        <f t="shared" si="0"/>
        <v>2023</v>
      </c>
      <c r="C17" s="142"/>
      <c r="D17" s="133"/>
      <c r="E17" s="133">
        <f t="shared" si="3"/>
        <v>43.23</v>
      </c>
      <c r="F17" s="135">
        <f t="shared" si="1"/>
        <v>12.986661860129777</v>
      </c>
      <c r="G17" s="133">
        <f t="shared" si="3"/>
        <v>0</v>
      </c>
      <c r="H17" s="133">
        <f t="shared" si="3"/>
        <v>0</v>
      </c>
      <c r="I17" s="135">
        <f t="shared" si="4"/>
        <v>12.986661860129777</v>
      </c>
      <c r="J17" s="135">
        <f t="shared" si="2"/>
        <v>43.23</v>
      </c>
      <c r="K17" s="133">
        <f t="shared" si="5"/>
        <v>0.69</v>
      </c>
      <c r="L17" s="124"/>
      <c r="N17" s="136"/>
      <c r="O17" s="138"/>
      <c r="P17" s="170">
        <f t="shared" si="6"/>
        <v>0</v>
      </c>
    </row>
    <row r="18" spans="2:16">
      <c r="B18" s="141">
        <f t="shared" si="0"/>
        <v>2024</v>
      </c>
      <c r="C18" s="142"/>
      <c r="D18" s="133"/>
      <c r="E18" s="133">
        <f t="shared" si="3"/>
        <v>44.22</v>
      </c>
      <c r="F18" s="135">
        <f t="shared" si="1"/>
        <v>13.284066330209084</v>
      </c>
      <c r="G18" s="133">
        <f t="shared" si="3"/>
        <v>0</v>
      </c>
      <c r="H18" s="133">
        <f t="shared" si="3"/>
        <v>0</v>
      </c>
      <c r="I18" s="135">
        <f t="shared" si="4"/>
        <v>13.284066330209084</v>
      </c>
      <c r="J18" s="135">
        <f t="shared" si="2"/>
        <v>44.22</v>
      </c>
      <c r="K18" s="133">
        <f t="shared" si="5"/>
        <v>0.71</v>
      </c>
      <c r="L18" s="124"/>
      <c r="N18" s="136"/>
      <c r="O18" s="138"/>
      <c r="P18" s="170">
        <f t="shared" si="6"/>
        <v>0</v>
      </c>
    </row>
    <row r="19" spans="2:16">
      <c r="B19" s="141">
        <f t="shared" si="0"/>
        <v>2025</v>
      </c>
      <c r="C19" s="142"/>
      <c r="D19" s="133"/>
      <c r="E19" s="133">
        <f t="shared" si="3"/>
        <v>45.24</v>
      </c>
      <c r="F19" s="135">
        <f t="shared" si="1"/>
        <v>13.590483056957464</v>
      </c>
      <c r="G19" s="133">
        <f t="shared" si="3"/>
        <v>0</v>
      </c>
      <c r="H19" s="133">
        <f t="shared" si="3"/>
        <v>0</v>
      </c>
      <c r="I19" s="135">
        <f t="shared" si="4"/>
        <v>13.590483056957464</v>
      </c>
      <c r="J19" s="135">
        <f t="shared" si="2"/>
        <v>45.24</v>
      </c>
      <c r="K19" s="133">
        <f t="shared" si="5"/>
        <v>0.73</v>
      </c>
      <c r="L19" s="124"/>
      <c r="N19" s="136"/>
      <c r="O19" s="138"/>
      <c r="P19" s="170">
        <f t="shared" si="6"/>
        <v>0</v>
      </c>
    </row>
    <row r="20" spans="2:16">
      <c r="B20" s="141">
        <f t="shared" si="0"/>
        <v>2026</v>
      </c>
      <c r="C20" s="142"/>
      <c r="D20" s="133"/>
      <c r="E20" s="133">
        <f>ROUND(E19*(1+$G66),2)</f>
        <v>46.24</v>
      </c>
      <c r="F20" s="135">
        <f t="shared" si="1"/>
        <v>13.890891612593128</v>
      </c>
      <c r="G20" s="133">
        <f>ROUND(G19*(1+$G66),2)</f>
        <v>0</v>
      </c>
      <c r="H20" s="133">
        <f>ROUND(H19*(1+$G66),2)</f>
        <v>0</v>
      </c>
      <c r="I20" s="135">
        <f t="shared" si="4"/>
        <v>13.890891612593128</v>
      </c>
      <c r="J20" s="135">
        <f t="shared" si="2"/>
        <v>46.24</v>
      </c>
      <c r="K20" s="133">
        <f>ROUND(K19*(1+$G66),2)</f>
        <v>0.75</v>
      </c>
      <c r="L20" s="124"/>
      <c r="N20" s="136"/>
      <c r="O20" s="138"/>
      <c r="P20" s="170">
        <f>ROUND(P19*(1+$G66),2)</f>
        <v>0</v>
      </c>
    </row>
    <row r="21" spans="2:16">
      <c r="B21" s="141">
        <f t="shared" si="0"/>
        <v>2027</v>
      </c>
      <c r="C21" s="142"/>
      <c r="D21" s="133"/>
      <c r="E21" s="133">
        <f t="shared" ref="E21:H28" si="7">ROUND(E20*(1+$G67),2)</f>
        <v>47.26</v>
      </c>
      <c r="F21" s="135">
        <f t="shared" si="1"/>
        <v>14.197308339341506</v>
      </c>
      <c r="G21" s="133">
        <f t="shared" si="7"/>
        <v>0</v>
      </c>
      <c r="H21" s="133">
        <f t="shared" si="7"/>
        <v>0</v>
      </c>
      <c r="I21" s="135">
        <f t="shared" si="4"/>
        <v>14.197308339341506</v>
      </c>
      <c r="J21" s="135">
        <f t="shared" si="2"/>
        <v>47.26</v>
      </c>
      <c r="K21" s="133">
        <f t="shared" ref="K21:K28" si="8">ROUND(K20*(1+$G67),2)</f>
        <v>0.77</v>
      </c>
      <c r="L21" s="124"/>
      <c r="N21" s="136"/>
      <c r="O21" s="138"/>
      <c r="P21" s="170">
        <f t="shared" ref="P21:P28" si="9">ROUND(P20*(1+$G67),2)</f>
        <v>0</v>
      </c>
    </row>
    <row r="22" spans="2:16">
      <c r="B22" s="141">
        <f t="shared" si="0"/>
        <v>2028</v>
      </c>
      <c r="C22" s="142"/>
      <c r="D22" s="133"/>
      <c r="E22" s="133">
        <f t="shared" si="7"/>
        <v>48.3</v>
      </c>
      <c r="F22" s="135">
        <f t="shared" si="1"/>
        <v>14.509733237202596</v>
      </c>
      <c r="G22" s="133">
        <f t="shared" si="7"/>
        <v>0</v>
      </c>
      <c r="H22" s="133">
        <f t="shared" si="7"/>
        <v>0</v>
      </c>
      <c r="I22" s="135">
        <f t="shared" si="4"/>
        <v>14.509733237202596</v>
      </c>
      <c r="J22" s="135">
        <f t="shared" si="2"/>
        <v>48.3</v>
      </c>
      <c r="K22" s="133">
        <f t="shared" si="8"/>
        <v>0.79</v>
      </c>
      <c r="L22" s="124"/>
      <c r="N22" s="136"/>
      <c r="O22" s="138"/>
      <c r="P22" s="170">
        <f t="shared" si="9"/>
        <v>0</v>
      </c>
    </row>
    <row r="23" spans="2:16">
      <c r="B23" s="141">
        <f t="shared" si="0"/>
        <v>2029</v>
      </c>
      <c r="C23" s="142"/>
      <c r="D23" s="133"/>
      <c r="E23" s="133">
        <f t="shared" si="7"/>
        <v>49.31</v>
      </c>
      <c r="F23" s="135">
        <f t="shared" si="1"/>
        <v>14.813145878394618</v>
      </c>
      <c r="G23" s="133">
        <f t="shared" si="7"/>
        <v>0</v>
      </c>
      <c r="H23" s="133">
        <f t="shared" si="7"/>
        <v>0</v>
      </c>
      <c r="I23" s="135">
        <f t="shared" si="4"/>
        <v>14.813145878394618</v>
      </c>
      <c r="J23" s="135">
        <f t="shared" si="2"/>
        <v>49.31</v>
      </c>
      <c r="K23" s="133">
        <f t="shared" si="8"/>
        <v>0.81</v>
      </c>
      <c r="L23" s="124"/>
      <c r="N23" s="136"/>
      <c r="O23" s="138"/>
      <c r="P23" s="170">
        <f t="shared" si="9"/>
        <v>0</v>
      </c>
    </row>
    <row r="24" spans="2:16">
      <c r="B24" s="141">
        <f t="shared" si="0"/>
        <v>2030</v>
      </c>
      <c r="C24" s="142"/>
      <c r="D24" s="133"/>
      <c r="E24" s="133">
        <f t="shared" si="7"/>
        <v>50.3</v>
      </c>
      <c r="F24" s="135">
        <f t="shared" si="1"/>
        <v>15.110550348473925</v>
      </c>
      <c r="G24" s="133">
        <f t="shared" si="7"/>
        <v>0</v>
      </c>
      <c r="H24" s="133">
        <f t="shared" si="7"/>
        <v>0</v>
      </c>
      <c r="I24" s="135">
        <f t="shared" si="4"/>
        <v>15.110550348473925</v>
      </c>
      <c r="J24" s="135">
        <f t="shared" si="2"/>
        <v>50.3</v>
      </c>
      <c r="K24" s="133">
        <f t="shared" si="8"/>
        <v>0.83</v>
      </c>
      <c r="L24" s="124"/>
      <c r="N24" s="136"/>
      <c r="O24" s="138"/>
      <c r="P24" s="170">
        <f t="shared" si="9"/>
        <v>0</v>
      </c>
    </row>
    <row r="25" spans="2:16">
      <c r="B25" s="141">
        <f t="shared" si="0"/>
        <v>2031</v>
      </c>
      <c r="C25" s="142"/>
      <c r="D25" s="133"/>
      <c r="E25" s="133">
        <f t="shared" si="7"/>
        <v>51.31</v>
      </c>
      <c r="F25" s="135">
        <f t="shared" si="1"/>
        <v>15.413962989665947</v>
      </c>
      <c r="G25" s="133">
        <f t="shared" si="7"/>
        <v>0</v>
      </c>
      <c r="H25" s="133">
        <f t="shared" si="7"/>
        <v>0</v>
      </c>
      <c r="I25" s="135">
        <f t="shared" si="4"/>
        <v>15.413962989665947</v>
      </c>
      <c r="J25" s="135">
        <f t="shared" si="2"/>
        <v>51.31</v>
      </c>
      <c r="K25" s="133">
        <f t="shared" si="8"/>
        <v>0.85</v>
      </c>
      <c r="L25" s="124"/>
      <c r="N25" s="136"/>
      <c r="O25" s="138"/>
      <c r="P25" s="170">
        <f t="shared" si="9"/>
        <v>0</v>
      </c>
    </row>
    <row r="26" spans="2:16">
      <c r="B26" s="141">
        <f t="shared" si="0"/>
        <v>2032</v>
      </c>
      <c r="C26" s="142"/>
      <c r="D26" s="133"/>
      <c r="E26" s="133">
        <f t="shared" si="7"/>
        <v>52.34</v>
      </c>
      <c r="F26" s="135">
        <f t="shared" si="1"/>
        <v>15.723383801970682</v>
      </c>
      <c r="G26" s="133">
        <f t="shared" si="7"/>
        <v>0</v>
      </c>
      <c r="H26" s="133">
        <f t="shared" si="7"/>
        <v>0</v>
      </c>
      <c r="I26" s="135">
        <f t="shared" si="4"/>
        <v>15.723383801970682</v>
      </c>
      <c r="J26" s="135">
        <f t="shared" si="2"/>
        <v>52.34</v>
      </c>
      <c r="K26" s="133">
        <f t="shared" si="8"/>
        <v>0.87</v>
      </c>
      <c r="L26" s="124"/>
      <c r="N26" s="136"/>
      <c r="O26" s="138"/>
      <c r="P26" s="170">
        <f t="shared" si="9"/>
        <v>0</v>
      </c>
    </row>
    <row r="27" spans="2:16">
      <c r="B27" s="141">
        <f t="shared" si="0"/>
        <v>2033</v>
      </c>
      <c r="C27" s="132"/>
      <c r="D27" s="133"/>
      <c r="E27" s="133">
        <f t="shared" si="7"/>
        <v>53.39</v>
      </c>
      <c r="F27" s="135">
        <f t="shared" si="1"/>
        <v>16.038812785388128</v>
      </c>
      <c r="G27" s="133">
        <f t="shared" si="7"/>
        <v>0</v>
      </c>
      <c r="H27" s="133">
        <f t="shared" si="7"/>
        <v>0</v>
      </c>
      <c r="I27" s="135">
        <f t="shared" si="4"/>
        <v>16.038812785388128</v>
      </c>
      <c r="J27" s="135">
        <f t="shared" si="2"/>
        <v>53.39</v>
      </c>
      <c r="K27" s="133">
        <f t="shared" si="8"/>
        <v>0.89</v>
      </c>
      <c r="L27" s="124"/>
      <c r="P27" s="170">
        <f t="shared" si="9"/>
        <v>0</v>
      </c>
    </row>
    <row r="28" spans="2:16">
      <c r="B28" s="141">
        <f t="shared" si="0"/>
        <v>2034</v>
      </c>
      <c r="C28" s="142"/>
      <c r="D28" s="133"/>
      <c r="E28" s="133">
        <f t="shared" si="7"/>
        <v>54.46</v>
      </c>
      <c r="F28" s="135">
        <f t="shared" si="1"/>
        <v>16.36024993991829</v>
      </c>
      <c r="G28" s="133">
        <f t="shared" si="7"/>
        <v>0</v>
      </c>
      <c r="H28" s="133">
        <f t="shared" si="7"/>
        <v>0</v>
      </c>
      <c r="I28" s="135">
        <f t="shared" si="4"/>
        <v>16.36024993991829</v>
      </c>
      <c r="J28" s="135">
        <f t="shared" si="2"/>
        <v>54.46</v>
      </c>
      <c r="K28" s="133">
        <f t="shared" si="8"/>
        <v>0.91</v>
      </c>
      <c r="L28" s="124"/>
      <c r="P28" s="170">
        <f t="shared" si="9"/>
        <v>0</v>
      </c>
    </row>
    <row r="29" spans="2:16">
      <c r="B29" s="141">
        <f t="shared" si="0"/>
        <v>2035</v>
      </c>
      <c r="C29" s="132">
        <f>$C$55</f>
        <v>1397.0737350359179</v>
      </c>
      <c r="D29" s="133">
        <f>C29*$C$62</f>
        <v>99.275937898489545</v>
      </c>
      <c r="E29" s="133">
        <f t="shared" ref="D29:E36" si="10">ROUND(E28*(1+$K66),2)</f>
        <v>55.55</v>
      </c>
      <c r="F29" s="135">
        <f t="shared" si="1"/>
        <v>46.511036379022336</v>
      </c>
      <c r="G29" s="133">
        <f t="shared" ref="G29:H36" si="11">ROUND(G28*(1+$K66),2)</f>
        <v>0</v>
      </c>
      <c r="H29" s="133">
        <f t="shared" si="11"/>
        <v>0</v>
      </c>
      <c r="I29" s="135">
        <f t="shared" si="4"/>
        <v>46.511036379022336</v>
      </c>
      <c r="J29" s="135">
        <f t="shared" si="2"/>
        <v>154.83000000000001</v>
      </c>
      <c r="K29" s="133">
        <f>ROUND(K28*(1+$K66),2)</f>
        <v>0.93</v>
      </c>
      <c r="L29" s="124"/>
      <c r="P29" s="170">
        <f>ROUND(P28*(1+$K66),2)</f>
        <v>0</v>
      </c>
    </row>
    <row r="30" spans="2:16">
      <c r="B30" s="141">
        <f t="shared" si="0"/>
        <v>2036</v>
      </c>
      <c r="C30" s="142"/>
      <c r="D30" s="133">
        <f t="shared" si="10"/>
        <v>101.26</v>
      </c>
      <c r="E30" s="133">
        <f t="shared" si="10"/>
        <v>56.66</v>
      </c>
      <c r="F30" s="135">
        <f t="shared" si="1"/>
        <v>47.440519105984144</v>
      </c>
      <c r="G30" s="133">
        <f t="shared" si="11"/>
        <v>0</v>
      </c>
      <c r="H30" s="133">
        <f t="shared" si="11"/>
        <v>0</v>
      </c>
      <c r="I30" s="135">
        <f t="shared" si="4"/>
        <v>47.440519105984144</v>
      </c>
      <c r="J30" s="135">
        <f t="shared" si="2"/>
        <v>157.91999999999999</v>
      </c>
      <c r="K30" s="133">
        <f t="shared" ref="K30:K36" si="12">ROUND(K29*(1+$K67),2)</f>
        <v>0.95</v>
      </c>
      <c r="L30" s="124"/>
      <c r="P30" s="170">
        <f t="shared" ref="P30:P36" si="13">ROUND(P29*(1+$K67),2)</f>
        <v>0</v>
      </c>
    </row>
    <row r="31" spans="2:16">
      <c r="B31" s="141">
        <f t="shared" si="0"/>
        <v>2037</v>
      </c>
      <c r="C31" s="142"/>
      <c r="D31" s="133">
        <f t="shared" si="10"/>
        <v>103.39</v>
      </c>
      <c r="E31" s="133">
        <f t="shared" si="10"/>
        <v>57.85</v>
      </c>
      <c r="F31" s="135">
        <f t="shared" si="1"/>
        <v>48.437875510694553</v>
      </c>
      <c r="G31" s="133">
        <f t="shared" si="11"/>
        <v>0</v>
      </c>
      <c r="H31" s="133">
        <f t="shared" si="11"/>
        <v>0</v>
      </c>
      <c r="I31" s="135">
        <f t="shared" si="4"/>
        <v>48.437875510694553</v>
      </c>
      <c r="J31" s="135">
        <f t="shared" si="2"/>
        <v>161.24</v>
      </c>
      <c r="K31" s="133">
        <f t="shared" si="12"/>
        <v>0.97</v>
      </c>
      <c r="L31" s="124"/>
      <c r="P31" s="170">
        <f t="shared" si="13"/>
        <v>0</v>
      </c>
    </row>
    <row r="32" spans="2:16">
      <c r="B32" s="141">
        <f t="shared" si="0"/>
        <v>2038</v>
      </c>
      <c r="C32" s="142"/>
      <c r="D32" s="133">
        <f t="shared" si="10"/>
        <v>105.56</v>
      </c>
      <c r="E32" s="133">
        <f t="shared" si="10"/>
        <v>59.06</v>
      </c>
      <c r="F32" s="135">
        <f t="shared" si="1"/>
        <v>49.453256428743096</v>
      </c>
      <c r="G32" s="133">
        <f t="shared" si="11"/>
        <v>0</v>
      </c>
      <c r="H32" s="133">
        <f t="shared" si="11"/>
        <v>0</v>
      </c>
      <c r="I32" s="135">
        <f t="shared" si="4"/>
        <v>49.453256428743096</v>
      </c>
      <c r="J32" s="135">
        <f t="shared" si="2"/>
        <v>164.62</v>
      </c>
      <c r="K32" s="133">
        <f t="shared" si="12"/>
        <v>0.99</v>
      </c>
      <c r="L32" s="124"/>
      <c r="P32" s="170">
        <f t="shared" si="13"/>
        <v>0</v>
      </c>
    </row>
    <row r="33" spans="2:16">
      <c r="B33" s="141">
        <f t="shared" si="0"/>
        <v>2039</v>
      </c>
      <c r="C33" s="142"/>
      <c r="D33" s="133">
        <f t="shared" si="10"/>
        <v>107.78</v>
      </c>
      <c r="E33" s="133">
        <f t="shared" si="10"/>
        <v>60.3</v>
      </c>
      <c r="F33" s="135">
        <f t="shared" si="1"/>
        <v>50.49267003124249</v>
      </c>
      <c r="G33" s="133">
        <f t="shared" si="11"/>
        <v>0</v>
      </c>
      <c r="H33" s="133">
        <f t="shared" si="11"/>
        <v>0</v>
      </c>
      <c r="I33" s="135">
        <f t="shared" si="4"/>
        <v>50.49267003124249</v>
      </c>
      <c r="J33" s="135">
        <f t="shared" si="2"/>
        <v>168.08</v>
      </c>
      <c r="K33" s="133">
        <f t="shared" si="12"/>
        <v>1.01</v>
      </c>
      <c r="L33" s="124"/>
      <c r="P33" s="170">
        <f t="shared" si="13"/>
        <v>0</v>
      </c>
    </row>
    <row r="34" spans="2:16">
      <c r="B34" s="141">
        <f t="shared" si="0"/>
        <v>2040</v>
      </c>
      <c r="C34" s="142"/>
      <c r="D34" s="133">
        <f t="shared" si="10"/>
        <v>110.04</v>
      </c>
      <c r="E34" s="133">
        <f t="shared" si="10"/>
        <v>61.57</v>
      </c>
      <c r="F34" s="135">
        <f t="shared" si="1"/>
        <v>51.553112232636394</v>
      </c>
      <c r="G34" s="133">
        <f t="shared" si="11"/>
        <v>0</v>
      </c>
      <c r="H34" s="133">
        <f t="shared" si="11"/>
        <v>0</v>
      </c>
      <c r="I34" s="135">
        <f t="shared" si="4"/>
        <v>51.553112232636394</v>
      </c>
      <c r="J34" s="135">
        <f t="shared" si="2"/>
        <v>171.61</v>
      </c>
      <c r="K34" s="133">
        <f t="shared" si="12"/>
        <v>1.03</v>
      </c>
      <c r="L34" s="124"/>
      <c r="P34" s="170">
        <f t="shared" si="13"/>
        <v>0</v>
      </c>
    </row>
    <row r="35" spans="2:16">
      <c r="B35" s="141">
        <f t="shared" si="0"/>
        <v>2041</v>
      </c>
      <c r="C35" s="142"/>
      <c r="D35" s="133">
        <f t="shared" si="10"/>
        <v>112.46</v>
      </c>
      <c r="E35" s="133">
        <f t="shared" si="10"/>
        <v>62.92</v>
      </c>
      <c r="F35" s="135">
        <f t="shared" si="1"/>
        <v>52.685652487382846</v>
      </c>
      <c r="G35" s="133">
        <f t="shared" si="11"/>
        <v>0</v>
      </c>
      <c r="H35" s="133">
        <f t="shared" si="11"/>
        <v>0</v>
      </c>
      <c r="I35" s="135">
        <f t="shared" si="4"/>
        <v>52.685652487382846</v>
      </c>
      <c r="J35" s="135">
        <f t="shared" si="2"/>
        <v>175.38</v>
      </c>
      <c r="K35" s="133">
        <f t="shared" si="12"/>
        <v>1.05</v>
      </c>
      <c r="L35" s="124"/>
      <c r="P35" s="170">
        <f t="shared" si="13"/>
        <v>0</v>
      </c>
    </row>
    <row r="36" spans="2:16">
      <c r="B36" s="141">
        <f t="shared" si="0"/>
        <v>2042</v>
      </c>
      <c r="C36" s="142"/>
      <c r="D36" s="133">
        <f t="shared" si="10"/>
        <v>114.93</v>
      </c>
      <c r="E36" s="133">
        <f t="shared" si="10"/>
        <v>64.3</v>
      </c>
      <c r="F36" s="135">
        <f t="shared" si="1"/>
        <v>53.842225426580157</v>
      </c>
      <c r="G36" s="133">
        <f t="shared" si="11"/>
        <v>0</v>
      </c>
      <c r="H36" s="133">
        <f t="shared" si="11"/>
        <v>0</v>
      </c>
      <c r="I36" s="135">
        <f t="shared" si="4"/>
        <v>53.842225426580157</v>
      </c>
      <c r="J36" s="135">
        <f t="shared" si="2"/>
        <v>179.23</v>
      </c>
      <c r="K36" s="133">
        <f t="shared" si="12"/>
        <v>1.07</v>
      </c>
      <c r="L36" s="124"/>
      <c r="P36" s="170">
        <f t="shared" si="13"/>
        <v>0</v>
      </c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">
        <v>118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0.0710599128799291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38.0%)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Oregon Wind Resource - 38%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76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127</v>
      </c>
      <c r="C55" s="186">
        <v>1397.0737350359179</v>
      </c>
      <c r="D55" s="122" t="s">
        <v>75</v>
      </c>
      <c r="H55" s="122" t="s">
        <v>9</v>
      </c>
    </row>
    <row r="56" spans="2:24">
      <c r="B56" s="86" t="s">
        <v>112</v>
      </c>
      <c r="C56" s="155">
        <v>37.570551305416139</v>
      </c>
      <c r="D56" s="122" t="s">
        <v>78</v>
      </c>
      <c r="H56" s="122" t="s">
        <v>9</v>
      </c>
    </row>
    <row r="57" spans="2:24">
      <c r="B57" s="86" t="s">
        <v>112</v>
      </c>
      <c r="C57" s="160">
        <v>0.58600709999999989</v>
      </c>
      <c r="D57" s="122" t="s">
        <v>83</v>
      </c>
      <c r="H57" s="122" t="s">
        <v>80</v>
      </c>
    </row>
    <row r="58" spans="2:24">
      <c r="B58" s="86" t="s">
        <v>112</v>
      </c>
      <c r="C58" s="155">
        <v>0</v>
      </c>
      <c r="D58" s="122" t="s">
        <v>79</v>
      </c>
      <c r="H58" s="122" t="s">
        <v>80</v>
      </c>
      <c r="K58" s="124"/>
      <c r="L58" s="156"/>
      <c r="M58" s="52"/>
      <c r="N58" s="157"/>
      <c r="O58" s="52"/>
      <c r="P58" s="157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158"/>
      <c r="L59" s="158"/>
      <c r="M59" s="159"/>
      <c r="N59" s="160"/>
      <c r="O59" s="157"/>
      <c r="P59" s="161"/>
      <c r="Q59" s="124"/>
      <c r="R59" s="124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124"/>
      <c r="O60" s="157"/>
      <c r="P60" s="161"/>
      <c r="Q60" s="124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24"/>
      <c r="O61" s="158"/>
      <c r="P61" s="161"/>
      <c r="S61" s="124"/>
      <c r="T61" s="124"/>
      <c r="U61" s="124"/>
      <c r="V61" s="124"/>
      <c r="W61" s="124"/>
      <c r="X61" s="124"/>
    </row>
    <row r="62" spans="2:24">
      <c r="C62" s="163">
        <v>7.1059912879929146E-2</v>
      </c>
      <c r="D62" s="122" t="s">
        <v>38</v>
      </c>
      <c r="K62" s="164"/>
      <c r="L62" s="165"/>
      <c r="M62" s="165"/>
      <c r="O62" s="166"/>
    </row>
    <row r="63" spans="2:24">
      <c r="C63" s="167">
        <v>0.38</v>
      </c>
      <c r="D63" s="122" t="s">
        <v>39</v>
      </c>
    </row>
    <row r="64" spans="2:24" ht="13.5" thickBot="1">
      <c r="D64" s="161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4">C66+1</f>
        <v>2018</v>
      </c>
      <c r="D67" s="41">
        <v>2.3E-2</v>
      </c>
      <c r="E67" s="86"/>
      <c r="F67" s="88">
        <f t="shared" ref="F67:F74" si="15">F66+1</f>
        <v>2027</v>
      </c>
      <c r="G67" s="41">
        <v>2.1999999999999999E-2</v>
      </c>
      <c r="H67" s="86"/>
      <c r="I67" s="88">
        <f t="shared" ref="I67:I74" si="16">I66+1</f>
        <v>2036</v>
      </c>
      <c r="J67" s="88"/>
      <c r="K67" s="41">
        <v>0.02</v>
      </c>
    </row>
    <row r="68" spans="3:11">
      <c r="C68" s="88">
        <f t="shared" si="14"/>
        <v>2019</v>
      </c>
      <c r="D68" s="41">
        <v>2.1999999999999999E-2</v>
      </c>
      <c r="E68" s="86"/>
      <c r="F68" s="88">
        <f t="shared" si="15"/>
        <v>2028</v>
      </c>
      <c r="G68" s="41">
        <v>2.1999999999999999E-2</v>
      </c>
      <c r="H68" s="86"/>
      <c r="I68" s="88">
        <f t="shared" si="16"/>
        <v>2037</v>
      </c>
      <c r="J68" s="88"/>
      <c r="K68" s="41">
        <v>2.1000000000000001E-2</v>
      </c>
    </row>
    <row r="69" spans="3:11">
      <c r="C69" s="88">
        <f t="shared" si="14"/>
        <v>2020</v>
      </c>
      <c r="D69" s="41">
        <v>2.5000000000000001E-2</v>
      </c>
      <c r="E69" s="86"/>
      <c r="F69" s="88">
        <f t="shared" si="15"/>
        <v>2029</v>
      </c>
      <c r="G69" s="41">
        <v>2.1000000000000001E-2</v>
      </c>
      <c r="H69" s="86"/>
      <c r="I69" s="88">
        <f t="shared" si="16"/>
        <v>2038</v>
      </c>
      <c r="J69" s="88"/>
      <c r="K69" s="41">
        <v>2.1000000000000001E-2</v>
      </c>
    </row>
    <row r="70" spans="3:11">
      <c r="C70" s="88">
        <f t="shared" si="14"/>
        <v>2021</v>
      </c>
      <c r="D70" s="41">
        <v>2.4E-2</v>
      </c>
      <c r="E70" s="86"/>
      <c r="F70" s="88">
        <f t="shared" si="15"/>
        <v>2030</v>
      </c>
      <c r="G70" s="41">
        <v>0.02</v>
      </c>
      <c r="H70" s="86"/>
      <c r="I70" s="88">
        <f t="shared" si="16"/>
        <v>2039</v>
      </c>
      <c r="J70" s="88"/>
      <c r="K70" s="41">
        <v>2.1000000000000001E-2</v>
      </c>
    </row>
    <row r="71" spans="3:11">
      <c r="C71" s="88">
        <f t="shared" si="14"/>
        <v>2022</v>
      </c>
      <c r="D71" s="41">
        <v>2.4E-2</v>
      </c>
      <c r="E71" s="86"/>
      <c r="F71" s="88">
        <f t="shared" si="15"/>
        <v>2031</v>
      </c>
      <c r="G71" s="41">
        <v>0.02</v>
      </c>
      <c r="H71" s="86"/>
      <c r="I71" s="88">
        <f t="shared" si="16"/>
        <v>2040</v>
      </c>
      <c r="J71" s="88"/>
      <c r="K71" s="41">
        <v>2.1000000000000001E-2</v>
      </c>
    </row>
    <row r="72" spans="3:11" s="124" customFormat="1">
      <c r="C72" s="88">
        <f t="shared" si="14"/>
        <v>2023</v>
      </c>
      <c r="D72" s="41">
        <v>2.4E-2</v>
      </c>
      <c r="E72" s="87"/>
      <c r="F72" s="88">
        <f t="shared" si="15"/>
        <v>2032</v>
      </c>
      <c r="G72" s="41">
        <v>0.02</v>
      </c>
      <c r="H72" s="87"/>
      <c r="I72" s="88">
        <f t="shared" si="16"/>
        <v>2041</v>
      </c>
      <c r="J72" s="88"/>
      <c r="K72" s="41">
        <v>2.1999999999999999E-2</v>
      </c>
    </row>
    <row r="73" spans="3:11" s="124" customFormat="1">
      <c r="C73" s="88">
        <f t="shared" si="14"/>
        <v>2024</v>
      </c>
      <c r="D73" s="41">
        <v>2.3E-2</v>
      </c>
      <c r="E73" s="87"/>
      <c r="F73" s="88">
        <f t="shared" si="15"/>
        <v>2033</v>
      </c>
      <c r="G73" s="41">
        <v>0.02</v>
      </c>
      <c r="H73" s="87"/>
      <c r="I73" s="88">
        <f t="shared" si="16"/>
        <v>2042</v>
      </c>
      <c r="J73" s="88"/>
      <c r="K73" s="41">
        <v>2.1999999999999999E-2</v>
      </c>
    </row>
    <row r="74" spans="3:11" s="124" customFormat="1">
      <c r="C74" s="88">
        <f t="shared" si="14"/>
        <v>2025</v>
      </c>
      <c r="D74" s="41">
        <v>2.3E-2</v>
      </c>
      <c r="E74" s="87"/>
      <c r="F74" s="88">
        <f t="shared" si="15"/>
        <v>2034</v>
      </c>
      <c r="G74" s="41">
        <v>0.02</v>
      </c>
      <c r="H74" s="87"/>
      <c r="I74" s="88">
        <f t="shared" si="16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2" width="9.33203125" style="122"/>
    <col min="13" max="13" width="9.6640625" style="122" bestFit="1" customWidth="1"/>
    <col min="14" max="15" width="17" style="122" customWidth="1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132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25%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26" t="s">
        <v>84</v>
      </c>
      <c r="J5" s="17" t="s">
        <v>55</v>
      </c>
      <c r="K5" s="126" t="s">
        <v>72</v>
      </c>
      <c r="P5" s="126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Yakima Solar Resource-2030 - 25%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33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/>
      <c r="E11" s="133">
        <f>$C$56</f>
        <v>18.74175672264068</v>
      </c>
      <c r="F11" s="134">
        <f t="shared" ref="F11:F36" si="1">(D11+E11)/(8.76*$C$63)</f>
        <v>8.5922487771362537</v>
      </c>
      <c r="G11" s="134">
        <f>$C$58</f>
        <v>0</v>
      </c>
      <c r="H11" s="133">
        <f>$C$59</f>
        <v>0</v>
      </c>
      <c r="I11" s="135">
        <f t="shared" ref="I11:I36" si="2">F11+H11+G11</f>
        <v>8.5922487771362537</v>
      </c>
      <c r="J11" s="135">
        <f t="shared" ref="J11:J36" si="3">ROUND(I11*$C$63*8.76,2)</f>
        <v>18.739999999999998</v>
      </c>
      <c r="K11" s="133">
        <f>$C$57</f>
        <v>0.61668809999999996</v>
      </c>
      <c r="M11" s="240">
        <v>34.793006303232339</v>
      </c>
      <c r="N11" s="136"/>
      <c r="P11" s="170"/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19.170000000000002</v>
      </c>
      <c r="F12" s="135">
        <f t="shared" si="1"/>
        <v>8.7885789734279598</v>
      </c>
      <c r="G12" s="133">
        <f t="shared" ref="G12:G19" si="5">ROUND(G11*(1+$D67),2)</f>
        <v>0</v>
      </c>
      <c r="H12" s="143">
        <f t="shared" ref="H12:H19" si="6">ROUND(H11*(1+$D67),2)</f>
        <v>0</v>
      </c>
      <c r="I12" s="135">
        <f t="shared" si="2"/>
        <v>8.7885789734279598</v>
      </c>
      <c r="J12" s="135">
        <f t="shared" si="3"/>
        <v>19.170000000000002</v>
      </c>
      <c r="K12" s="133">
        <f t="shared" ref="K12:K19" si="7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/>
      <c r="E13" s="133">
        <f t="shared" si="4"/>
        <v>19.59</v>
      </c>
      <c r="F13" s="135">
        <f t="shared" si="1"/>
        <v>8.9811299994498555</v>
      </c>
      <c r="G13" s="133">
        <f t="shared" si="5"/>
        <v>0</v>
      </c>
      <c r="H13" s="143">
        <f t="shared" si="6"/>
        <v>0</v>
      </c>
      <c r="I13" s="135">
        <f t="shared" si="2"/>
        <v>8.9811299994498555</v>
      </c>
      <c r="J13" s="135">
        <f t="shared" si="3"/>
        <v>19.59</v>
      </c>
      <c r="K13" s="133">
        <f t="shared" si="7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/>
      <c r="E14" s="133">
        <f t="shared" si="4"/>
        <v>20.079999999999998</v>
      </c>
      <c r="F14" s="135">
        <f t="shared" si="1"/>
        <v>9.2057728631420659</v>
      </c>
      <c r="G14" s="133">
        <f t="shared" si="5"/>
        <v>0</v>
      </c>
      <c r="H14" s="143">
        <f t="shared" si="6"/>
        <v>0</v>
      </c>
      <c r="I14" s="135">
        <f t="shared" si="2"/>
        <v>9.2057728631420659</v>
      </c>
      <c r="J14" s="135">
        <f t="shared" si="3"/>
        <v>20.079999999999998</v>
      </c>
      <c r="K14" s="133">
        <f t="shared" si="7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20.56</v>
      </c>
      <c r="F15" s="135">
        <f t="shared" si="1"/>
        <v>9.4258311785956614</v>
      </c>
      <c r="G15" s="133">
        <f t="shared" si="5"/>
        <v>0</v>
      </c>
      <c r="H15" s="143">
        <f t="shared" si="6"/>
        <v>0</v>
      </c>
      <c r="I15" s="135">
        <f t="shared" si="2"/>
        <v>9.4258311785956614</v>
      </c>
      <c r="J15" s="135">
        <f t="shared" si="3"/>
        <v>20.56</v>
      </c>
      <c r="K15" s="133">
        <f t="shared" si="7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21.05</v>
      </c>
      <c r="F16" s="135">
        <f t="shared" si="1"/>
        <v>9.6504740422878736</v>
      </c>
      <c r="G16" s="133">
        <f t="shared" si="5"/>
        <v>0</v>
      </c>
      <c r="H16" s="143">
        <f t="shared" si="6"/>
        <v>0</v>
      </c>
      <c r="I16" s="135">
        <f t="shared" si="2"/>
        <v>9.6504740422878736</v>
      </c>
      <c r="J16" s="135">
        <f t="shared" si="3"/>
        <v>21.05</v>
      </c>
      <c r="K16" s="133">
        <f t="shared" si="7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/>
      <c r="E17" s="133">
        <f t="shared" si="4"/>
        <v>21.56</v>
      </c>
      <c r="F17" s="135">
        <f t="shared" si="1"/>
        <v>9.8842860024573174</v>
      </c>
      <c r="G17" s="133">
        <f t="shared" si="5"/>
        <v>0</v>
      </c>
      <c r="H17" s="143">
        <f t="shared" si="6"/>
        <v>0</v>
      </c>
      <c r="I17" s="135">
        <f t="shared" si="2"/>
        <v>9.8842860024573174</v>
      </c>
      <c r="J17" s="135">
        <f t="shared" si="3"/>
        <v>21.56</v>
      </c>
      <c r="K17" s="133">
        <f t="shared" si="7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/>
      <c r="E18" s="133">
        <f t="shared" si="4"/>
        <v>22.06</v>
      </c>
      <c r="F18" s="135">
        <f t="shared" si="1"/>
        <v>10.113513414388146</v>
      </c>
      <c r="G18" s="133">
        <f t="shared" si="5"/>
        <v>0</v>
      </c>
      <c r="H18" s="143">
        <f t="shared" si="6"/>
        <v>0</v>
      </c>
      <c r="I18" s="135">
        <f t="shared" si="2"/>
        <v>10.113513414388146</v>
      </c>
      <c r="J18" s="135">
        <f t="shared" si="3"/>
        <v>22.06</v>
      </c>
      <c r="K18" s="133">
        <f t="shared" si="7"/>
        <v>0.74</v>
      </c>
      <c r="L18" s="124"/>
      <c r="P18" s="170"/>
    </row>
    <row r="19" spans="2:17">
      <c r="B19" s="141">
        <f t="shared" si="0"/>
        <v>2025</v>
      </c>
      <c r="C19" s="142"/>
      <c r="D19" s="133"/>
      <c r="E19" s="133">
        <f t="shared" si="4"/>
        <v>22.57</v>
      </c>
      <c r="F19" s="135">
        <f t="shared" si="1"/>
        <v>10.347325374557592</v>
      </c>
      <c r="G19" s="133">
        <f t="shared" si="5"/>
        <v>0</v>
      </c>
      <c r="H19" s="143">
        <f t="shared" si="6"/>
        <v>0</v>
      </c>
      <c r="I19" s="135">
        <f t="shared" si="2"/>
        <v>10.347325374557592</v>
      </c>
      <c r="J19" s="135">
        <f t="shared" si="3"/>
        <v>22.57</v>
      </c>
      <c r="K19" s="133">
        <f t="shared" si="7"/>
        <v>0.76</v>
      </c>
      <c r="L19" s="124"/>
      <c r="P19" s="170"/>
    </row>
    <row r="20" spans="2:17">
      <c r="B20" s="141">
        <f t="shared" si="0"/>
        <v>2026</v>
      </c>
      <c r="C20" s="142"/>
      <c r="D20" s="133"/>
      <c r="E20" s="133">
        <f t="shared" ref="E20:E28" si="8">ROUND(E19*(1+$G66),2)</f>
        <v>23.07</v>
      </c>
      <c r="F20" s="135">
        <f t="shared" si="1"/>
        <v>10.576552786488421</v>
      </c>
      <c r="G20" s="133">
        <f t="shared" ref="G20:G28" si="9">ROUND(G19*(1+$G66),2)</f>
        <v>0</v>
      </c>
      <c r="H20" s="143">
        <f t="shared" ref="H20:H28" si="10">ROUND(H19*(1+$G66),2)</f>
        <v>0</v>
      </c>
      <c r="I20" s="135">
        <f t="shared" si="2"/>
        <v>10.576552786488421</v>
      </c>
      <c r="J20" s="135">
        <f t="shared" si="3"/>
        <v>23.07</v>
      </c>
      <c r="K20" s="133">
        <f t="shared" ref="K20:K28" si="11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/>
      <c r="E21" s="133">
        <f t="shared" si="8"/>
        <v>23.58</v>
      </c>
      <c r="F21" s="135">
        <f t="shared" si="1"/>
        <v>10.810364746657864</v>
      </c>
      <c r="G21" s="133">
        <f t="shared" si="9"/>
        <v>0</v>
      </c>
      <c r="H21" s="143">
        <f t="shared" si="10"/>
        <v>0</v>
      </c>
      <c r="I21" s="135">
        <f t="shared" si="2"/>
        <v>10.810364746657864</v>
      </c>
      <c r="J21" s="135">
        <f t="shared" si="3"/>
        <v>23.58</v>
      </c>
      <c r="K21" s="133">
        <f t="shared" si="11"/>
        <v>0.8</v>
      </c>
      <c r="L21" s="124"/>
      <c r="P21" s="170"/>
    </row>
    <row r="22" spans="2:17">
      <c r="B22" s="141">
        <f t="shared" si="0"/>
        <v>2028</v>
      </c>
      <c r="C22" s="142"/>
      <c r="D22" s="133"/>
      <c r="E22" s="133">
        <f t="shared" si="8"/>
        <v>24.1</v>
      </c>
      <c r="F22" s="135">
        <f t="shared" si="1"/>
        <v>11.048761255065926</v>
      </c>
      <c r="G22" s="133">
        <f t="shared" si="9"/>
        <v>0</v>
      </c>
      <c r="H22" s="143">
        <f t="shared" si="10"/>
        <v>0</v>
      </c>
      <c r="I22" s="135">
        <f t="shared" si="2"/>
        <v>11.048761255065926</v>
      </c>
      <c r="J22" s="135">
        <f t="shared" si="3"/>
        <v>24.1</v>
      </c>
      <c r="K22" s="133">
        <f t="shared" si="11"/>
        <v>0.82</v>
      </c>
      <c r="L22" s="124"/>
      <c r="P22" s="170"/>
    </row>
    <row r="23" spans="2:17">
      <c r="B23" s="141">
        <f t="shared" si="0"/>
        <v>2029</v>
      </c>
      <c r="C23" s="142"/>
      <c r="D23" s="133"/>
      <c r="E23" s="133">
        <f t="shared" si="8"/>
        <v>24.61</v>
      </c>
      <c r="F23" s="135">
        <f t="shared" si="1"/>
        <v>11.282573215235372</v>
      </c>
      <c r="G23" s="133">
        <f t="shared" si="9"/>
        <v>0</v>
      </c>
      <c r="H23" s="143">
        <f t="shared" si="10"/>
        <v>0</v>
      </c>
      <c r="I23" s="135">
        <f t="shared" si="2"/>
        <v>11.282573215235372</v>
      </c>
      <c r="J23" s="135">
        <f t="shared" si="3"/>
        <v>24.61</v>
      </c>
      <c r="K23" s="133">
        <f t="shared" si="11"/>
        <v>0.84</v>
      </c>
      <c r="L23" s="124"/>
      <c r="P23" s="170"/>
    </row>
    <row r="24" spans="2:17">
      <c r="B24" s="141">
        <f t="shared" si="0"/>
        <v>2030</v>
      </c>
      <c r="C24" s="132">
        <f>$C$55</f>
        <v>1192.5044909019937</v>
      </c>
      <c r="D24" s="133">
        <f>C24*$C$62</f>
        <v>92.05729505283152</v>
      </c>
      <c r="E24" s="133">
        <f t="shared" si="8"/>
        <v>25.1</v>
      </c>
      <c r="F24" s="135">
        <f t="shared" si="1"/>
        <v>53.711327067554024</v>
      </c>
      <c r="G24" s="133">
        <f t="shared" si="9"/>
        <v>0</v>
      </c>
      <c r="H24" s="143">
        <f t="shared" si="10"/>
        <v>0</v>
      </c>
      <c r="I24" s="135">
        <f t="shared" si="2"/>
        <v>53.711327067554024</v>
      </c>
      <c r="J24" s="135">
        <f t="shared" si="3"/>
        <v>117.16</v>
      </c>
      <c r="K24" s="133">
        <f t="shared" si="11"/>
        <v>0.86</v>
      </c>
      <c r="L24" s="124"/>
      <c r="P24" s="170"/>
    </row>
    <row r="25" spans="2:17">
      <c r="B25" s="141">
        <f t="shared" si="0"/>
        <v>2031</v>
      </c>
      <c r="C25" s="142"/>
      <c r="D25" s="133">
        <f t="shared" ref="D25:D28" si="12">ROUND(D24*(1+$G71),2)</f>
        <v>93.9</v>
      </c>
      <c r="E25" s="133">
        <f t="shared" si="8"/>
        <v>25.6</v>
      </c>
      <c r="F25" s="135">
        <f t="shared" si="1"/>
        <v>54.785351451467974</v>
      </c>
      <c r="G25" s="133">
        <f t="shared" si="9"/>
        <v>0</v>
      </c>
      <c r="H25" s="143">
        <f t="shared" si="10"/>
        <v>0</v>
      </c>
      <c r="I25" s="135">
        <f t="shared" si="2"/>
        <v>54.785351451467974</v>
      </c>
      <c r="J25" s="135">
        <f t="shared" si="3"/>
        <v>119.5</v>
      </c>
      <c r="K25" s="133">
        <f t="shared" si="11"/>
        <v>0.88</v>
      </c>
      <c r="L25" s="124"/>
      <c r="P25" s="170"/>
    </row>
    <row r="26" spans="2:17">
      <c r="B26" s="141">
        <f t="shared" si="0"/>
        <v>2032</v>
      </c>
      <c r="C26" s="142"/>
      <c r="D26" s="133">
        <f t="shared" si="12"/>
        <v>95.78</v>
      </c>
      <c r="E26" s="133">
        <f t="shared" si="8"/>
        <v>26.11</v>
      </c>
      <c r="F26" s="135">
        <f t="shared" si="1"/>
        <v>55.881058480497337</v>
      </c>
      <c r="G26" s="133">
        <f t="shared" si="9"/>
        <v>0</v>
      </c>
      <c r="H26" s="143">
        <f t="shared" si="10"/>
        <v>0</v>
      </c>
      <c r="I26" s="135">
        <f t="shared" si="2"/>
        <v>55.881058480497337</v>
      </c>
      <c r="J26" s="135">
        <f t="shared" si="3"/>
        <v>121.89</v>
      </c>
      <c r="K26" s="133">
        <f t="shared" si="11"/>
        <v>0.9</v>
      </c>
      <c r="L26" s="124"/>
      <c r="P26" s="170"/>
    </row>
    <row r="27" spans="2:17">
      <c r="B27" s="141">
        <f t="shared" si="0"/>
        <v>2033</v>
      </c>
      <c r="C27" s="142"/>
      <c r="D27" s="133">
        <f t="shared" si="12"/>
        <v>97.7</v>
      </c>
      <c r="E27" s="133">
        <f t="shared" si="8"/>
        <v>26.63</v>
      </c>
      <c r="F27" s="135">
        <f t="shared" si="1"/>
        <v>56.999688250719778</v>
      </c>
      <c r="G27" s="133">
        <f t="shared" si="9"/>
        <v>0</v>
      </c>
      <c r="H27" s="143">
        <f t="shared" si="10"/>
        <v>0</v>
      </c>
      <c r="I27" s="135">
        <f t="shared" si="2"/>
        <v>56.999688250719778</v>
      </c>
      <c r="J27" s="135">
        <f t="shared" si="3"/>
        <v>124.33</v>
      </c>
      <c r="K27" s="133">
        <f t="shared" si="11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si="12"/>
        <v>99.65</v>
      </c>
      <c r="E28" s="133">
        <f t="shared" si="8"/>
        <v>27.16</v>
      </c>
      <c r="F28" s="135">
        <f t="shared" si="1"/>
        <v>58.136656213896686</v>
      </c>
      <c r="G28" s="133">
        <f t="shared" si="9"/>
        <v>0</v>
      </c>
      <c r="H28" s="143">
        <f t="shared" si="10"/>
        <v>0</v>
      </c>
      <c r="I28" s="135">
        <f t="shared" si="2"/>
        <v>58.136656213896686</v>
      </c>
      <c r="J28" s="135">
        <f t="shared" si="3"/>
        <v>126.81</v>
      </c>
      <c r="K28" s="133">
        <f t="shared" si="11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13">ROUND(D28*(1+$K66),2)</f>
        <v>101.64</v>
      </c>
      <c r="E29" s="133">
        <f t="shared" si="13"/>
        <v>27.7</v>
      </c>
      <c r="F29" s="135">
        <f t="shared" si="1"/>
        <v>59.296546918266678</v>
      </c>
      <c r="G29" s="133">
        <f t="shared" ref="G29:H36" si="14">ROUND(G28*(1+$K66),2)</f>
        <v>0</v>
      </c>
      <c r="H29" s="143">
        <f t="shared" si="14"/>
        <v>0</v>
      </c>
      <c r="I29" s="135">
        <f t="shared" si="2"/>
        <v>59.296546918266678</v>
      </c>
      <c r="J29" s="135">
        <f t="shared" si="3"/>
        <v>129.34</v>
      </c>
      <c r="K29" s="133">
        <f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3"/>
        <v>103.67</v>
      </c>
      <c r="E30" s="133">
        <f t="shared" si="13"/>
        <v>28.25</v>
      </c>
      <c r="F30" s="135">
        <f t="shared" si="1"/>
        <v>60.479360363829763</v>
      </c>
      <c r="G30" s="133">
        <f t="shared" si="14"/>
        <v>0</v>
      </c>
      <c r="H30" s="143">
        <f t="shared" si="14"/>
        <v>0</v>
      </c>
      <c r="I30" s="135">
        <f t="shared" si="2"/>
        <v>60.479360363829763</v>
      </c>
      <c r="J30" s="135">
        <f t="shared" si="3"/>
        <v>131.91999999999999</v>
      </c>
      <c r="K30" s="133">
        <f t="shared" ref="K30:K36" si="15">ROUND(K29*(1+$K67),2)</f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3"/>
        <v>105.85</v>
      </c>
      <c r="E31" s="133">
        <f t="shared" si="13"/>
        <v>28.84</v>
      </c>
      <c r="F31" s="135">
        <f t="shared" si="1"/>
        <v>61.74928022592654</v>
      </c>
      <c r="G31" s="133">
        <f t="shared" si="14"/>
        <v>0</v>
      </c>
      <c r="H31" s="143">
        <f t="shared" si="14"/>
        <v>0</v>
      </c>
      <c r="I31" s="135">
        <f t="shared" si="2"/>
        <v>61.74928022592654</v>
      </c>
      <c r="J31" s="135">
        <f t="shared" si="3"/>
        <v>134.69</v>
      </c>
      <c r="K31" s="133">
        <f t="shared" si="15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3"/>
        <v>108.07</v>
      </c>
      <c r="E32" s="133">
        <f t="shared" si="13"/>
        <v>29.45</v>
      </c>
      <c r="F32" s="135">
        <f t="shared" si="1"/>
        <v>63.046707377455022</v>
      </c>
      <c r="G32" s="133">
        <f t="shared" si="14"/>
        <v>0</v>
      </c>
      <c r="H32" s="143">
        <f t="shared" si="14"/>
        <v>0</v>
      </c>
      <c r="I32" s="135">
        <f t="shared" si="2"/>
        <v>63.046707377455022</v>
      </c>
      <c r="J32" s="135">
        <f t="shared" si="3"/>
        <v>137.52000000000001</v>
      </c>
      <c r="K32" s="133">
        <f t="shared" si="15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3"/>
        <v>110.34</v>
      </c>
      <c r="E33" s="133">
        <f t="shared" si="13"/>
        <v>30.07</v>
      </c>
      <c r="F33" s="135">
        <f t="shared" si="1"/>
        <v>64.371641818415213</v>
      </c>
      <c r="G33" s="133">
        <f t="shared" si="14"/>
        <v>0</v>
      </c>
      <c r="H33" s="143">
        <f t="shared" si="14"/>
        <v>0</v>
      </c>
      <c r="I33" s="135">
        <f t="shared" si="2"/>
        <v>64.371641818415213</v>
      </c>
      <c r="J33" s="135">
        <f t="shared" si="3"/>
        <v>140.41</v>
      </c>
      <c r="K33" s="133">
        <f t="shared" si="15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3"/>
        <v>112.66</v>
      </c>
      <c r="E34" s="133">
        <f t="shared" si="13"/>
        <v>30.7</v>
      </c>
      <c r="F34" s="135">
        <f t="shared" si="1"/>
        <v>65.724083548807101</v>
      </c>
      <c r="G34" s="133">
        <f t="shared" si="14"/>
        <v>0</v>
      </c>
      <c r="H34" s="143">
        <f t="shared" si="14"/>
        <v>0</v>
      </c>
      <c r="I34" s="135">
        <f t="shared" si="2"/>
        <v>65.724083548807101</v>
      </c>
      <c r="J34" s="135">
        <f t="shared" si="3"/>
        <v>143.36000000000001</v>
      </c>
      <c r="K34" s="133">
        <f t="shared" si="15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3"/>
        <v>115.14</v>
      </c>
      <c r="E35" s="133">
        <f t="shared" si="13"/>
        <v>31.38</v>
      </c>
      <c r="F35" s="135">
        <f t="shared" si="1"/>
        <v>67.172800792209941</v>
      </c>
      <c r="G35" s="133">
        <f t="shared" si="14"/>
        <v>0</v>
      </c>
      <c r="H35" s="143">
        <f t="shared" si="14"/>
        <v>0</v>
      </c>
      <c r="I35" s="135">
        <f t="shared" si="2"/>
        <v>67.172800792209941</v>
      </c>
      <c r="J35" s="135">
        <f t="shared" si="3"/>
        <v>146.52000000000001</v>
      </c>
      <c r="K35" s="133">
        <f t="shared" si="15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3"/>
        <v>117.67</v>
      </c>
      <c r="E36" s="133">
        <f t="shared" si="13"/>
        <v>32.07</v>
      </c>
      <c r="F36" s="135">
        <f t="shared" si="1"/>
        <v>68.649025325044477</v>
      </c>
      <c r="G36" s="133">
        <f t="shared" si="14"/>
        <v>0</v>
      </c>
      <c r="H36" s="143">
        <f t="shared" si="14"/>
        <v>0</v>
      </c>
      <c r="I36" s="135">
        <f t="shared" si="2"/>
        <v>68.649025325044477</v>
      </c>
      <c r="J36" s="135">
        <f t="shared" si="3"/>
        <v>149.74</v>
      </c>
      <c r="K36" s="133">
        <f t="shared" si="15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tr">
        <f>'Table 3 EV2020 Wind_2020'!D44</f>
        <v>Plant Costs  - 2017 IRP Update - Table 5.4 &amp; 5.5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24.9%)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Yakima Solar Resource-2030 - 25%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82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120</v>
      </c>
      <c r="C55" s="186">
        <v>1192.5044909019937</v>
      </c>
      <c r="D55" s="122" t="s">
        <v>75</v>
      </c>
      <c r="H55" s="122" t="s">
        <v>9</v>
      </c>
    </row>
    <row r="56" spans="2:24">
      <c r="B56" s="86" t="s">
        <v>112</v>
      </c>
      <c r="C56" s="155">
        <v>18.74175672264068</v>
      </c>
      <c r="D56" s="122" t="s">
        <v>78</v>
      </c>
      <c r="H56" s="122" t="s">
        <v>9</v>
      </c>
    </row>
    <row r="57" spans="2:24">
      <c r="B57" s="86" t="s">
        <v>112</v>
      </c>
      <c r="C57" s="160">
        <v>0.61668809999999996</v>
      </c>
      <c r="D57" s="122" t="s">
        <v>83</v>
      </c>
      <c r="H57" s="122" t="s">
        <v>80</v>
      </c>
    </row>
    <row r="58" spans="2:24">
      <c r="B58" s="86" t="s">
        <v>112</v>
      </c>
      <c r="C58" s="155">
        <v>0</v>
      </c>
      <c r="D58" s="122" t="s">
        <v>79</v>
      </c>
      <c r="H58" s="122" t="s">
        <v>80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158"/>
      <c r="L59" s="158"/>
      <c r="N59" s="158"/>
      <c r="O59" s="17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N60" s="158"/>
      <c r="O60" s="17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N62" s="157"/>
      <c r="O62" s="52"/>
      <c r="P62" s="159"/>
    </row>
    <row r="63" spans="2:24">
      <c r="C63" s="169">
        <v>0.249</v>
      </c>
      <c r="D63" s="122" t="s">
        <v>39</v>
      </c>
      <c r="N63" s="158"/>
      <c r="O63" s="178"/>
      <c r="P63" s="172"/>
    </row>
    <row r="64" spans="2:24" ht="13.5" thickBot="1">
      <c r="D64" s="161"/>
      <c r="N64" s="158"/>
      <c r="O64" s="17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6">C66+1</f>
        <v>2018</v>
      </c>
      <c r="D67" s="41">
        <v>2.3E-2</v>
      </c>
      <c r="E67" s="86"/>
      <c r="F67" s="88">
        <f t="shared" ref="F67:F74" si="17">F66+1</f>
        <v>2027</v>
      </c>
      <c r="G67" s="41">
        <v>2.1999999999999999E-2</v>
      </c>
      <c r="H67" s="86"/>
      <c r="I67" s="88">
        <f t="shared" ref="I67:I74" si="18">I66+1</f>
        <v>2036</v>
      </c>
      <c r="J67" s="88"/>
      <c r="K67" s="41">
        <v>0.02</v>
      </c>
    </row>
    <row r="68" spans="3:11">
      <c r="C68" s="88">
        <f t="shared" si="16"/>
        <v>2019</v>
      </c>
      <c r="D68" s="41">
        <v>2.1999999999999999E-2</v>
      </c>
      <c r="E68" s="86"/>
      <c r="F68" s="88">
        <f t="shared" si="17"/>
        <v>2028</v>
      </c>
      <c r="G68" s="41">
        <v>2.1999999999999999E-2</v>
      </c>
      <c r="H68" s="86"/>
      <c r="I68" s="88">
        <f t="shared" si="18"/>
        <v>2037</v>
      </c>
      <c r="J68" s="88"/>
      <c r="K68" s="41">
        <v>2.1000000000000001E-2</v>
      </c>
    </row>
    <row r="69" spans="3:11">
      <c r="C69" s="88">
        <f t="shared" si="16"/>
        <v>2020</v>
      </c>
      <c r="D69" s="41">
        <v>2.5000000000000001E-2</v>
      </c>
      <c r="E69" s="86"/>
      <c r="F69" s="88">
        <f t="shared" si="17"/>
        <v>2029</v>
      </c>
      <c r="G69" s="41">
        <v>2.1000000000000001E-2</v>
      </c>
      <c r="H69" s="86"/>
      <c r="I69" s="88">
        <f t="shared" si="18"/>
        <v>2038</v>
      </c>
      <c r="J69" s="88"/>
      <c r="K69" s="41">
        <v>2.1000000000000001E-2</v>
      </c>
    </row>
    <row r="70" spans="3:11">
      <c r="C70" s="88">
        <f t="shared" si="16"/>
        <v>2021</v>
      </c>
      <c r="D70" s="41">
        <v>2.4E-2</v>
      </c>
      <c r="E70" s="86"/>
      <c r="F70" s="88">
        <f t="shared" si="17"/>
        <v>2030</v>
      </c>
      <c r="G70" s="41">
        <v>0.02</v>
      </c>
      <c r="H70" s="86"/>
      <c r="I70" s="88">
        <f t="shared" si="18"/>
        <v>2039</v>
      </c>
      <c r="J70" s="88"/>
      <c r="K70" s="41">
        <v>2.1000000000000001E-2</v>
      </c>
    </row>
    <row r="71" spans="3:11">
      <c r="C71" s="88">
        <f t="shared" si="16"/>
        <v>2022</v>
      </c>
      <c r="D71" s="41">
        <v>2.4E-2</v>
      </c>
      <c r="E71" s="86"/>
      <c r="F71" s="88">
        <f t="shared" si="17"/>
        <v>2031</v>
      </c>
      <c r="G71" s="41">
        <v>0.02</v>
      </c>
      <c r="H71" s="86"/>
      <c r="I71" s="88">
        <f t="shared" si="18"/>
        <v>2040</v>
      </c>
      <c r="J71" s="88"/>
      <c r="K71" s="41">
        <v>2.1000000000000001E-2</v>
      </c>
    </row>
    <row r="72" spans="3:11" s="124" customFormat="1">
      <c r="C72" s="88">
        <f t="shared" si="16"/>
        <v>2023</v>
      </c>
      <c r="D72" s="41">
        <v>2.4E-2</v>
      </c>
      <c r="E72" s="87"/>
      <c r="F72" s="88">
        <f t="shared" si="17"/>
        <v>2032</v>
      </c>
      <c r="G72" s="41">
        <v>0.02</v>
      </c>
      <c r="H72" s="87"/>
      <c r="I72" s="88">
        <f t="shared" si="18"/>
        <v>2041</v>
      </c>
      <c r="J72" s="88"/>
      <c r="K72" s="41">
        <v>2.1999999999999999E-2</v>
      </c>
    </row>
    <row r="73" spans="3:11" s="124" customFormat="1">
      <c r="C73" s="88">
        <f t="shared" si="16"/>
        <v>2024</v>
      </c>
      <c r="D73" s="41">
        <v>2.3E-2</v>
      </c>
      <c r="E73" s="87"/>
      <c r="F73" s="88">
        <f t="shared" si="17"/>
        <v>2033</v>
      </c>
      <c r="G73" s="41">
        <v>0.02</v>
      </c>
      <c r="H73" s="87"/>
      <c r="I73" s="88">
        <f t="shared" si="18"/>
        <v>2042</v>
      </c>
      <c r="J73" s="88"/>
      <c r="K73" s="41">
        <v>2.1999999999999999E-2</v>
      </c>
    </row>
    <row r="74" spans="3:11" s="124" customFormat="1">
      <c r="C74" s="88">
        <f t="shared" si="16"/>
        <v>2025</v>
      </c>
      <c r="D74" s="41">
        <v>2.3E-2</v>
      </c>
      <c r="E74" s="87"/>
      <c r="F74" s="88">
        <f t="shared" si="17"/>
        <v>2034</v>
      </c>
      <c r="G74" s="41">
        <v>0.02</v>
      </c>
      <c r="H74" s="87"/>
      <c r="I74" s="88">
        <f t="shared" si="18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2" width="9.33203125" style="122"/>
    <col min="13" max="13" width="9.6640625" style="122" bestFit="1" customWidth="1"/>
    <col min="14" max="15" width="17" style="122" customWidth="1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133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25%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26" t="s">
        <v>84</v>
      </c>
      <c r="J5" s="17" t="s">
        <v>55</v>
      </c>
      <c r="K5" s="126" t="s">
        <v>72</v>
      </c>
      <c r="P5" s="126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Yakima Solar Resource-2032 - 25%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33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/>
      <c r="E11" s="133">
        <f>$C$56</f>
        <v>18.74175672264068</v>
      </c>
      <c r="F11" s="134">
        <f t="shared" ref="F11:F36" si="1">(D11+E11)/(8.76*$C$63)</f>
        <v>8.5922487771362537</v>
      </c>
      <c r="G11" s="134">
        <f>$C$58</f>
        <v>0</v>
      </c>
      <c r="H11" s="133">
        <f>$C$59</f>
        <v>0</v>
      </c>
      <c r="I11" s="135">
        <f t="shared" ref="I11:I36" si="2">F11+H11+G11</f>
        <v>8.5922487771362537</v>
      </c>
      <c r="J11" s="135">
        <f t="shared" ref="J11:J36" si="3">ROUND(I11*$C$63*8.76,2)</f>
        <v>18.739999999999998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19.170000000000002</v>
      </c>
      <c r="F12" s="135">
        <f t="shared" si="1"/>
        <v>8.7885789734279598</v>
      </c>
      <c r="G12" s="133">
        <f t="shared" ref="G12:H19" si="5">ROUND(G11*(1+$D67),2)</f>
        <v>0</v>
      </c>
      <c r="H12" s="143">
        <f t="shared" si="5"/>
        <v>0</v>
      </c>
      <c r="I12" s="135">
        <f t="shared" si="2"/>
        <v>8.7885789734279598</v>
      </c>
      <c r="J12" s="135">
        <f t="shared" si="3"/>
        <v>19.170000000000002</v>
      </c>
      <c r="K12" s="133">
        <f t="shared" ref="K12:K19" si="6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/>
      <c r="E13" s="133">
        <f t="shared" si="4"/>
        <v>19.59</v>
      </c>
      <c r="F13" s="135">
        <f t="shared" si="1"/>
        <v>8.9811299994498555</v>
      </c>
      <c r="G13" s="133">
        <f t="shared" si="5"/>
        <v>0</v>
      </c>
      <c r="H13" s="143">
        <f t="shared" si="5"/>
        <v>0</v>
      </c>
      <c r="I13" s="135">
        <f t="shared" si="2"/>
        <v>8.9811299994498555</v>
      </c>
      <c r="J13" s="135">
        <f t="shared" si="3"/>
        <v>19.59</v>
      </c>
      <c r="K13" s="133">
        <f t="shared" si="6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/>
      <c r="E14" s="133">
        <f t="shared" si="4"/>
        <v>20.079999999999998</v>
      </c>
      <c r="F14" s="135">
        <f t="shared" si="1"/>
        <v>9.2057728631420659</v>
      </c>
      <c r="G14" s="133">
        <f t="shared" si="5"/>
        <v>0</v>
      </c>
      <c r="H14" s="143">
        <f t="shared" si="5"/>
        <v>0</v>
      </c>
      <c r="I14" s="135">
        <f t="shared" si="2"/>
        <v>9.2057728631420659</v>
      </c>
      <c r="J14" s="135">
        <f t="shared" si="3"/>
        <v>20.079999999999998</v>
      </c>
      <c r="K14" s="133">
        <f t="shared" si="6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20.56</v>
      </c>
      <c r="F15" s="135">
        <f t="shared" si="1"/>
        <v>9.4258311785956614</v>
      </c>
      <c r="G15" s="133">
        <f t="shared" si="5"/>
        <v>0</v>
      </c>
      <c r="H15" s="143">
        <f t="shared" si="5"/>
        <v>0</v>
      </c>
      <c r="I15" s="135">
        <f t="shared" si="2"/>
        <v>9.4258311785956614</v>
      </c>
      <c r="J15" s="135">
        <f t="shared" si="3"/>
        <v>20.56</v>
      </c>
      <c r="K15" s="133">
        <f t="shared" si="6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21.05</v>
      </c>
      <c r="F16" s="135">
        <f t="shared" si="1"/>
        <v>9.6504740422878736</v>
      </c>
      <c r="G16" s="133">
        <f t="shared" si="5"/>
        <v>0</v>
      </c>
      <c r="H16" s="143">
        <f t="shared" si="5"/>
        <v>0</v>
      </c>
      <c r="I16" s="135">
        <f t="shared" si="2"/>
        <v>9.6504740422878736</v>
      </c>
      <c r="J16" s="135">
        <f t="shared" si="3"/>
        <v>21.05</v>
      </c>
      <c r="K16" s="133">
        <f t="shared" si="6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/>
      <c r="E17" s="133">
        <f t="shared" si="4"/>
        <v>21.56</v>
      </c>
      <c r="F17" s="135">
        <f t="shared" si="1"/>
        <v>9.8842860024573174</v>
      </c>
      <c r="G17" s="133">
        <f t="shared" si="5"/>
        <v>0</v>
      </c>
      <c r="H17" s="143">
        <f t="shared" si="5"/>
        <v>0</v>
      </c>
      <c r="I17" s="135">
        <f t="shared" si="2"/>
        <v>9.8842860024573174</v>
      </c>
      <c r="J17" s="135">
        <f t="shared" si="3"/>
        <v>21.56</v>
      </c>
      <c r="K17" s="133">
        <f t="shared" si="6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/>
      <c r="E18" s="133">
        <f t="shared" si="4"/>
        <v>22.06</v>
      </c>
      <c r="F18" s="135">
        <f t="shared" si="1"/>
        <v>10.113513414388146</v>
      </c>
      <c r="G18" s="133">
        <f t="shared" si="5"/>
        <v>0</v>
      </c>
      <c r="H18" s="143">
        <f t="shared" si="5"/>
        <v>0</v>
      </c>
      <c r="I18" s="135">
        <f t="shared" si="2"/>
        <v>10.113513414388146</v>
      </c>
      <c r="J18" s="135">
        <f t="shared" si="3"/>
        <v>22.06</v>
      </c>
      <c r="K18" s="133">
        <f t="shared" si="6"/>
        <v>0.74</v>
      </c>
      <c r="L18" s="124"/>
      <c r="P18" s="170"/>
    </row>
    <row r="19" spans="2:17">
      <c r="B19" s="141">
        <f t="shared" si="0"/>
        <v>2025</v>
      </c>
      <c r="C19" s="142"/>
      <c r="D19" s="133"/>
      <c r="E19" s="133">
        <f t="shared" si="4"/>
        <v>22.57</v>
      </c>
      <c r="F19" s="135">
        <f t="shared" si="1"/>
        <v>10.347325374557592</v>
      </c>
      <c r="G19" s="133">
        <f t="shared" si="5"/>
        <v>0</v>
      </c>
      <c r="H19" s="143">
        <f t="shared" si="5"/>
        <v>0</v>
      </c>
      <c r="I19" s="135">
        <f t="shared" si="2"/>
        <v>10.347325374557592</v>
      </c>
      <c r="J19" s="135">
        <f t="shared" si="3"/>
        <v>22.57</v>
      </c>
      <c r="K19" s="133">
        <f t="shared" si="6"/>
        <v>0.76</v>
      </c>
      <c r="L19" s="124"/>
      <c r="P19" s="170"/>
    </row>
    <row r="20" spans="2:17">
      <c r="B20" s="141">
        <f t="shared" si="0"/>
        <v>2026</v>
      </c>
      <c r="C20" s="142"/>
      <c r="D20" s="133"/>
      <c r="E20" s="133">
        <f t="shared" ref="E20:E28" si="7">ROUND(E19*(1+$G66),2)</f>
        <v>23.07</v>
      </c>
      <c r="F20" s="135">
        <f t="shared" si="1"/>
        <v>10.576552786488421</v>
      </c>
      <c r="G20" s="133">
        <f t="shared" ref="G20:H28" si="8">ROUND(G19*(1+$G66),2)</f>
        <v>0</v>
      </c>
      <c r="H20" s="143">
        <f t="shared" si="8"/>
        <v>0</v>
      </c>
      <c r="I20" s="135">
        <f t="shared" si="2"/>
        <v>10.576552786488421</v>
      </c>
      <c r="J20" s="135">
        <f t="shared" si="3"/>
        <v>23.07</v>
      </c>
      <c r="K20" s="133">
        <f t="shared" ref="K20:K28" si="9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/>
      <c r="E21" s="133">
        <f t="shared" si="7"/>
        <v>23.58</v>
      </c>
      <c r="F21" s="135">
        <f t="shared" si="1"/>
        <v>10.810364746657864</v>
      </c>
      <c r="G21" s="133">
        <f t="shared" si="8"/>
        <v>0</v>
      </c>
      <c r="H21" s="143">
        <f t="shared" si="8"/>
        <v>0</v>
      </c>
      <c r="I21" s="135">
        <f t="shared" si="2"/>
        <v>10.810364746657864</v>
      </c>
      <c r="J21" s="135">
        <f t="shared" si="3"/>
        <v>23.58</v>
      </c>
      <c r="K21" s="133">
        <f t="shared" si="9"/>
        <v>0.8</v>
      </c>
      <c r="L21" s="124"/>
      <c r="P21" s="170"/>
    </row>
    <row r="22" spans="2:17">
      <c r="B22" s="141">
        <f t="shared" si="0"/>
        <v>2028</v>
      </c>
      <c r="C22" s="142"/>
      <c r="D22" s="133"/>
      <c r="E22" s="133">
        <f t="shared" si="7"/>
        <v>24.1</v>
      </c>
      <c r="F22" s="135">
        <f t="shared" si="1"/>
        <v>11.048761255065926</v>
      </c>
      <c r="G22" s="133">
        <f t="shared" si="8"/>
        <v>0</v>
      </c>
      <c r="H22" s="143">
        <f t="shared" si="8"/>
        <v>0</v>
      </c>
      <c r="I22" s="135">
        <f t="shared" si="2"/>
        <v>11.048761255065926</v>
      </c>
      <c r="J22" s="135">
        <f t="shared" si="3"/>
        <v>24.1</v>
      </c>
      <c r="K22" s="133">
        <f t="shared" si="9"/>
        <v>0.82</v>
      </c>
      <c r="L22" s="124"/>
      <c r="P22" s="170"/>
    </row>
    <row r="23" spans="2:17">
      <c r="B23" s="141">
        <f t="shared" si="0"/>
        <v>2029</v>
      </c>
      <c r="C23" s="142"/>
      <c r="D23" s="133"/>
      <c r="E23" s="133">
        <f t="shared" si="7"/>
        <v>24.61</v>
      </c>
      <c r="F23" s="135">
        <f t="shared" si="1"/>
        <v>11.282573215235372</v>
      </c>
      <c r="G23" s="133">
        <f t="shared" si="8"/>
        <v>0</v>
      </c>
      <c r="H23" s="143">
        <f t="shared" si="8"/>
        <v>0</v>
      </c>
      <c r="I23" s="135">
        <f t="shared" si="2"/>
        <v>11.282573215235372</v>
      </c>
      <c r="J23" s="135">
        <f t="shared" si="3"/>
        <v>24.61</v>
      </c>
      <c r="K23" s="133">
        <f t="shared" si="9"/>
        <v>0.84</v>
      </c>
      <c r="L23" s="124"/>
      <c r="P23" s="170"/>
    </row>
    <row r="24" spans="2:17">
      <c r="B24" s="141">
        <f t="shared" si="0"/>
        <v>2030</v>
      </c>
      <c r="C24" s="132"/>
      <c r="D24" s="133"/>
      <c r="E24" s="133">
        <f t="shared" si="7"/>
        <v>25.1</v>
      </c>
      <c r="F24" s="135">
        <f t="shared" si="1"/>
        <v>11.507216078927584</v>
      </c>
      <c r="G24" s="133">
        <f t="shared" si="8"/>
        <v>0</v>
      </c>
      <c r="H24" s="143">
        <f t="shared" si="8"/>
        <v>0</v>
      </c>
      <c r="I24" s="135">
        <f t="shared" si="2"/>
        <v>11.507216078927584</v>
      </c>
      <c r="J24" s="135">
        <f t="shared" si="3"/>
        <v>25.1</v>
      </c>
      <c r="K24" s="133">
        <f t="shared" si="9"/>
        <v>0.86</v>
      </c>
      <c r="L24" s="124"/>
      <c r="P24" s="170"/>
    </row>
    <row r="25" spans="2:17">
      <c r="B25" s="141">
        <f t="shared" si="0"/>
        <v>2031</v>
      </c>
      <c r="C25" s="142"/>
      <c r="D25" s="133"/>
      <c r="E25" s="133">
        <f t="shared" si="7"/>
        <v>25.6</v>
      </c>
      <c r="F25" s="135">
        <f t="shared" si="1"/>
        <v>11.736443490858413</v>
      </c>
      <c r="G25" s="133">
        <f t="shared" si="8"/>
        <v>0</v>
      </c>
      <c r="H25" s="143">
        <f t="shared" si="8"/>
        <v>0</v>
      </c>
      <c r="I25" s="135">
        <f t="shared" si="2"/>
        <v>11.736443490858413</v>
      </c>
      <c r="J25" s="135">
        <f t="shared" si="3"/>
        <v>25.6</v>
      </c>
      <c r="K25" s="133">
        <f t="shared" si="9"/>
        <v>0.88</v>
      </c>
      <c r="L25" s="124"/>
      <c r="P25" s="170"/>
    </row>
    <row r="26" spans="2:17">
      <c r="B26" s="141">
        <f t="shared" si="0"/>
        <v>2032</v>
      </c>
      <c r="C26" s="132">
        <f>$C$55</f>
        <v>1178.9486841766204</v>
      </c>
      <c r="D26" s="133">
        <f>C26*$C$62</f>
        <v>91.010832830745514</v>
      </c>
      <c r="E26" s="133">
        <f t="shared" si="7"/>
        <v>26.11</v>
      </c>
      <c r="F26" s="135">
        <f t="shared" si="1"/>
        <v>53.694610785949976</v>
      </c>
      <c r="G26" s="133">
        <f t="shared" si="8"/>
        <v>0</v>
      </c>
      <c r="H26" s="143">
        <f t="shared" si="8"/>
        <v>0</v>
      </c>
      <c r="I26" s="135">
        <f t="shared" si="2"/>
        <v>53.694610785949976</v>
      </c>
      <c r="J26" s="135">
        <f t="shared" si="3"/>
        <v>117.12</v>
      </c>
      <c r="K26" s="133">
        <f t="shared" si="9"/>
        <v>0.9</v>
      </c>
      <c r="L26" s="124"/>
      <c r="P26" s="170"/>
    </row>
    <row r="27" spans="2:17">
      <c r="B27" s="141">
        <f t="shared" si="0"/>
        <v>2033</v>
      </c>
      <c r="C27" s="142"/>
      <c r="D27" s="133">
        <f t="shared" ref="D27:D28" si="10">ROUND(D26*(1+$G73),2)</f>
        <v>92.83</v>
      </c>
      <c r="E27" s="133">
        <f t="shared" si="7"/>
        <v>26.63</v>
      </c>
      <c r="F27" s="135">
        <f t="shared" si="1"/>
        <v>54.767013258513508</v>
      </c>
      <c r="G27" s="133">
        <f t="shared" si="8"/>
        <v>0</v>
      </c>
      <c r="H27" s="143">
        <f t="shared" si="8"/>
        <v>0</v>
      </c>
      <c r="I27" s="135">
        <f t="shared" si="2"/>
        <v>54.767013258513508</v>
      </c>
      <c r="J27" s="135">
        <f t="shared" si="3"/>
        <v>119.46</v>
      </c>
      <c r="K27" s="133">
        <f t="shared" si="9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si="10"/>
        <v>94.69</v>
      </c>
      <c r="E28" s="133">
        <f t="shared" si="7"/>
        <v>27.16</v>
      </c>
      <c r="F28" s="135">
        <f t="shared" si="1"/>
        <v>55.862720287542864</v>
      </c>
      <c r="G28" s="133">
        <f t="shared" si="8"/>
        <v>0</v>
      </c>
      <c r="H28" s="143">
        <f t="shared" si="8"/>
        <v>0</v>
      </c>
      <c r="I28" s="135">
        <f t="shared" si="2"/>
        <v>55.862720287542864</v>
      </c>
      <c r="J28" s="135">
        <f t="shared" si="3"/>
        <v>121.85</v>
      </c>
      <c r="K28" s="133">
        <f t="shared" si="9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11">ROUND(D28*(1+$K66),2)</f>
        <v>96.58</v>
      </c>
      <c r="E29" s="133">
        <f t="shared" si="11"/>
        <v>27.7</v>
      </c>
      <c r="F29" s="135">
        <f t="shared" si="1"/>
        <v>56.976765509526693</v>
      </c>
      <c r="G29" s="133">
        <f t="shared" ref="G29:H36" si="12">ROUND(G28*(1+$K66),2)</f>
        <v>0</v>
      </c>
      <c r="H29" s="143">
        <f t="shared" si="12"/>
        <v>0</v>
      </c>
      <c r="I29" s="135">
        <f t="shared" si="2"/>
        <v>56.976765509526693</v>
      </c>
      <c r="J29" s="135">
        <f t="shared" si="3"/>
        <v>124.28</v>
      </c>
      <c r="K29" s="133">
        <f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1"/>
        <v>98.51</v>
      </c>
      <c r="E30" s="133">
        <f t="shared" si="11"/>
        <v>28.25</v>
      </c>
      <c r="F30" s="135">
        <f t="shared" si="1"/>
        <v>58.113733472703608</v>
      </c>
      <c r="G30" s="133">
        <f t="shared" si="12"/>
        <v>0</v>
      </c>
      <c r="H30" s="143">
        <f t="shared" si="12"/>
        <v>0</v>
      </c>
      <c r="I30" s="135">
        <f t="shared" si="2"/>
        <v>58.113733472703608</v>
      </c>
      <c r="J30" s="135">
        <f t="shared" si="3"/>
        <v>126.76</v>
      </c>
      <c r="K30" s="133">
        <f t="shared" ref="K30:K36" si="13">ROUND(K29*(1+$K67),2)</f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1"/>
        <v>100.58</v>
      </c>
      <c r="E31" s="133">
        <f t="shared" si="11"/>
        <v>28.84</v>
      </c>
      <c r="F31" s="135">
        <f t="shared" si="1"/>
        <v>59.333223304175604</v>
      </c>
      <c r="G31" s="133">
        <f t="shared" si="12"/>
        <v>0</v>
      </c>
      <c r="H31" s="143">
        <f t="shared" si="12"/>
        <v>0</v>
      </c>
      <c r="I31" s="135">
        <f t="shared" si="2"/>
        <v>59.333223304175604</v>
      </c>
      <c r="J31" s="135">
        <f t="shared" si="3"/>
        <v>129.41999999999999</v>
      </c>
      <c r="K31" s="133">
        <f t="shared" si="13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1"/>
        <v>102.69</v>
      </c>
      <c r="E32" s="133">
        <f t="shared" si="11"/>
        <v>29.45</v>
      </c>
      <c r="F32" s="135">
        <f t="shared" si="1"/>
        <v>60.580220425079311</v>
      </c>
      <c r="G32" s="133">
        <f t="shared" si="12"/>
        <v>0</v>
      </c>
      <c r="H32" s="143">
        <f t="shared" si="12"/>
        <v>0</v>
      </c>
      <c r="I32" s="135">
        <f t="shared" si="2"/>
        <v>60.580220425079311</v>
      </c>
      <c r="J32" s="135">
        <f t="shared" si="3"/>
        <v>132.13999999999999</v>
      </c>
      <c r="K32" s="133">
        <f t="shared" si="13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1"/>
        <v>104.85</v>
      </c>
      <c r="E33" s="133">
        <f t="shared" si="11"/>
        <v>30.07</v>
      </c>
      <c r="F33" s="135">
        <f t="shared" si="1"/>
        <v>61.854724835414714</v>
      </c>
      <c r="G33" s="133">
        <f t="shared" si="12"/>
        <v>0</v>
      </c>
      <c r="H33" s="143">
        <f t="shared" si="12"/>
        <v>0</v>
      </c>
      <c r="I33" s="135">
        <f t="shared" si="2"/>
        <v>61.854724835414714</v>
      </c>
      <c r="J33" s="135">
        <f t="shared" si="3"/>
        <v>134.91999999999999</v>
      </c>
      <c r="K33" s="133">
        <f t="shared" si="13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1"/>
        <v>107.05</v>
      </c>
      <c r="E34" s="133">
        <f t="shared" si="11"/>
        <v>30.7</v>
      </c>
      <c r="F34" s="135">
        <f t="shared" si="1"/>
        <v>63.15215198694321</v>
      </c>
      <c r="G34" s="133">
        <f t="shared" si="12"/>
        <v>0</v>
      </c>
      <c r="H34" s="143">
        <f t="shared" si="12"/>
        <v>0</v>
      </c>
      <c r="I34" s="135">
        <f t="shared" si="2"/>
        <v>63.15215198694321</v>
      </c>
      <c r="J34" s="135">
        <f t="shared" si="3"/>
        <v>137.75</v>
      </c>
      <c r="K34" s="133">
        <f t="shared" si="13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1"/>
        <v>109.41</v>
      </c>
      <c r="E35" s="133">
        <f t="shared" si="11"/>
        <v>31.38</v>
      </c>
      <c r="F35" s="135">
        <f t="shared" si="1"/>
        <v>64.545854651482642</v>
      </c>
      <c r="G35" s="133">
        <f t="shared" si="12"/>
        <v>0</v>
      </c>
      <c r="H35" s="143">
        <f t="shared" si="12"/>
        <v>0</v>
      </c>
      <c r="I35" s="135">
        <f t="shared" si="2"/>
        <v>64.545854651482642</v>
      </c>
      <c r="J35" s="135">
        <f t="shared" si="3"/>
        <v>140.79</v>
      </c>
      <c r="K35" s="133">
        <f t="shared" si="13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1"/>
        <v>111.82</v>
      </c>
      <c r="E36" s="133">
        <f t="shared" si="11"/>
        <v>32.07</v>
      </c>
      <c r="F36" s="135">
        <f t="shared" si="1"/>
        <v>65.967064605453771</v>
      </c>
      <c r="G36" s="133">
        <f t="shared" si="12"/>
        <v>0</v>
      </c>
      <c r="H36" s="143">
        <f t="shared" si="12"/>
        <v>0</v>
      </c>
      <c r="I36" s="135">
        <f t="shared" si="2"/>
        <v>65.967064605453771</v>
      </c>
      <c r="J36" s="135">
        <f t="shared" si="3"/>
        <v>143.88999999999999</v>
      </c>
      <c r="K36" s="133">
        <f t="shared" si="13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tr">
        <f>'Table 3 YK Solar 2030'!D44</f>
        <v>Plant Costs  - 2017 IRP Update - Table 5.4 &amp; 5.5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24.9%)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Yakima Solar Resource-2032 - 25%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82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131</v>
      </c>
      <c r="C55" s="186">
        <v>1178.9486841766204</v>
      </c>
      <c r="D55" s="122" t="s">
        <v>75</v>
      </c>
      <c r="H55" s="122" t="s">
        <v>9</v>
      </c>
    </row>
    <row r="56" spans="2:24">
      <c r="B56" s="86" t="s">
        <v>112</v>
      </c>
      <c r="C56" s="155">
        <v>18.74175672264068</v>
      </c>
      <c r="D56" s="122" t="s">
        <v>78</v>
      </c>
      <c r="H56" s="122" t="s">
        <v>9</v>
      </c>
    </row>
    <row r="57" spans="2:24">
      <c r="B57" s="86" t="s">
        <v>112</v>
      </c>
      <c r="C57" s="160">
        <v>0.61668809999999996</v>
      </c>
      <c r="D57" s="122" t="s">
        <v>83</v>
      </c>
      <c r="H57" s="122" t="s">
        <v>80</v>
      </c>
    </row>
    <row r="58" spans="2:24">
      <c r="B58" s="86" t="s">
        <v>112</v>
      </c>
      <c r="C58" s="155">
        <v>0</v>
      </c>
      <c r="D58" s="122" t="s">
        <v>79</v>
      </c>
      <c r="H58" s="122" t="s">
        <v>80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158"/>
      <c r="L59" s="158"/>
      <c r="N59" s="158"/>
      <c r="O59" s="17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N60" s="158"/>
      <c r="O60" s="17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N62" s="157"/>
      <c r="O62" s="52"/>
      <c r="P62" s="159"/>
    </row>
    <row r="63" spans="2:24">
      <c r="C63" s="169">
        <v>0.249</v>
      </c>
      <c r="D63" s="122" t="s">
        <v>39</v>
      </c>
      <c r="N63" s="158"/>
      <c r="O63" s="178"/>
      <c r="P63" s="172"/>
    </row>
    <row r="64" spans="2:24" ht="13.5" thickBot="1">
      <c r="D64" s="161"/>
      <c r="N64" s="158"/>
      <c r="O64" s="17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4">C66+1</f>
        <v>2018</v>
      </c>
      <c r="D67" s="41">
        <v>2.3E-2</v>
      </c>
      <c r="E67" s="86"/>
      <c r="F67" s="88">
        <f t="shared" ref="F67:F74" si="15">F66+1</f>
        <v>2027</v>
      </c>
      <c r="G67" s="41">
        <v>2.1999999999999999E-2</v>
      </c>
      <c r="H67" s="86"/>
      <c r="I67" s="88">
        <f t="shared" ref="I67:I74" si="16">I66+1</f>
        <v>2036</v>
      </c>
      <c r="J67" s="88"/>
      <c r="K67" s="41">
        <v>0.02</v>
      </c>
    </row>
    <row r="68" spans="3:11">
      <c r="C68" s="88">
        <f t="shared" si="14"/>
        <v>2019</v>
      </c>
      <c r="D68" s="41">
        <v>2.1999999999999999E-2</v>
      </c>
      <c r="E68" s="86"/>
      <c r="F68" s="88">
        <f t="shared" si="15"/>
        <v>2028</v>
      </c>
      <c r="G68" s="41">
        <v>2.1999999999999999E-2</v>
      </c>
      <c r="H68" s="86"/>
      <c r="I68" s="88">
        <f t="shared" si="16"/>
        <v>2037</v>
      </c>
      <c r="J68" s="88"/>
      <c r="K68" s="41">
        <v>2.1000000000000001E-2</v>
      </c>
    </row>
    <row r="69" spans="3:11">
      <c r="C69" s="88">
        <f t="shared" si="14"/>
        <v>2020</v>
      </c>
      <c r="D69" s="41">
        <v>2.5000000000000001E-2</v>
      </c>
      <c r="E69" s="86"/>
      <c r="F69" s="88">
        <f t="shared" si="15"/>
        <v>2029</v>
      </c>
      <c r="G69" s="41">
        <v>2.1000000000000001E-2</v>
      </c>
      <c r="H69" s="86"/>
      <c r="I69" s="88">
        <f t="shared" si="16"/>
        <v>2038</v>
      </c>
      <c r="J69" s="88"/>
      <c r="K69" s="41">
        <v>2.1000000000000001E-2</v>
      </c>
    </row>
    <row r="70" spans="3:11">
      <c r="C70" s="88">
        <f t="shared" si="14"/>
        <v>2021</v>
      </c>
      <c r="D70" s="41">
        <v>2.4E-2</v>
      </c>
      <c r="E70" s="86"/>
      <c r="F70" s="88">
        <f t="shared" si="15"/>
        <v>2030</v>
      </c>
      <c r="G70" s="41">
        <v>0.02</v>
      </c>
      <c r="H70" s="86"/>
      <c r="I70" s="88">
        <f t="shared" si="16"/>
        <v>2039</v>
      </c>
      <c r="J70" s="88"/>
      <c r="K70" s="41">
        <v>2.1000000000000001E-2</v>
      </c>
    </row>
    <row r="71" spans="3:11">
      <c r="C71" s="88">
        <f t="shared" si="14"/>
        <v>2022</v>
      </c>
      <c r="D71" s="41">
        <v>2.4E-2</v>
      </c>
      <c r="E71" s="86"/>
      <c r="F71" s="88">
        <f t="shared" si="15"/>
        <v>2031</v>
      </c>
      <c r="G71" s="41">
        <v>0.02</v>
      </c>
      <c r="H71" s="86"/>
      <c r="I71" s="88">
        <f t="shared" si="16"/>
        <v>2040</v>
      </c>
      <c r="J71" s="88"/>
      <c r="K71" s="41">
        <v>2.1000000000000001E-2</v>
      </c>
    </row>
    <row r="72" spans="3:11" s="124" customFormat="1">
      <c r="C72" s="88">
        <f t="shared" si="14"/>
        <v>2023</v>
      </c>
      <c r="D72" s="41">
        <v>2.4E-2</v>
      </c>
      <c r="E72" s="87"/>
      <c r="F72" s="88">
        <f t="shared" si="15"/>
        <v>2032</v>
      </c>
      <c r="G72" s="41">
        <v>0.02</v>
      </c>
      <c r="H72" s="87"/>
      <c r="I72" s="88">
        <f t="shared" si="16"/>
        <v>2041</v>
      </c>
      <c r="J72" s="88"/>
      <c r="K72" s="41">
        <v>2.1999999999999999E-2</v>
      </c>
    </row>
    <row r="73" spans="3:11" s="124" customFormat="1">
      <c r="C73" s="88">
        <f t="shared" si="14"/>
        <v>2024</v>
      </c>
      <c r="D73" s="41">
        <v>2.3E-2</v>
      </c>
      <c r="E73" s="87"/>
      <c r="F73" s="88">
        <f t="shared" si="15"/>
        <v>2033</v>
      </c>
      <c r="G73" s="41">
        <v>0.02</v>
      </c>
      <c r="H73" s="87"/>
      <c r="I73" s="88">
        <f t="shared" si="16"/>
        <v>2042</v>
      </c>
      <c r="J73" s="88"/>
      <c r="K73" s="41">
        <v>2.1999999999999999E-2</v>
      </c>
    </row>
    <row r="74" spans="3:11" s="124" customFormat="1">
      <c r="C74" s="88">
        <f t="shared" si="14"/>
        <v>2025</v>
      </c>
      <c r="D74" s="41">
        <v>2.3E-2</v>
      </c>
      <c r="E74" s="87"/>
      <c r="F74" s="88">
        <f t="shared" si="15"/>
        <v>2034</v>
      </c>
      <c r="G74" s="41">
        <v>0.02</v>
      </c>
      <c r="H74" s="87"/>
      <c r="I74" s="88">
        <f t="shared" si="16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2" width="9.33203125" style="122"/>
    <col min="13" max="13" width="9.6640625" style="122" bestFit="1" customWidth="1"/>
    <col min="14" max="15" width="17" style="122" customWidth="1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134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25%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26" t="s">
        <v>84</v>
      </c>
      <c r="J5" s="17" t="s">
        <v>55</v>
      </c>
      <c r="K5" s="126" t="s">
        <v>72</v>
      </c>
      <c r="P5" s="126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Yakima Solar Resource-2033 - 25%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33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/>
      <c r="E11" s="133">
        <f>$C$56</f>
        <v>18.74175672264068</v>
      </c>
      <c r="F11" s="134">
        <f t="shared" ref="F11:F36" si="1">(D11+E11)/(8.76*$C$63)</f>
        <v>8.5922487771362537</v>
      </c>
      <c r="G11" s="134">
        <f>$C$58</f>
        <v>0</v>
      </c>
      <c r="H11" s="133">
        <f>$C$59</f>
        <v>0</v>
      </c>
      <c r="I11" s="135">
        <f t="shared" ref="I11:I36" si="2">F11+H11+G11</f>
        <v>8.5922487771362537</v>
      </c>
      <c r="J11" s="135">
        <f t="shared" ref="J11:J36" si="3">ROUND(I11*$C$63*8.76,2)</f>
        <v>18.739999999999998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19.170000000000002</v>
      </c>
      <c r="F12" s="135">
        <f t="shared" si="1"/>
        <v>8.7885789734279598</v>
      </c>
      <c r="G12" s="133">
        <f t="shared" ref="G12:H19" si="5">ROUND(G11*(1+$D67),2)</f>
        <v>0</v>
      </c>
      <c r="H12" s="143">
        <f t="shared" si="5"/>
        <v>0</v>
      </c>
      <c r="I12" s="135">
        <f t="shared" si="2"/>
        <v>8.7885789734279598</v>
      </c>
      <c r="J12" s="135">
        <f t="shared" si="3"/>
        <v>19.170000000000002</v>
      </c>
      <c r="K12" s="133">
        <f t="shared" ref="K12:K19" si="6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/>
      <c r="E13" s="133">
        <f t="shared" si="4"/>
        <v>19.59</v>
      </c>
      <c r="F13" s="135">
        <f t="shared" si="1"/>
        <v>8.9811299994498555</v>
      </c>
      <c r="G13" s="133">
        <f t="shared" si="5"/>
        <v>0</v>
      </c>
      <c r="H13" s="143">
        <f t="shared" si="5"/>
        <v>0</v>
      </c>
      <c r="I13" s="135">
        <f t="shared" si="2"/>
        <v>8.9811299994498555</v>
      </c>
      <c r="J13" s="135">
        <f t="shared" si="3"/>
        <v>19.59</v>
      </c>
      <c r="K13" s="133">
        <f t="shared" si="6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/>
      <c r="E14" s="133">
        <f t="shared" si="4"/>
        <v>20.079999999999998</v>
      </c>
      <c r="F14" s="135">
        <f t="shared" si="1"/>
        <v>9.2057728631420659</v>
      </c>
      <c r="G14" s="133">
        <f t="shared" si="5"/>
        <v>0</v>
      </c>
      <c r="H14" s="143">
        <f t="shared" si="5"/>
        <v>0</v>
      </c>
      <c r="I14" s="135">
        <f t="shared" si="2"/>
        <v>9.2057728631420659</v>
      </c>
      <c r="J14" s="135">
        <f t="shared" si="3"/>
        <v>20.079999999999998</v>
      </c>
      <c r="K14" s="133">
        <f t="shared" si="6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20.56</v>
      </c>
      <c r="F15" s="135">
        <f t="shared" si="1"/>
        <v>9.4258311785956614</v>
      </c>
      <c r="G15" s="133">
        <f t="shared" si="5"/>
        <v>0</v>
      </c>
      <c r="H15" s="143">
        <f t="shared" si="5"/>
        <v>0</v>
      </c>
      <c r="I15" s="135">
        <f t="shared" si="2"/>
        <v>9.4258311785956614</v>
      </c>
      <c r="J15" s="135">
        <f t="shared" si="3"/>
        <v>20.56</v>
      </c>
      <c r="K15" s="133">
        <f t="shared" si="6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21.05</v>
      </c>
      <c r="F16" s="135">
        <f t="shared" si="1"/>
        <v>9.6504740422878736</v>
      </c>
      <c r="G16" s="133">
        <f t="shared" si="5"/>
        <v>0</v>
      </c>
      <c r="H16" s="143">
        <f t="shared" si="5"/>
        <v>0</v>
      </c>
      <c r="I16" s="135">
        <f t="shared" si="2"/>
        <v>9.6504740422878736</v>
      </c>
      <c r="J16" s="135">
        <f t="shared" si="3"/>
        <v>21.05</v>
      </c>
      <c r="K16" s="133">
        <f t="shared" si="6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/>
      <c r="E17" s="133">
        <f t="shared" si="4"/>
        <v>21.56</v>
      </c>
      <c r="F17" s="135">
        <f t="shared" si="1"/>
        <v>9.8842860024573174</v>
      </c>
      <c r="G17" s="133">
        <f t="shared" si="5"/>
        <v>0</v>
      </c>
      <c r="H17" s="143">
        <f t="shared" si="5"/>
        <v>0</v>
      </c>
      <c r="I17" s="135">
        <f t="shared" si="2"/>
        <v>9.8842860024573174</v>
      </c>
      <c r="J17" s="135">
        <f t="shared" si="3"/>
        <v>21.56</v>
      </c>
      <c r="K17" s="133">
        <f t="shared" si="6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/>
      <c r="E18" s="133">
        <f t="shared" si="4"/>
        <v>22.06</v>
      </c>
      <c r="F18" s="135">
        <f t="shared" si="1"/>
        <v>10.113513414388146</v>
      </c>
      <c r="G18" s="133">
        <f t="shared" si="5"/>
        <v>0</v>
      </c>
      <c r="H18" s="143">
        <f t="shared" si="5"/>
        <v>0</v>
      </c>
      <c r="I18" s="135">
        <f t="shared" si="2"/>
        <v>10.113513414388146</v>
      </c>
      <c r="J18" s="135">
        <f t="shared" si="3"/>
        <v>22.06</v>
      </c>
      <c r="K18" s="133">
        <f t="shared" si="6"/>
        <v>0.74</v>
      </c>
      <c r="L18" s="124"/>
      <c r="P18" s="170"/>
    </row>
    <row r="19" spans="2:17">
      <c r="B19" s="141">
        <f t="shared" si="0"/>
        <v>2025</v>
      </c>
      <c r="C19" s="142"/>
      <c r="D19" s="133"/>
      <c r="E19" s="133">
        <f t="shared" si="4"/>
        <v>22.57</v>
      </c>
      <c r="F19" s="135">
        <f t="shared" si="1"/>
        <v>10.347325374557592</v>
      </c>
      <c r="G19" s="133">
        <f t="shared" si="5"/>
        <v>0</v>
      </c>
      <c r="H19" s="143">
        <f t="shared" si="5"/>
        <v>0</v>
      </c>
      <c r="I19" s="135">
        <f t="shared" si="2"/>
        <v>10.347325374557592</v>
      </c>
      <c r="J19" s="135">
        <f t="shared" si="3"/>
        <v>22.57</v>
      </c>
      <c r="K19" s="133">
        <f t="shared" si="6"/>
        <v>0.76</v>
      </c>
      <c r="L19" s="124"/>
      <c r="P19" s="170"/>
    </row>
    <row r="20" spans="2:17">
      <c r="B20" s="141">
        <f t="shared" si="0"/>
        <v>2026</v>
      </c>
      <c r="C20" s="142"/>
      <c r="D20" s="133"/>
      <c r="E20" s="133">
        <f t="shared" ref="E20:E28" si="7">ROUND(E19*(1+$G66),2)</f>
        <v>23.07</v>
      </c>
      <c r="F20" s="135">
        <f t="shared" si="1"/>
        <v>10.576552786488421</v>
      </c>
      <c r="G20" s="133">
        <f t="shared" ref="G20:H28" si="8">ROUND(G19*(1+$G66),2)</f>
        <v>0</v>
      </c>
      <c r="H20" s="143">
        <f t="shared" si="8"/>
        <v>0</v>
      </c>
      <c r="I20" s="135">
        <f t="shared" si="2"/>
        <v>10.576552786488421</v>
      </c>
      <c r="J20" s="135">
        <f t="shared" si="3"/>
        <v>23.07</v>
      </c>
      <c r="K20" s="133">
        <f t="shared" ref="K20:K28" si="9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/>
      <c r="E21" s="133">
        <f t="shared" si="7"/>
        <v>23.58</v>
      </c>
      <c r="F21" s="135">
        <f t="shared" si="1"/>
        <v>10.810364746657864</v>
      </c>
      <c r="G21" s="133">
        <f t="shared" si="8"/>
        <v>0</v>
      </c>
      <c r="H21" s="143">
        <f t="shared" si="8"/>
        <v>0</v>
      </c>
      <c r="I21" s="135">
        <f t="shared" si="2"/>
        <v>10.810364746657864</v>
      </c>
      <c r="J21" s="135">
        <f t="shared" si="3"/>
        <v>23.58</v>
      </c>
      <c r="K21" s="133">
        <f t="shared" si="9"/>
        <v>0.8</v>
      </c>
      <c r="L21" s="124"/>
      <c r="P21" s="170"/>
    </row>
    <row r="22" spans="2:17">
      <c r="B22" s="141">
        <f t="shared" si="0"/>
        <v>2028</v>
      </c>
      <c r="C22" s="142"/>
      <c r="D22" s="133"/>
      <c r="E22" s="133">
        <f t="shared" si="7"/>
        <v>24.1</v>
      </c>
      <c r="F22" s="135">
        <f t="shared" si="1"/>
        <v>11.048761255065926</v>
      </c>
      <c r="G22" s="133">
        <f t="shared" si="8"/>
        <v>0</v>
      </c>
      <c r="H22" s="143">
        <f t="shared" si="8"/>
        <v>0</v>
      </c>
      <c r="I22" s="135">
        <f t="shared" si="2"/>
        <v>11.048761255065926</v>
      </c>
      <c r="J22" s="135">
        <f t="shared" si="3"/>
        <v>24.1</v>
      </c>
      <c r="K22" s="133">
        <f t="shared" si="9"/>
        <v>0.82</v>
      </c>
      <c r="L22" s="124"/>
      <c r="P22" s="170"/>
    </row>
    <row r="23" spans="2:17">
      <c r="B23" s="141">
        <f t="shared" si="0"/>
        <v>2029</v>
      </c>
      <c r="C23" s="142"/>
      <c r="D23" s="133"/>
      <c r="E23" s="133">
        <f t="shared" si="7"/>
        <v>24.61</v>
      </c>
      <c r="F23" s="135">
        <f t="shared" si="1"/>
        <v>11.282573215235372</v>
      </c>
      <c r="G23" s="133">
        <f t="shared" si="8"/>
        <v>0</v>
      </c>
      <c r="H23" s="143">
        <f t="shared" si="8"/>
        <v>0</v>
      </c>
      <c r="I23" s="135">
        <f t="shared" si="2"/>
        <v>11.282573215235372</v>
      </c>
      <c r="J23" s="135">
        <f t="shared" si="3"/>
        <v>24.61</v>
      </c>
      <c r="K23" s="133">
        <f t="shared" si="9"/>
        <v>0.84</v>
      </c>
      <c r="L23" s="124"/>
      <c r="P23" s="170"/>
    </row>
    <row r="24" spans="2:17">
      <c r="B24" s="141">
        <f t="shared" si="0"/>
        <v>2030</v>
      </c>
      <c r="C24" s="132"/>
      <c r="D24" s="133"/>
      <c r="E24" s="133">
        <f t="shared" si="7"/>
        <v>25.1</v>
      </c>
      <c r="F24" s="135">
        <f t="shared" si="1"/>
        <v>11.507216078927584</v>
      </c>
      <c r="G24" s="133">
        <f t="shared" si="8"/>
        <v>0</v>
      </c>
      <c r="H24" s="143">
        <f t="shared" si="8"/>
        <v>0</v>
      </c>
      <c r="I24" s="135">
        <f t="shared" si="2"/>
        <v>11.507216078927584</v>
      </c>
      <c r="J24" s="135">
        <f t="shared" si="3"/>
        <v>25.1</v>
      </c>
      <c r="K24" s="133">
        <f t="shared" si="9"/>
        <v>0.86</v>
      </c>
      <c r="L24" s="124"/>
      <c r="P24" s="170"/>
    </row>
    <row r="25" spans="2:17">
      <c r="B25" s="141">
        <f t="shared" si="0"/>
        <v>2031</v>
      </c>
      <c r="C25" s="142"/>
      <c r="D25" s="133"/>
      <c r="E25" s="133">
        <f t="shared" si="7"/>
        <v>25.6</v>
      </c>
      <c r="F25" s="135">
        <f t="shared" si="1"/>
        <v>11.736443490858413</v>
      </c>
      <c r="G25" s="133">
        <f t="shared" si="8"/>
        <v>0</v>
      </c>
      <c r="H25" s="143">
        <f t="shared" si="8"/>
        <v>0</v>
      </c>
      <c r="I25" s="135">
        <f t="shared" si="2"/>
        <v>11.736443490858413</v>
      </c>
      <c r="J25" s="135">
        <f t="shared" si="3"/>
        <v>25.6</v>
      </c>
      <c r="K25" s="133">
        <f t="shared" si="9"/>
        <v>0.88</v>
      </c>
      <c r="L25" s="124"/>
      <c r="P25" s="170"/>
    </row>
    <row r="26" spans="2:17">
      <c r="B26" s="141">
        <f t="shared" si="0"/>
        <v>2032</v>
      </c>
      <c r="C26" s="132"/>
      <c r="D26" s="133"/>
      <c r="E26" s="133">
        <f t="shared" si="7"/>
        <v>26.11</v>
      </c>
      <c r="F26" s="135">
        <f t="shared" si="1"/>
        <v>11.970255451027857</v>
      </c>
      <c r="G26" s="133">
        <f t="shared" si="8"/>
        <v>0</v>
      </c>
      <c r="H26" s="143">
        <f t="shared" si="8"/>
        <v>0</v>
      </c>
      <c r="I26" s="135">
        <f t="shared" si="2"/>
        <v>11.970255451027857</v>
      </c>
      <c r="J26" s="135">
        <f t="shared" si="3"/>
        <v>26.11</v>
      </c>
      <c r="K26" s="133">
        <f t="shared" si="9"/>
        <v>0.9</v>
      </c>
      <c r="L26" s="124"/>
      <c r="P26" s="170"/>
    </row>
    <row r="27" spans="2:17">
      <c r="B27" s="141">
        <f t="shared" si="0"/>
        <v>2033</v>
      </c>
      <c r="C27" s="132">
        <f>$C$55</f>
        <v>1172.2286766768136</v>
      </c>
      <c r="D27" s="133">
        <f>C27*$C$62</f>
        <v>90.49207108361027</v>
      </c>
      <c r="E27" s="133">
        <f t="shared" si="7"/>
        <v>26.63</v>
      </c>
      <c r="F27" s="135">
        <f t="shared" si="1"/>
        <v>53.695178468948981</v>
      </c>
      <c r="G27" s="133">
        <f t="shared" si="8"/>
        <v>0</v>
      </c>
      <c r="H27" s="143">
        <f t="shared" si="8"/>
        <v>0</v>
      </c>
      <c r="I27" s="135">
        <f t="shared" si="2"/>
        <v>53.695178468948981</v>
      </c>
      <c r="J27" s="135">
        <f t="shared" si="3"/>
        <v>117.12</v>
      </c>
      <c r="K27" s="133">
        <f t="shared" si="9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ref="D28" si="10">ROUND(D27*(1+$G74),2)</f>
        <v>92.3</v>
      </c>
      <c r="E28" s="133">
        <f t="shared" si="7"/>
        <v>27.16</v>
      </c>
      <c r="F28" s="135">
        <f t="shared" si="1"/>
        <v>54.767013258513508</v>
      </c>
      <c r="G28" s="133">
        <f t="shared" si="8"/>
        <v>0</v>
      </c>
      <c r="H28" s="143">
        <f t="shared" si="8"/>
        <v>0</v>
      </c>
      <c r="I28" s="135">
        <f t="shared" si="2"/>
        <v>54.767013258513508</v>
      </c>
      <c r="J28" s="135">
        <f t="shared" si="3"/>
        <v>119.46</v>
      </c>
      <c r="K28" s="133">
        <f t="shared" si="9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11">ROUND(D28*(1+$K66),2)</f>
        <v>94.15</v>
      </c>
      <c r="E29" s="133">
        <f t="shared" si="11"/>
        <v>27.7</v>
      </c>
      <c r="F29" s="135">
        <f t="shared" si="1"/>
        <v>55.862720287542871</v>
      </c>
      <c r="G29" s="133">
        <f t="shared" ref="G29:H36" si="12">ROUND(G28*(1+$K66),2)</f>
        <v>0</v>
      </c>
      <c r="H29" s="143">
        <f t="shared" si="12"/>
        <v>0</v>
      </c>
      <c r="I29" s="135">
        <f t="shared" si="2"/>
        <v>55.862720287542871</v>
      </c>
      <c r="J29" s="135">
        <f t="shared" si="3"/>
        <v>121.85</v>
      </c>
      <c r="K29" s="133">
        <f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1"/>
        <v>96.03</v>
      </c>
      <c r="E30" s="133">
        <f t="shared" si="11"/>
        <v>28.25</v>
      </c>
      <c r="F30" s="135">
        <f t="shared" si="1"/>
        <v>56.976765509526693</v>
      </c>
      <c r="G30" s="133">
        <f t="shared" si="12"/>
        <v>0</v>
      </c>
      <c r="H30" s="143">
        <f t="shared" si="12"/>
        <v>0</v>
      </c>
      <c r="I30" s="135">
        <f t="shared" si="2"/>
        <v>56.976765509526693</v>
      </c>
      <c r="J30" s="135">
        <f t="shared" si="3"/>
        <v>124.28</v>
      </c>
      <c r="K30" s="133">
        <f t="shared" ref="K30:K36" si="13">ROUND(K29*(1+$K67),2)</f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1"/>
        <v>98.05</v>
      </c>
      <c r="E31" s="133">
        <f t="shared" si="11"/>
        <v>28.84</v>
      </c>
      <c r="F31" s="135">
        <f t="shared" si="1"/>
        <v>58.173332599805619</v>
      </c>
      <c r="G31" s="133">
        <f t="shared" si="12"/>
        <v>0</v>
      </c>
      <c r="H31" s="143">
        <f t="shared" si="12"/>
        <v>0</v>
      </c>
      <c r="I31" s="135">
        <f t="shared" si="2"/>
        <v>58.173332599805619</v>
      </c>
      <c r="J31" s="135">
        <f t="shared" si="3"/>
        <v>126.89</v>
      </c>
      <c r="K31" s="133">
        <f t="shared" si="13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1"/>
        <v>100.11</v>
      </c>
      <c r="E32" s="133">
        <f t="shared" si="11"/>
        <v>29.45</v>
      </c>
      <c r="F32" s="135">
        <f t="shared" si="1"/>
        <v>59.397406979516241</v>
      </c>
      <c r="G32" s="133">
        <f t="shared" si="12"/>
        <v>0</v>
      </c>
      <c r="H32" s="143">
        <f t="shared" si="12"/>
        <v>0</v>
      </c>
      <c r="I32" s="135">
        <f t="shared" si="2"/>
        <v>59.397406979516241</v>
      </c>
      <c r="J32" s="135">
        <f t="shared" si="3"/>
        <v>129.56</v>
      </c>
      <c r="K32" s="133">
        <f t="shared" si="13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1"/>
        <v>102.21</v>
      </c>
      <c r="E33" s="133">
        <f t="shared" si="11"/>
        <v>30.07</v>
      </c>
      <c r="F33" s="135">
        <f t="shared" si="1"/>
        <v>60.644404100419948</v>
      </c>
      <c r="G33" s="133">
        <f t="shared" si="12"/>
        <v>0</v>
      </c>
      <c r="H33" s="143">
        <f t="shared" si="12"/>
        <v>0</v>
      </c>
      <c r="I33" s="135">
        <f t="shared" si="2"/>
        <v>60.644404100419948</v>
      </c>
      <c r="J33" s="135">
        <f t="shared" si="3"/>
        <v>132.28</v>
      </c>
      <c r="K33" s="133">
        <f t="shared" si="13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1"/>
        <v>104.36</v>
      </c>
      <c r="E34" s="133">
        <f t="shared" si="11"/>
        <v>30.7</v>
      </c>
      <c r="F34" s="135">
        <f t="shared" si="1"/>
        <v>61.918908510755358</v>
      </c>
      <c r="G34" s="133">
        <f t="shared" si="12"/>
        <v>0</v>
      </c>
      <c r="H34" s="143">
        <f t="shared" si="12"/>
        <v>0</v>
      </c>
      <c r="I34" s="135">
        <f t="shared" si="2"/>
        <v>61.918908510755358</v>
      </c>
      <c r="J34" s="135">
        <f t="shared" si="3"/>
        <v>135.06</v>
      </c>
      <c r="K34" s="133">
        <f t="shared" si="13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1"/>
        <v>106.66</v>
      </c>
      <c r="E35" s="133">
        <f t="shared" si="11"/>
        <v>31.38</v>
      </c>
      <c r="F35" s="135">
        <f t="shared" si="1"/>
        <v>63.285103885863087</v>
      </c>
      <c r="G35" s="133">
        <f t="shared" si="12"/>
        <v>0</v>
      </c>
      <c r="H35" s="143">
        <f t="shared" si="12"/>
        <v>0</v>
      </c>
      <c r="I35" s="135">
        <f t="shared" si="2"/>
        <v>63.285103885863087</v>
      </c>
      <c r="J35" s="135">
        <f t="shared" si="3"/>
        <v>138.04</v>
      </c>
      <c r="K35" s="133">
        <f t="shared" si="13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1"/>
        <v>109.01</v>
      </c>
      <c r="E36" s="133">
        <f t="shared" si="11"/>
        <v>32.07</v>
      </c>
      <c r="F36" s="135">
        <f t="shared" si="1"/>
        <v>64.678806550402527</v>
      </c>
      <c r="G36" s="133">
        <f t="shared" si="12"/>
        <v>0</v>
      </c>
      <c r="H36" s="143">
        <f t="shared" si="12"/>
        <v>0</v>
      </c>
      <c r="I36" s="135">
        <f t="shared" si="2"/>
        <v>64.678806550402527</v>
      </c>
      <c r="J36" s="135">
        <f t="shared" si="3"/>
        <v>141.08000000000001</v>
      </c>
      <c r="K36" s="133">
        <f t="shared" si="13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tr">
        <f>'Table 3 YK Solar 2032'!D44</f>
        <v>Plant Costs  - 2017 IRP Update - Table 5.4 &amp; 5.5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24.9%)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Yakima Solar Resource-2033 - 25%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82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125</v>
      </c>
      <c r="C55" s="186">
        <v>1172.2286766768136</v>
      </c>
      <c r="D55" s="122" t="s">
        <v>75</v>
      </c>
      <c r="H55" s="122" t="s">
        <v>9</v>
      </c>
    </row>
    <row r="56" spans="2:24">
      <c r="B56" s="86" t="s">
        <v>112</v>
      </c>
      <c r="C56" s="155">
        <v>18.74175672264068</v>
      </c>
      <c r="D56" s="122" t="s">
        <v>78</v>
      </c>
      <c r="H56" s="122" t="s">
        <v>9</v>
      </c>
    </row>
    <row r="57" spans="2:24">
      <c r="B57" s="86" t="s">
        <v>112</v>
      </c>
      <c r="C57" s="160">
        <v>0.61668809999999996</v>
      </c>
      <c r="D57" s="122" t="s">
        <v>83</v>
      </c>
      <c r="H57" s="122" t="s">
        <v>80</v>
      </c>
    </row>
    <row r="58" spans="2:24">
      <c r="B58" s="86" t="s">
        <v>112</v>
      </c>
      <c r="C58" s="155">
        <v>0</v>
      </c>
      <c r="D58" s="122" t="s">
        <v>79</v>
      </c>
      <c r="H58" s="122" t="s">
        <v>80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158"/>
      <c r="L59" s="158"/>
      <c r="N59" s="158"/>
      <c r="O59" s="17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N60" s="158"/>
      <c r="O60" s="17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N62" s="157"/>
      <c r="O62" s="52"/>
      <c r="P62" s="159"/>
    </row>
    <row r="63" spans="2:24">
      <c r="C63" s="169">
        <v>0.249</v>
      </c>
      <c r="D63" s="122" t="s">
        <v>39</v>
      </c>
      <c r="N63" s="158"/>
      <c r="O63" s="178"/>
      <c r="P63" s="172"/>
    </row>
    <row r="64" spans="2:24" ht="13.5" thickBot="1">
      <c r="D64" s="161"/>
      <c r="N64" s="158"/>
      <c r="O64" s="17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4">C66+1</f>
        <v>2018</v>
      </c>
      <c r="D67" s="41">
        <v>2.3E-2</v>
      </c>
      <c r="E67" s="86"/>
      <c r="F67" s="88">
        <f t="shared" ref="F67:F74" si="15">F66+1</f>
        <v>2027</v>
      </c>
      <c r="G67" s="41">
        <v>2.1999999999999999E-2</v>
      </c>
      <c r="H67" s="86"/>
      <c r="I67" s="88">
        <f t="shared" ref="I67:I74" si="16">I66+1</f>
        <v>2036</v>
      </c>
      <c r="J67" s="88"/>
      <c r="K67" s="41">
        <v>0.02</v>
      </c>
    </row>
    <row r="68" spans="3:11">
      <c r="C68" s="88">
        <f t="shared" si="14"/>
        <v>2019</v>
      </c>
      <c r="D68" s="41">
        <v>2.1999999999999999E-2</v>
      </c>
      <c r="E68" s="86"/>
      <c r="F68" s="88">
        <f t="shared" si="15"/>
        <v>2028</v>
      </c>
      <c r="G68" s="41">
        <v>2.1999999999999999E-2</v>
      </c>
      <c r="H68" s="86"/>
      <c r="I68" s="88">
        <f t="shared" si="16"/>
        <v>2037</v>
      </c>
      <c r="J68" s="88"/>
      <c r="K68" s="41">
        <v>2.1000000000000001E-2</v>
      </c>
    </row>
    <row r="69" spans="3:11">
      <c r="C69" s="88">
        <f t="shared" si="14"/>
        <v>2020</v>
      </c>
      <c r="D69" s="41">
        <v>2.5000000000000001E-2</v>
      </c>
      <c r="E69" s="86"/>
      <c r="F69" s="88">
        <f t="shared" si="15"/>
        <v>2029</v>
      </c>
      <c r="G69" s="41">
        <v>2.1000000000000001E-2</v>
      </c>
      <c r="H69" s="86"/>
      <c r="I69" s="88">
        <f t="shared" si="16"/>
        <v>2038</v>
      </c>
      <c r="J69" s="88"/>
      <c r="K69" s="41">
        <v>2.1000000000000001E-2</v>
      </c>
    </row>
    <row r="70" spans="3:11">
      <c r="C70" s="88">
        <f t="shared" si="14"/>
        <v>2021</v>
      </c>
      <c r="D70" s="41">
        <v>2.4E-2</v>
      </c>
      <c r="E70" s="86"/>
      <c r="F70" s="88">
        <f t="shared" si="15"/>
        <v>2030</v>
      </c>
      <c r="G70" s="41">
        <v>0.02</v>
      </c>
      <c r="H70" s="86"/>
      <c r="I70" s="88">
        <f t="shared" si="16"/>
        <v>2039</v>
      </c>
      <c r="J70" s="88"/>
      <c r="K70" s="41">
        <v>2.1000000000000001E-2</v>
      </c>
    </row>
    <row r="71" spans="3:11">
      <c r="C71" s="88">
        <f t="shared" si="14"/>
        <v>2022</v>
      </c>
      <c r="D71" s="41">
        <v>2.4E-2</v>
      </c>
      <c r="E71" s="86"/>
      <c r="F71" s="88">
        <f t="shared" si="15"/>
        <v>2031</v>
      </c>
      <c r="G71" s="41">
        <v>0.02</v>
      </c>
      <c r="H71" s="86"/>
      <c r="I71" s="88">
        <f t="shared" si="16"/>
        <v>2040</v>
      </c>
      <c r="J71" s="88"/>
      <c r="K71" s="41">
        <v>2.1000000000000001E-2</v>
      </c>
    </row>
    <row r="72" spans="3:11" s="124" customFormat="1">
      <c r="C72" s="88">
        <f t="shared" si="14"/>
        <v>2023</v>
      </c>
      <c r="D72" s="41">
        <v>2.4E-2</v>
      </c>
      <c r="E72" s="87"/>
      <c r="F72" s="88">
        <f t="shared" si="15"/>
        <v>2032</v>
      </c>
      <c r="G72" s="41">
        <v>0.02</v>
      </c>
      <c r="H72" s="87"/>
      <c r="I72" s="88">
        <f t="shared" si="16"/>
        <v>2041</v>
      </c>
      <c r="J72" s="88"/>
      <c r="K72" s="41">
        <v>2.1999999999999999E-2</v>
      </c>
    </row>
    <row r="73" spans="3:11" s="124" customFormat="1">
      <c r="C73" s="88">
        <f t="shared" si="14"/>
        <v>2024</v>
      </c>
      <c r="D73" s="41">
        <v>2.3E-2</v>
      </c>
      <c r="E73" s="87"/>
      <c r="F73" s="88">
        <f t="shared" si="15"/>
        <v>2033</v>
      </c>
      <c r="G73" s="41">
        <v>0.02</v>
      </c>
      <c r="H73" s="87"/>
      <c r="I73" s="88">
        <f t="shared" si="16"/>
        <v>2042</v>
      </c>
      <c r="J73" s="88"/>
      <c r="K73" s="41">
        <v>2.1999999999999999E-2</v>
      </c>
    </row>
    <row r="74" spans="3:11" s="124" customFormat="1">
      <c r="C74" s="88">
        <f t="shared" si="14"/>
        <v>2025</v>
      </c>
      <c r="D74" s="41">
        <v>2.3E-2</v>
      </c>
      <c r="E74" s="87"/>
      <c r="F74" s="88">
        <f t="shared" si="15"/>
        <v>2034</v>
      </c>
      <c r="G74" s="41">
        <v>0.02</v>
      </c>
      <c r="H74" s="87"/>
      <c r="I74" s="88">
        <f t="shared" si="16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136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31%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  <c r="P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7" t="s">
        <v>55</v>
      </c>
      <c r="J5" s="17" t="s">
        <v>55</v>
      </c>
      <c r="K5" s="126" t="s">
        <v>72</v>
      </c>
      <c r="P5" s="180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Utah Solar Resource-2033 - 31%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>
        <f>ROUND(D10*(1+$D66),2)</f>
        <v>0</v>
      </c>
      <c r="E11" s="133">
        <f>$C$56</f>
        <v>19.691768539314772</v>
      </c>
      <c r="F11" s="134">
        <f t="shared" ref="F11:F33" si="1">(D11+E11)/(8.76*$C$63)</f>
        <v>7.2280346721118987</v>
      </c>
      <c r="G11" s="134">
        <f>$C$58</f>
        <v>0</v>
      </c>
      <c r="H11" s="143">
        <f>$C$59</f>
        <v>0</v>
      </c>
      <c r="I11" s="135">
        <f t="shared" ref="I11:I36" si="2">F11+H11+G11</f>
        <v>7.2280346721118987</v>
      </c>
      <c r="J11" s="135">
        <f t="shared" ref="J11:J36" si="3">ROUND(I11*$C$63*8.76,2)</f>
        <v>19.690000000000001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>
        <f t="shared" ref="D12:G19" si="4">ROUND(D11*(1+$D67),2)</f>
        <v>0</v>
      </c>
      <c r="E12" s="133">
        <f t="shared" si="4"/>
        <v>20.14</v>
      </c>
      <c r="F12" s="135">
        <f t="shared" si="1"/>
        <v>7.3925619228002182</v>
      </c>
      <c r="G12" s="133">
        <f t="shared" si="4"/>
        <v>0</v>
      </c>
      <c r="H12" s="143">
        <f t="shared" ref="H12" si="5">ROUND(H11*(1+$D67),2)</f>
        <v>0</v>
      </c>
      <c r="I12" s="135">
        <f t="shared" si="2"/>
        <v>7.3925619228002182</v>
      </c>
      <c r="J12" s="135">
        <f t="shared" si="3"/>
        <v>20.14</v>
      </c>
      <c r="K12" s="133">
        <f t="shared" ref="K12:K19" si="6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>
        <f t="shared" si="4"/>
        <v>0</v>
      </c>
      <c r="E13" s="133">
        <f t="shared" si="4"/>
        <v>20.58</v>
      </c>
      <c r="F13" s="135">
        <f t="shared" si="1"/>
        <v>7.5540677443509665</v>
      </c>
      <c r="G13" s="133">
        <f t="shared" si="4"/>
        <v>0</v>
      </c>
      <c r="H13" s="143">
        <f t="shared" ref="H13" si="7">ROUND(H12*(1+$D68),2)</f>
        <v>0</v>
      </c>
      <c r="I13" s="135">
        <f t="shared" si="2"/>
        <v>7.5540677443509665</v>
      </c>
      <c r="J13" s="135">
        <f t="shared" si="3"/>
        <v>20.58</v>
      </c>
      <c r="K13" s="133">
        <f t="shared" si="6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>
        <f t="shared" si="4"/>
        <v>0</v>
      </c>
      <c r="E14" s="133">
        <f t="shared" si="4"/>
        <v>21.09</v>
      </c>
      <c r="F14" s="135">
        <f t="shared" si="1"/>
        <v>7.7412676738756998</v>
      </c>
      <c r="G14" s="133">
        <f t="shared" si="4"/>
        <v>0</v>
      </c>
      <c r="H14" s="143">
        <f t="shared" ref="H14" si="8">ROUND(H13*(1+$D69),2)</f>
        <v>0</v>
      </c>
      <c r="I14" s="135">
        <f t="shared" si="2"/>
        <v>7.7412676738756998</v>
      </c>
      <c r="J14" s="135">
        <f t="shared" si="3"/>
        <v>21.09</v>
      </c>
      <c r="K14" s="133">
        <f t="shared" si="6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>
        <f t="shared" si="4"/>
        <v>0</v>
      </c>
      <c r="E15" s="133">
        <f t="shared" si="4"/>
        <v>21.6</v>
      </c>
      <c r="F15" s="135">
        <f t="shared" si="1"/>
        <v>7.9284676034004322</v>
      </c>
      <c r="G15" s="133">
        <f t="shared" si="4"/>
        <v>0</v>
      </c>
      <c r="H15" s="143">
        <f t="shared" ref="H15" si="9">ROUND(H14*(1+$D70),2)</f>
        <v>0</v>
      </c>
      <c r="I15" s="135">
        <f t="shared" si="2"/>
        <v>7.9284676034004322</v>
      </c>
      <c r="J15" s="135">
        <f t="shared" si="3"/>
        <v>21.6</v>
      </c>
      <c r="K15" s="133">
        <f t="shared" si="6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>
        <f t="shared" si="4"/>
        <v>0</v>
      </c>
      <c r="E16" s="133">
        <f t="shared" si="4"/>
        <v>22.12</v>
      </c>
      <c r="F16" s="135">
        <f t="shared" si="1"/>
        <v>8.1193381197785914</v>
      </c>
      <c r="G16" s="133">
        <f t="shared" si="4"/>
        <v>0</v>
      </c>
      <c r="H16" s="143">
        <f t="shared" ref="H16" si="10">ROUND(H15*(1+$D71),2)</f>
        <v>0</v>
      </c>
      <c r="I16" s="135">
        <f t="shared" si="2"/>
        <v>8.1193381197785914</v>
      </c>
      <c r="J16" s="135">
        <f t="shared" si="3"/>
        <v>22.12</v>
      </c>
      <c r="K16" s="133">
        <f t="shared" si="6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>
        <f t="shared" si="4"/>
        <v>0</v>
      </c>
      <c r="E17" s="133">
        <f t="shared" si="4"/>
        <v>22.65</v>
      </c>
      <c r="F17" s="135">
        <f t="shared" si="1"/>
        <v>8.3138792230101739</v>
      </c>
      <c r="G17" s="133">
        <f t="shared" si="4"/>
        <v>0</v>
      </c>
      <c r="H17" s="143">
        <f t="shared" ref="H17" si="11">ROUND(H16*(1+$D72),2)</f>
        <v>0</v>
      </c>
      <c r="I17" s="135">
        <f t="shared" si="2"/>
        <v>8.3138792230101739</v>
      </c>
      <c r="J17" s="135">
        <f t="shared" si="3"/>
        <v>22.65</v>
      </c>
      <c r="K17" s="133">
        <f t="shared" si="6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>
        <f t="shared" si="4"/>
        <v>0</v>
      </c>
      <c r="E18" s="133">
        <f t="shared" si="4"/>
        <v>23.17</v>
      </c>
      <c r="F18" s="135">
        <f t="shared" si="1"/>
        <v>8.504749739388334</v>
      </c>
      <c r="G18" s="133">
        <f t="shared" si="4"/>
        <v>0</v>
      </c>
      <c r="H18" s="143">
        <f t="shared" ref="H18" si="12">ROUND(H17*(1+$D73),2)</f>
        <v>0</v>
      </c>
      <c r="I18" s="135">
        <f t="shared" si="2"/>
        <v>8.504749739388334</v>
      </c>
      <c r="J18" s="135">
        <f t="shared" si="3"/>
        <v>23.17</v>
      </c>
      <c r="K18" s="133">
        <f t="shared" si="6"/>
        <v>0.74</v>
      </c>
      <c r="L18" s="124"/>
      <c r="P18" s="170"/>
    </row>
    <row r="19" spans="2:17">
      <c r="B19" s="141">
        <f t="shared" si="0"/>
        <v>2025</v>
      </c>
      <c r="C19" s="142"/>
      <c r="D19" s="133">
        <f t="shared" si="4"/>
        <v>0</v>
      </c>
      <c r="E19" s="133">
        <f t="shared" si="4"/>
        <v>23.7</v>
      </c>
      <c r="F19" s="135">
        <f t="shared" si="1"/>
        <v>8.6992908426199183</v>
      </c>
      <c r="G19" s="133">
        <f t="shared" si="4"/>
        <v>0</v>
      </c>
      <c r="H19" s="143">
        <f t="shared" ref="H19" si="13">ROUND(H18*(1+$D74),2)</f>
        <v>0</v>
      </c>
      <c r="I19" s="135">
        <f t="shared" si="2"/>
        <v>8.6992908426199183</v>
      </c>
      <c r="J19" s="135">
        <f t="shared" si="3"/>
        <v>23.7</v>
      </c>
      <c r="K19" s="133">
        <f t="shared" si="6"/>
        <v>0.76</v>
      </c>
      <c r="L19" s="124"/>
      <c r="P19" s="170"/>
    </row>
    <row r="20" spans="2:17">
      <c r="B20" s="141">
        <f t="shared" si="0"/>
        <v>2026</v>
      </c>
      <c r="C20" s="142"/>
      <c r="D20" s="133">
        <f>ROUND(D19*(1+$G66),2)</f>
        <v>0</v>
      </c>
      <c r="E20" s="133">
        <f>ROUND(E19*(1+$G66),2)</f>
        <v>24.22</v>
      </c>
      <c r="F20" s="135">
        <f t="shared" si="1"/>
        <v>8.8901613589980766</v>
      </c>
      <c r="G20" s="133">
        <f>ROUND(G19*(1+$G66),2)</f>
        <v>0</v>
      </c>
      <c r="H20" s="143">
        <f>ROUND(H19*(1+$G66),2)</f>
        <v>0</v>
      </c>
      <c r="I20" s="135">
        <f t="shared" si="2"/>
        <v>8.8901613589980766</v>
      </c>
      <c r="J20" s="135">
        <f t="shared" si="3"/>
        <v>24.22</v>
      </c>
      <c r="K20" s="133">
        <f t="shared" ref="K20:K28" si="14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>
        <f t="shared" ref="D21:G28" si="15">ROUND(D20*(1+$G67),2)</f>
        <v>0</v>
      </c>
      <c r="E21" s="133">
        <f t="shared" si="15"/>
        <v>24.75</v>
      </c>
      <c r="F21" s="135">
        <f t="shared" si="1"/>
        <v>9.0847024622296608</v>
      </c>
      <c r="G21" s="133">
        <f t="shared" si="15"/>
        <v>0</v>
      </c>
      <c r="H21" s="143">
        <f t="shared" ref="H21" si="16">ROUND(H20*(1+$G67),2)</f>
        <v>0</v>
      </c>
      <c r="I21" s="135">
        <f t="shared" si="2"/>
        <v>9.0847024622296608</v>
      </c>
      <c r="J21" s="135">
        <f t="shared" si="3"/>
        <v>24.75</v>
      </c>
      <c r="K21" s="133">
        <f t="shared" si="14"/>
        <v>0.8</v>
      </c>
      <c r="L21" s="124"/>
      <c r="P21" s="170"/>
    </row>
    <row r="22" spans="2:17">
      <c r="B22" s="141">
        <f t="shared" si="0"/>
        <v>2028</v>
      </c>
      <c r="C22" s="142"/>
      <c r="D22" s="133">
        <f t="shared" si="15"/>
        <v>0</v>
      </c>
      <c r="E22" s="133">
        <f t="shared" si="15"/>
        <v>25.29</v>
      </c>
      <c r="F22" s="135">
        <f t="shared" si="1"/>
        <v>9.2829141523146728</v>
      </c>
      <c r="G22" s="133">
        <f t="shared" si="15"/>
        <v>0</v>
      </c>
      <c r="H22" s="143">
        <f t="shared" ref="H22" si="17">ROUND(H21*(1+$G68),2)</f>
        <v>0</v>
      </c>
      <c r="I22" s="135">
        <f t="shared" si="2"/>
        <v>9.2829141523146728</v>
      </c>
      <c r="J22" s="135">
        <f t="shared" si="3"/>
        <v>25.29</v>
      </c>
      <c r="K22" s="133">
        <f t="shared" si="14"/>
        <v>0.82</v>
      </c>
      <c r="L22" s="124"/>
      <c r="P22" s="170"/>
    </row>
    <row r="23" spans="2:17">
      <c r="B23" s="141">
        <f t="shared" si="0"/>
        <v>2029</v>
      </c>
      <c r="C23" s="142"/>
      <c r="D23" s="133">
        <f t="shared" si="15"/>
        <v>0</v>
      </c>
      <c r="E23" s="133">
        <f t="shared" si="15"/>
        <v>25.82</v>
      </c>
      <c r="F23" s="135">
        <f t="shared" si="1"/>
        <v>9.477455255546257</v>
      </c>
      <c r="G23" s="133">
        <f t="shared" si="15"/>
        <v>0</v>
      </c>
      <c r="H23" s="143">
        <f t="shared" ref="H23" si="18">ROUND(H22*(1+$G69),2)</f>
        <v>0</v>
      </c>
      <c r="I23" s="135">
        <f t="shared" si="2"/>
        <v>9.477455255546257</v>
      </c>
      <c r="J23" s="135">
        <f t="shared" si="3"/>
        <v>25.82</v>
      </c>
      <c r="K23" s="133">
        <f t="shared" si="14"/>
        <v>0.84</v>
      </c>
      <c r="L23" s="124"/>
      <c r="P23" s="170"/>
    </row>
    <row r="24" spans="2:17">
      <c r="B24" s="141">
        <f t="shared" si="0"/>
        <v>2030</v>
      </c>
      <c r="C24" s="142"/>
      <c r="D24" s="133">
        <f t="shared" si="15"/>
        <v>0</v>
      </c>
      <c r="E24" s="133">
        <f t="shared" si="15"/>
        <v>26.34</v>
      </c>
      <c r="F24" s="135">
        <f t="shared" si="1"/>
        <v>9.6683257719244153</v>
      </c>
      <c r="G24" s="133">
        <f t="shared" si="15"/>
        <v>0</v>
      </c>
      <c r="H24" s="143">
        <f t="shared" ref="H24" si="19">ROUND(H23*(1+$G70),2)</f>
        <v>0</v>
      </c>
      <c r="I24" s="135">
        <f t="shared" si="2"/>
        <v>9.6683257719244153</v>
      </c>
      <c r="J24" s="135">
        <f t="shared" si="3"/>
        <v>26.34</v>
      </c>
      <c r="K24" s="133">
        <f t="shared" si="14"/>
        <v>0.86</v>
      </c>
      <c r="L24" s="124"/>
      <c r="P24" s="170"/>
    </row>
    <row r="25" spans="2:17">
      <c r="B25" s="141">
        <f t="shared" si="0"/>
        <v>2031</v>
      </c>
      <c r="C25" s="142"/>
      <c r="D25" s="133">
        <f t="shared" si="15"/>
        <v>0</v>
      </c>
      <c r="E25" s="133">
        <f t="shared" si="15"/>
        <v>26.87</v>
      </c>
      <c r="F25" s="135">
        <f t="shared" si="1"/>
        <v>9.8628668751560014</v>
      </c>
      <c r="G25" s="133">
        <f t="shared" si="15"/>
        <v>0</v>
      </c>
      <c r="H25" s="143">
        <f t="shared" ref="H25" si="20">ROUND(H24*(1+$G71),2)</f>
        <v>0</v>
      </c>
      <c r="I25" s="135">
        <f t="shared" si="2"/>
        <v>9.8628668751560014</v>
      </c>
      <c r="J25" s="135">
        <f t="shared" si="3"/>
        <v>26.87</v>
      </c>
      <c r="K25" s="133">
        <f t="shared" si="14"/>
        <v>0.88</v>
      </c>
      <c r="L25" s="124"/>
      <c r="P25" s="170"/>
    </row>
    <row r="26" spans="2:17">
      <c r="B26" s="141">
        <f t="shared" si="0"/>
        <v>2032</v>
      </c>
      <c r="C26" s="142"/>
      <c r="D26" s="133">
        <f t="shared" si="15"/>
        <v>0</v>
      </c>
      <c r="E26" s="133">
        <f t="shared" si="15"/>
        <v>27.41</v>
      </c>
      <c r="F26" s="135">
        <f t="shared" si="1"/>
        <v>10.061078565241012</v>
      </c>
      <c r="G26" s="133">
        <f t="shared" si="15"/>
        <v>0</v>
      </c>
      <c r="H26" s="143">
        <f t="shared" ref="H26" si="21">ROUND(H25*(1+$G72),2)</f>
        <v>0</v>
      </c>
      <c r="I26" s="135">
        <f t="shared" si="2"/>
        <v>10.061078565241012</v>
      </c>
      <c r="J26" s="135">
        <f t="shared" si="3"/>
        <v>27.41</v>
      </c>
      <c r="K26" s="133">
        <f t="shared" si="14"/>
        <v>0.9</v>
      </c>
      <c r="L26" s="124"/>
      <c r="P26" s="170"/>
    </row>
    <row r="27" spans="2:17">
      <c r="B27" s="141">
        <f t="shared" si="0"/>
        <v>2033</v>
      </c>
      <c r="C27" s="132">
        <f>$C$55</f>
        <v>1165.8805905559132</v>
      </c>
      <c r="D27" s="133">
        <f>C27*$C$62</f>
        <v>90.002020403289137</v>
      </c>
      <c r="E27" s="133">
        <f t="shared" si="15"/>
        <v>27.96</v>
      </c>
      <c r="F27" s="135">
        <f t="shared" si="1"/>
        <v>43.298984129589755</v>
      </c>
      <c r="G27" s="133">
        <f t="shared" si="15"/>
        <v>0</v>
      </c>
      <c r="H27" s="143">
        <f t="shared" ref="H27" si="22">ROUND(H26*(1+$G73),2)</f>
        <v>0</v>
      </c>
      <c r="I27" s="135">
        <f t="shared" si="2"/>
        <v>43.298984129589755</v>
      </c>
      <c r="J27" s="135">
        <f t="shared" si="3"/>
        <v>117.96</v>
      </c>
      <c r="K27" s="133">
        <f t="shared" si="14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si="15"/>
        <v>91.8</v>
      </c>
      <c r="E28" s="133">
        <f t="shared" si="15"/>
        <v>28.52</v>
      </c>
      <c r="F28" s="135">
        <f t="shared" si="1"/>
        <v>44.164501020423145</v>
      </c>
      <c r="G28" s="133">
        <f t="shared" si="15"/>
        <v>0</v>
      </c>
      <c r="H28" s="143">
        <f t="shared" ref="H28" si="23">ROUND(H27*(1+$G74),2)</f>
        <v>0</v>
      </c>
      <c r="I28" s="135">
        <f t="shared" si="2"/>
        <v>44.164501020423145</v>
      </c>
      <c r="J28" s="135">
        <f t="shared" si="3"/>
        <v>120.32</v>
      </c>
      <c r="K28" s="133">
        <f t="shared" si="14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24">ROUND(D28*(1+$K66),2)</f>
        <v>93.64</v>
      </c>
      <c r="E29" s="133">
        <f t="shared" si="24"/>
        <v>29.09</v>
      </c>
      <c r="F29" s="135">
        <f t="shared" si="1"/>
        <v>45.049112452098846</v>
      </c>
      <c r="G29" s="133">
        <f t="shared" ref="G29:H36" si="25">ROUND(G28*(1+$K66),2)</f>
        <v>0</v>
      </c>
      <c r="H29" s="143">
        <f t="shared" si="25"/>
        <v>0</v>
      </c>
      <c r="I29" s="135">
        <f t="shared" si="2"/>
        <v>45.049112452098846</v>
      </c>
      <c r="J29" s="135">
        <f t="shared" si="3"/>
        <v>122.73</v>
      </c>
      <c r="K29" s="133">
        <f t="shared" ref="K29:K36" si="26"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24"/>
        <v>95.51</v>
      </c>
      <c r="E30" s="133">
        <f t="shared" si="24"/>
        <v>29.67</v>
      </c>
      <c r="F30" s="135">
        <f t="shared" si="1"/>
        <v>45.948406231188244</v>
      </c>
      <c r="G30" s="133">
        <f t="shared" si="25"/>
        <v>0</v>
      </c>
      <c r="H30" s="143">
        <f t="shared" si="25"/>
        <v>0</v>
      </c>
      <c r="I30" s="135">
        <f t="shared" si="2"/>
        <v>45.948406231188244</v>
      </c>
      <c r="J30" s="135">
        <f t="shared" si="3"/>
        <v>125.18</v>
      </c>
      <c r="K30" s="133">
        <f t="shared" si="26"/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24"/>
        <v>97.52</v>
      </c>
      <c r="E31" s="133">
        <f t="shared" si="24"/>
        <v>30.29</v>
      </c>
      <c r="F31" s="135">
        <f t="shared" si="1"/>
        <v>46.913770573639319</v>
      </c>
      <c r="G31" s="133">
        <f t="shared" si="25"/>
        <v>0</v>
      </c>
      <c r="H31" s="143">
        <f t="shared" si="25"/>
        <v>0</v>
      </c>
      <c r="I31" s="135">
        <f t="shared" si="2"/>
        <v>46.913770573639319</v>
      </c>
      <c r="J31" s="135">
        <f t="shared" si="3"/>
        <v>127.81</v>
      </c>
      <c r="K31" s="133">
        <f t="shared" si="26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24"/>
        <v>99.57</v>
      </c>
      <c r="E32" s="133">
        <f t="shared" si="24"/>
        <v>30.93</v>
      </c>
      <c r="F32" s="135">
        <f t="shared" si="1"/>
        <v>47.901158437210945</v>
      </c>
      <c r="G32" s="133">
        <f t="shared" si="25"/>
        <v>0</v>
      </c>
      <c r="H32" s="143">
        <f t="shared" si="25"/>
        <v>0</v>
      </c>
      <c r="I32" s="135">
        <f t="shared" si="2"/>
        <v>47.901158437210945</v>
      </c>
      <c r="J32" s="135">
        <f t="shared" si="3"/>
        <v>130.5</v>
      </c>
      <c r="K32" s="133">
        <f t="shared" si="26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24"/>
        <v>101.66</v>
      </c>
      <c r="E33" s="133">
        <f t="shared" si="24"/>
        <v>31.58</v>
      </c>
      <c r="F33" s="135">
        <f t="shared" si="1"/>
        <v>48.906899235049707</v>
      </c>
      <c r="G33" s="133">
        <f t="shared" si="25"/>
        <v>0</v>
      </c>
      <c r="H33" s="143">
        <f t="shared" si="25"/>
        <v>0</v>
      </c>
      <c r="I33" s="135">
        <f t="shared" si="2"/>
        <v>48.906899235049707</v>
      </c>
      <c r="J33" s="135">
        <f t="shared" si="3"/>
        <v>133.24</v>
      </c>
      <c r="K33" s="133">
        <f t="shared" si="26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24"/>
        <v>103.79</v>
      </c>
      <c r="E34" s="133">
        <f t="shared" si="24"/>
        <v>32.24</v>
      </c>
      <c r="F34" s="135">
        <f t="shared" ref="F34:F36" si="27">(D34+E34)/(8.76*$C$63)</f>
        <v>49.930992967155589</v>
      </c>
      <c r="G34" s="133">
        <f t="shared" si="25"/>
        <v>0</v>
      </c>
      <c r="H34" s="143">
        <f t="shared" si="25"/>
        <v>0</v>
      </c>
      <c r="I34" s="135">
        <f t="shared" si="2"/>
        <v>49.930992967155589</v>
      </c>
      <c r="J34" s="135">
        <f t="shared" si="3"/>
        <v>136.03</v>
      </c>
      <c r="K34" s="133">
        <f t="shared" si="26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24"/>
        <v>106.07</v>
      </c>
      <c r="E35" s="133">
        <f t="shared" si="24"/>
        <v>32.950000000000003</v>
      </c>
      <c r="F35" s="135">
        <f t="shared" si="27"/>
        <v>51.028498436329997</v>
      </c>
      <c r="G35" s="133">
        <f t="shared" si="25"/>
        <v>0</v>
      </c>
      <c r="H35" s="143">
        <f t="shared" si="25"/>
        <v>0</v>
      </c>
      <c r="I35" s="135">
        <f t="shared" si="2"/>
        <v>51.028498436329997</v>
      </c>
      <c r="J35" s="135">
        <f t="shared" si="3"/>
        <v>139.02000000000001</v>
      </c>
      <c r="K35" s="133">
        <f t="shared" si="26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24"/>
        <v>108.4</v>
      </c>
      <c r="E36" s="133">
        <f t="shared" si="24"/>
        <v>33.67</v>
      </c>
      <c r="F36" s="135">
        <f t="shared" si="27"/>
        <v>52.148027426624971</v>
      </c>
      <c r="G36" s="133">
        <f t="shared" si="25"/>
        <v>0</v>
      </c>
      <c r="H36" s="143">
        <f t="shared" si="25"/>
        <v>0</v>
      </c>
      <c r="I36" s="135">
        <f t="shared" si="2"/>
        <v>52.148027426624971</v>
      </c>
      <c r="J36" s="135">
        <f t="shared" si="3"/>
        <v>142.07</v>
      </c>
      <c r="K36" s="133">
        <f t="shared" si="26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tr">
        <f>'Table 3 OR Solar 2033'!D44</f>
        <v>Plant Costs  - 2017 IRP Update - Table 5.4 &amp; 5.5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31.1%)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Utah Solar Resource-2033 - 31%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76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125</v>
      </c>
      <c r="C55" s="186">
        <v>1165.8805905559132</v>
      </c>
      <c r="D55" s="122" t="s">
        <v>75</v>
      </c>
      <c r="H55" s="122" t="s">
        <v>9</v>
      </c>
    </row>
    <row r="56" spans="2:24">
      <c r="B56" s="86" t="s">
        <v>112</v>
      </c>
      <c r="C56" s="155">
        <v>19.691768539314772</v>
      </c>
      <c r="D56" s="122" t="s">
        <v>78</v>
      </c>
      <c r="H56" s="122" t="s">
        <v>9</v>
      </c>
    </row>
    <row r="57" spans="2:24">
      <c r="B57" s="86" t="s">
        <v>112</v>
      </c>
      <c r="C57" s="160">
        <v>0.61668809999999996</v>
      </c>
      <c r="D57" s="122" t="s">
        <v>83</v>
      </c>
      <c r="H57" s="122" t="s">
        <v>80</v>
      </c>
    </row>
    <row r="58" spans="2:24">
      <c r="B58" s="86" t="s">
        <v>112</v>
      </c>
      <c r="C58" s="155">
        <v>0</v>
      </c>
      <c r="D58" s="122" t="s">
        <v>79</v>
      </c>
      <c r="H58" s="122" t="s">
        <v>80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158"/>
      <c r="L59" s="158"/>
      <c r="M59" s="159"/>
      <c r="N59" s="227"/>
      <c r="O59" s="22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227"/>
      <c r="O60" s="22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L62" s="165"/>
      <c r="M62" s="165"/>
      <c r="N62" s="157"/>
      <c r="O62" s="52"/>
      <c r="P62" s="159"/>
    </row>
    <row r="63" spans="2:24">
      <c r="C63" s="169">
        <v>0.311</v>
      </c>
      <c r="D63" s="122" t="s">
        <v>39</v>
      </c>
      <c r="N63" s="227"/>
      <c r="O63" s="228"/>
      <c r="P63" s="172"/>
    </row>
    <row r="64" spans="2:24" ht="13.5" thickBot="1">
      <c r="D64" s="161"/>
      <c r="N64" s="227"/>
      <c r="O64" s="22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28">C66+1</f>
        <v>2018</v>
      </c>
      <c r="D67" s="41">
        <v>2.3E-2</v>
      </c>
      <c r="E67" s="86"/>
      <c r="F67" s="88">
        <f t="shared" ref="F67:F74" si="29">F66+1</f>
        <v>2027</v>
      </c>
      <c r="G67" s="41">
        <v>2.1999999999999999E-2</v>
      </c>
      <c r="H67" s="86"/>
      <c r="I67" s="88">
        <f t="shared" ref="I67:I74" si="30">I66+1</f>
        <v>2036</v>
      </c>
      <c r="J67" s="88"/>
      <c r="K67" s="41">
        <v>0.02</v>
      </c>
    </row>
    <row r="68" spans="3:11">
      <c r="C68" s="88">
        <f t="shared" si="28"/>
        <v>2019</v>
      </c>
      <c r="D68" s="41">
        <v>2.1999999999999999E-2</v>
      </c>
      <c r="E68" s="86"/>
      <c r="F68" s="88">
        <f t="shared" si="29"/>
        <v>2028</v>
      </c>
      <c r="G68" s="41">
        <v>2.1999999999999999E-2</v>
      </c>
      <c r="H68" s="86"/>
      <c r="I68" s="88">
        <f t="shared" si="30"/>
        <v>2037</v>
      </c>
      <c r="J68" s="88"/>
      <c r="K68" s="41">
        <v>2.1000000000000001E-2</v>
      </c>
    </row>
    <row r="69" spans="3:11">
      <c r="C69" s="88">
        <f t="shared" si="28"/>
        <v>2020</v>
      </c>
      <c r="D69" s="41">
        <v>2.5000000000000001E-2</v>
      </c>
      <c r="E69" s="86"/>
      <c r="F69" s="88">
        <f t="shared" si="29"/>
        <v>2029</v>
      </c>
      <c r="G69" s="41">
        <v>2.1000000000000001E-2</v>
      </c>
      <c r="H69" s="86"/>
      <c r="I69" s="88">
        <f t="shared" si="30"/>
        <v>2038</v>
      </c>
      <c r="J69" s="88"/>
      <c r="K69" s="41">
        <v>2.1000000000000001E-2</v>
      </c>
    </row>
    <row r="70" spans="3:11">
      <c r="C70" s="88">
        <f t="shared" si="28"/>
        <v>2021</v>
      </c>
      <c r="D70" s="41">
        <v>2.4E-2</v>
      </c>
      <c r="E70" s="86"/>
      <c r="F70" s="88">
        <f t="shared" si="29"/>
        <v>2030</v>
      </c>
      <c r="G70" s="41">
        <v>0.02</v>
      </c>
      <c r="H70" s="86"/>
      <c r="I70" s="88">
        <f t="shared" si="30"/>
        <v>2039</v>
      </c>
      <c r="J70" s="88"/>
      <c r="K70" s="41">
        <v>2.1000000000000001E-2</v>
      </c>
    </row>
    <row r="71" spans="3:11">
      <c r="C71" s="88">
        <f t="shared" si="28"/>
        <v>2022</v>
      </c>
      <c r="D71" s="41">
        <v>2.4E-2</v>
      </c>
      <c r="E71" s="86"/>
      <c r="F71" s="88">
        <f t="shared" si="29"/>
        <v>2031</v>
      </c>
      <c r="G71" s="41">
        <v>0.02</v>
      </c>
      <c r="H71" s="86"/>
      <c r="I71" s="88">
        <f t="shared" si="30"/>
        <v>2040</v>
      </c>
      <c r="J71" s="88"/>
      <c r="K71" s="41">
        <v>2.1000000000000001E-2</v>
      </c>
    </row>
    <row r="72" spans="3:11" s="124" customFormat="1">
      <c r="C72" s="88">
        <f t="shared" si="28"/>
        <v>2023</v>
      </c>
      <c r="D72" s="41">
        <v>2.4E-2</v>
      </c>
      <c r="E72" s="87"/>
      <c r="F72" s="88">
        <f t="shared" si="29"/>
        <v>2032</v>
      </c>
      <c r="G72" s="41">
        <v>0.02</v>
      </c>
      <c r="H72" s="87"/>
      <c r="I72" s="88">
        <f t="shared" si="30"/>
        <v>2041</v>
      </c>
      <c r="J72" s="88"/>
      <c r="K72" s="41">
        <v>2.1999999999999999E-2</v>
      </c>
    </row>
    <row r="73" spans="3:11" s="124" customFormat="1">
      <c r="C73" s="88">
        <f t="shared" si="28"/>
        <v>2024</v>
      </c>
      <c r="D73" s="41">
        <v>2.3E-2</v>
      </c>
      <c r="E73" s="87"/>
      <c r="F73" s="88">
        <f t="shared" si="29"/>
        <v>2033</v>
      </c>
      <c r="G73" s="41">
        <v>0.02</v>
      </c>
      <c r="H73" s="87"/>
      <c r="I73" s="88">
        <f t="shared" si="30"/>
        <v>2042</v>
      </c>
      <c r="J73" s="88"/>
      <c r="K73" s="41">
        <v>2.1999999999999999E-2</v>
      </c>
    </row>
    <row r="74" spans="3:11" s="124" customFormat="1">
      <c r="C74" s="88">
        <f t="shared" si="28"/>
        <v>2025</v>
      </c>
      <c r="D74" s="41">
        <v>2.3E-2</v>
      </c>
      <c r="E74" s="87"/>
      <c r="F74" s="88">
        <f t="shared" si="29"/>
        <v>2034</v>
      </c>
      <c r="G74" s="41">
        <v>0.02</v>
      </c>
      <c r="H74" s="87"/>
      <c r="I74" s="88">
        <f t="shared" si="30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136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31%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  <c r="P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7" t="s">
        <v>55</v>
      </c>
      <c r="J5" s="17" t="s">
        <v>55</v>
      </c>
      <c r="K5" s="126" t="s">
        <v>72</v>
      </c>
      <c r="P5" s="180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Utah Solar Resource-2033 - 31%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>
        <f>ROUND(D10*(1+$D66),2)</f>
        <v>0</v>
      </c>
      <c r="E11" s="133">
        <f>$C$56</f>
        <v>19.691768539314772</v>
      </c>
      <c r="F11" s="134">
        <f t="shared" ref="F11:F36" si="1">(D11+E11)/(8.76*$C$63)</f>
        <v>7.2280346721118987</v>
      </c>
      <c r="G11" s="134">
        <f>$C$58</f>
        <v>0</v>
      </c>
      <c r="H11" s="143">
        <f>$C$59</f>
        <v>0</v>
      </c>
      <c r="I11" s="135">
        <f t="shared" ref="I11:I36" si="2">F11+H11+G11</f>
        <v>7.2280346721118987</v>
      </c>
      <c r="J11" s="135">
        <f t="shared" ref="J11:J36" si="3">ROUND(I11*$C$63*8.76,2)</f>
        <v>19.690000000000001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>
        <f t="shared" ref="D12:H19" si="4">ROUND(D11*(1+$D67),2)</f>
        <v>0</v>
      </c>
      <c r="E12" s="133">
        <f t="shared" si="4"/>
        <v>20.14</v>
      </c>
      <c r="F12" s="135">
        <f t="shared" si="1"/>
        <v>7.3925619228002182</v>
      </c>
      <c r="G12" s="133">
        <f t="shared" si="4"/>
        <v>0</v>
      </c>
      <c r="H12" s="143">
        <f t="shared" si="4"/>
        <v>0</v>
      </c>
      <c r="I12" s="135">
        <f t="shared" si="2"/>
        <v>7.3925619228002182</v>
      </c>
      <c r="J12" s="135">
        <f t="shared" si="3"/>
        <v>20.14</v>
      </c>
      <c r="K12" s="133">
        <f t="shared" ref="K12:K19" si="5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>
        <f t="shared" si="4"/>
        <v>0</v>
      </c>
      <c r="E13" s="133">
        <f t="shared" si="4"/>
        <v>20.58</v>
      </c>
      <c r="F13" s="135">
        <f t="shared" si="1"/>
        <v>7.5540677443509665</v>
      </c>
      <c r="G13" s="133">
        <f t="shared" si="4"/>
        <v>0</v>
      </c>
      <c r="H13" s="143">
        <f t="shared" si="4"/>
        <v>0</v>
      </c>
      <c r="I13" s="135">
        <f t="shared" si="2"/>
        <v>7.5540677443509665</v>
      </c>
      <c r="J13" s="135">
        <f t="shared" si="3"/>
        <v>20.58</v>
      </c>
      <c r="K13" s="133">
        <f t="shared" si="5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>
        <f t="shared" si="4"/>
        <v>0</v>
      </c>
      <c r="E14" s="133">
        <f t="shared" si="4"/>
        <v>21.09</v>
      </c>
      <c r="F14" s="135">
        <f t="shared" si="1"/>
        <v>7.7412676738756998</v>
      </c>
      <c r="G14" s="133">
        <f t="shared" si="4"/>
        <v>0</v>
      </c>
      <c r="H14" s="143">
        <f t="shared" si="4"/>
        <v>0</v>
      </c>
      <c r="I14" s="135">
        <f t="shared" si="2"/>
        <v>7.7412676738756998</v>
      </c>
      <c r="J14" s="135">
        <f t="shared" si="3"/>
        <v>21.09</v>
      </c>
      <c r="K14" s="133">
        <f t="shared" si="5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>
        <f t="shared" si="4"/>
        <v>0</v>
      </c>
      <c r="E15" s="133">
        <f t="shared" si="4"/>
        <v>21.6</v>
      </c>
      <c r="F15" s="135">
        <f t="shared" si="1"/>
        <v>7.9284676034004322</v>
      </c>
      <c r="G15" s="133">
        <f t="shared" si="4"/>
        <v>0</v>
      </c>
      <c r="H15" s="143">
        <f t="shared" si="4"/>
        <v>0</v>
      </c>
      <c r="I15" s="135">
        <f t="shared" si="2"/>
        <v>7.9284676034004322</v>
      </c>
      <c r="J15" s="135">
        <f t="shared" si="3"/>
        <v>21.6</v>
      </c>
      <c r="K15" s="133">
        <f t="shared" si="5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>
        <f t="shared" si="4"/>
        <v>0</v>
      </c>
      <c r="E16" s="133">
        <f t="shared" si="4"/>
        <v>22.12</v>
      </c>
      <c r="F16" s="135">
        <f t="shared" si="1"/>
        <v>8.1193381197785914</v>
      </c>
      <c r="G16" s="133">
        <f t="shared" si="4"/>
        <v>0</v>
      </c>
      <c r="H16" s="143">
        <f t="shared" si="4"/>
        <v>0</v>
      </c>
      <c r="I16" s="135">
        <f t="shared" si="2"/>
        <v>8.1193381197785914</v>
      </c>
      <c r="J16" s="135">
        <f t="shared" si="3"/>
        <v>22.12</v>
      </c>
      <c r="K16" s="133">
        <f t="shared" si="5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>
        <f t="shared" si="4"/>
        <v>0</v>
      </c>
      <c r="E17" s="133">
        <f t="shared" si="4"/>
        <v>22.65</v>
      </c>
      <c r="F17" s="135">
        <f t="shared" si="1"/>
        <v>8.3138792230101739</v>
      </c>
      <c r="G17" s="133">
        <f t="shared" si="4"/>
        <v>0</v>
      </c>
      <c r="H17" s="143">
        <f t="shared" si="4"/>
        <v>0</v>
      </c>
      <c r="I17" s="135">
        <f t="shared" si="2"/>
        <v>8.3138792230101739</v>
      </c>
      <c r="J17" s="135">
        <f t="shared" si="3"/>
        <v>22.65</v>
      </c>
      <c r="K17" s="133">
        <f t="shared" si="5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>
        <f t="shared" si="4"/>
        <v>0</v>
      </c>
      <c r="E18" s="133">
        <f t="shared" si="4"/>
        <v>23.17</v>
      </c>
      <c r="F18" s="135">
        <f t="shared" si="1"/>
        <v>8.504749739388334</v>
      </c>
      <c r="G18" s="133">
        <f t="shared" si="4"/>
        <v>0</v>
      </c>
      <c r="H18" s="143">
        <f t="shared" si="4"/>
        <v>0</v>
      </c>
      <c r="I18" s="135">
        <f t="shared" si="2"/>
        <v>8.504749739388334</v>
      </c>
      <c r="J18" s="135">
        <f t="shared" si="3"/>
        <v>23.17</v>
      </c>
      <c r="K18" s="133">
        <f t="shared" si="5"/>
        <v>0.74</v>
      </c>
      <c r="L18" s="124"/>
      <c r="P18" s="170"/>
    </row>
    <row r="19" spans="2:17">
      <c r="B19" s="141">
        <f t="shared" si="0"/>
        <v>2025</v>
      </c>
      <c r="C19" s="142"/>
      <c r="D19" s="133">
        <f t="shared" si="4"/>
        <v>0</v>
      </c>
      <c r="E19" s="133">
        <f t="shared" si="4"/>
        <v>23.7</v>
      </c>
      <c r="F19" s="135">
        <f t="shared" si="1"/>
        <v>8.6992908426199183</v>
      </c>
      <c r="G19" s="133">
        <f t="shared" si="4"/>
        <v>0</v>
      </c>
      <c r="H19" s="143">
        <f t="shared" si="4"/>
        <v>0</v>
      </c>
      <c r="I19" s="135">
        <f t="shared" si="2"/>
        <v>8.6992908426199183</v>
      </c>
      <c r="J19" s="135">
        <f t="shared" si="3"/>
        <v>23.7</v>
      </c>
      <c r="K19" s="133">
        <f t="shared" si="5"/>
        <v>0.76</v>
      </c>
      <c r="L19" s="124"/>
      <c r="P19" s="170"/>
    </row>
    <row r="20" spans="2:17">
      <c r="B20" s="141">
        <f t="shared" si="0"/>
        <v>2026</v>
      </c>
      <c r="C20" s="142"/>
      <c r="D20" s="133">
        <f>ROUND(D19*(1+$G66),2)</f>
        <v>0</v>
      </c>
      <c r="E20" s="133">
        <f>ROUND(E19*(1+$G66),2)</f>
        <v>24.22</v>
      </c>
      <c r="F20" s="135">
        <f t="shared" si="1"/>
        <v>8.8901613589980766</v>
      </c>
      <c r="G20" s="133">
        <f>ROUND(G19*(1+$G66),2)</f>
        <v>0</v>
      </c>
      <c r="H20" s="143">
        <f>ROUND(H19*(1+$G66),2)</f>
        <v>0</v>
      </c>
      <c r="I20" s="135">
        <f t="shared" si="2"/>
        <v>8.8901613589980766</v>
      </c>
      <c r="J20" s="135">
        <f t="shared" si="3"/>
        <v>24.22</v>
      </c>
      <c r="K20" s="133">
        <f t="shared" ref="K20:K28" si="6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>
        <f t="shared" ref="D21:H28" si="7">ROUND(D20*(1+$G67),2)</f>
        <v>0</v>
      </c>
      <c r="E21" s="133">
        <f t="shared" si="7"/>
        <v>24.75</v>
      </c>
      <c r="F21" s="135">
        <f t="shared" si="1"/>
        <v>9.0847024622296608</v>
      </c>
      <c r="G21" s="133">
        <f t="shared" si="7"/>
        <v>0</v>
      </c>
      <c r="H21" s="143">
        <f t="shared" si="7"/>
        <v>0</v>
      </c>
      <c r="I21" s="135">
        <f t="shared" si="2"/>
        <v>9.0847024622296608</v>
      </c>
      <c r="J21" s="135">
        <f t="shared" si="3"/>
        <v>24.75</v>
      </c>
      <c r="K21" s="133">
        <f t="shared" si="6"/>
        <v>0.8</v>
      </c>
      <c r="L21" s="124"/>
      <c r="P21" s="170"/>
    </row>
    <row r="22" spans="2:17">
      <c r="B22" s="141">
        <f t="shared" si="0"/>
        <v>2028</v>
      </c>
      <c r="C22" s="142"/>
      <c r="D22" s="133">
        <f t="shared" si="7"/>
        <v>0</v>
      </c>
      <c r="E22" s="133">
        <f t="shared" si="7"/>
        <v>25.29</v>
      </c>
      <c r="F22" s="135">
        <f t="shared" si="1"/>
        <v>9.2829141523146728</v>
      </c>
      <c r="G22" s="133">
        <f t="shared" si="7"/>
        <v>0</v>
      </c>
      <c r="H22" s="143">
        <f t="shared" si="7"/>
        <v>0</v>
      </c>
      <c r="I22" s="135">
        <f t="shared" si="2"/>
        <v>9.2829141523146728</v>
      </c>
      <c r="J22" s="135">
        <f t="shared" si="3"/>
        <v>25.29</v>
      </c>
      <c r="K22" s="133">
        <f t="shared" si="6"/>
        <v>0.82</v>
      </c>
      <c r="L22" s="124"/>
      <c r="P22" s="170"/>
    </row>
    <row r="23" spans="2:17">
      <c r="B23" s="141">
        <f t="shared" si="0"/>
        <v>2029</v>
      </c>
      <c r="C23" s="142"/>
      <c r="D23" s="133">
        <f t="shared" si="7"/>
        <v>0</v>
      </c>
      <c r="E23" s="133">
        <f t="shared" si="7"/>
        <v>25.82</v>
      </c>
      <c r="F23" s="135">
        <f t="shared" si="1"/>
        <v>9.477455255546257</v>
      </c>
      <c r="G23" s="133">
        <f t="shared" si="7"/>
        <v>0</v>
      </c>
      <c r="H23" s="143">
        <f t="shared" si="7"/>
        <v>0</v>
      </c>
      <c r="I23" s="135">
        <f t="shared" si="2"/>
        <v>9.477455255546257</v>
      </c>
      <c r="J23" s="135">
        <f t="shared" si="3"/>
        <v>25.82</v>
      </c>
      <c r="K23" s="133">
        <f t="shared" si="6"/>
        <v>0.84</v>
      </c>
      <c r="L23" s="124"/>
      <c r="P23" s="170"/>
    </row>
    <row r="24" spans="2:17">
      <c r="B24" s="141">
        <f t="shared" si="0"/>
        <v>2030</v>
      </c>
      <c r="C24" s="142"/>
      <c r="D24" s="133">
        <f t="shared" si="7"/>
        <v>0</v>
      </c>
      <c r="E24" s="133">
        <f t="shared" si="7"/>
        <v>26.34</v>
      </c>
      <c r="F24" s="135">
        <f t="shared" si="1"/>
        <v>9.6683257719244153</v>
      </c>
      <c r="G24" s="133">
        <f t="shared" si="7"/>
        <v>0</v>
      </c>
      <c r="H24" s="143">
        <f t="shared" si="7"/>
        <v>0</v>
      </c>
      <c r="I24" s="135">
        <f t="shared" si="2"/>
        <v>9.6683257719244153</v>
      </c>
      <c r="J24" s="135">
        <f t="shared" si="3"/>
        <v>26.34</v>
      </c>
      <c r="K24" s="133">
        <f t="shared" si="6"/>
        <v>0.86</v>
      </c>
      <c r="L24" s="124"/>
      <c r="P24" s="170"/>
    </row>
    <row r="25" spans="2:17">
      <c r="B25" s="141">
        <f t="shared" si="0"/>
        <v>2031</v>
      </c>
      <c r="C25" s="142"/>
      <c r="D25" s="133">
        <f t="shared" si="7"/>
        <v>0</v>
      </c>
      <c r="E25" s="133">
        <f t="shared" si="7"/>
        <v>26.87</v>
      </c>
      <c r="F25" s="135">
        <f t="shared" si="1"/>
        <v>9.8628668751560014</v>
      </c>
      <c r="G25" s="133">
        <f t="shared" si="7"/>
        <v>0</v>
      </c>
      <c r="H25" s="143">
        <f t="shared" si="7"/>
        <v>0</v>
      </c>
      <c r="I25" s="135">
        <f t="shared" si="2"/>
        <v>9.8628668751560014</v>
      </c>
      <c r="J25" s="135">
        <f t="shared" si="3"/>
        <v>26.87</v>
      </c>
      <c r="K25" s="133">
        <f t="shared" si="6"/>
        <v>0.88</v>
      </c>
      <c r="L25" s="124"/>
      <c r="P25" s="170"/>
    </row>
    <row r="26" spans="2:17">
      <c r="B26" s="141">
        <f t="shared" si="0"/>
        <v>2032</v>
      </c>
      <c r="C26" s="142"/>
      <c r="D26" s="133">
        <f t="shared" si="7"/>
        <v>0</v>
      </c>
      <c r="E26" s="133">
        <f t="shared" si="7"/>
        <v>27.41</v>
      </c>
      <c r="F26" s="135">
        <f t="shared" si="1"/>
        <v>10.061078565241012</v>
      </c>
      <c r="G26" s="133">
        <f t="shared" si="7"/>
        <v>0</v>
      </c>
      <c r="H26" s="143">
        <f t="shared" si="7"/>
        <v>0</v>
      </c>
      <c r="I26" s="135">
        <f t="shared" si="2"/>
        <v>10.061078565241012</v>
      </c>
      <c r="J26" s="135">
        <f t="shared" si="3"/>
        <v>27.41</v>
      </c>
      <c r="K26" s="133">
        <f t="shared" si="6"/>
        <v>0.9</v>
      </c>
      <c r="L26" s="124"/>
      <c r="P26" s="170"/>
    </row>
    <row r="27" spans="2:17">
      <c r="B27" s="141">
        <f t="shared" si="0"/>
        <v>2033</v>
      </c>
      <c r="C27" s="132"/>
      <c r="D27" s="133">
        <f t="shared" ref="D27" si="8">ROUND(D26*(1+$G73),2)</f>
        <v>0</v>
      </c>
      <c r="E27" s="133">
        <f t="shared" si="7"/>
        <v>27.96</v>
      </c>
      <c r="F27" s="135">
        <f t="shared" si="1"/>
        <v>10.262960842179448</v>
      </c>
      <c r="G27" s="133">
        <f t="shared" si="7"/>
        <v>0</v>
      </c>
      <c r="H27" s="143">
        <f t="shared" si="7"/>
        <v>0</v>
      </c>
      <c r="I27" s="135">
        <f t="shared" si="2"/>
        <v>10.262960842179448</v>
      </c>
      <c r="J27" s="135">
        <f t="shared" si="3"/>
        <v>27.96</v>
      </c>
      <c r="K27" s="133">
        <f t="shared" si="6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ref="D28" si="9">ROUND(D27*(1+$G74),2)</f>
        <v>0</v>
      </c>
      <c r="E28" s="133">
        <f t="shared" si="7"/>
        <v>28.52</v>
      </c>
      <c r="F28" s="135">
        <f t="shared" si="1"/>
        <v>10.468513705971311</v>
      </c>
      <c r="G28" s="133">
        <f t="shared" si="7"/>
        <v>0</v>
      </c>
      <c r="H28" s="143">
        <f t="shared" si="7"/>
        <v>0</v>
      </c>
      <c r="I28" s="135">
        <f t="shared" si="2"/>
        <v>10.468513705971311</v>
      </c>
      <c r="J28" s="135">
        <f t="shared" si="3"/>
        <v>28.52</v>
      </c>
      <c r="K28" s="133">
        <f t="shared" si="6"/>
        <v>0.94</v>
      </c>
      <c r="L28" s="124"/>
      <c r="P28" s="170"/>
    </row>
    <row r="29" spans="2:17">
      <c r="B29" s="141">
        <f t="shared" si="0"/>
        <v>2035</v>
      </c>
      <c r="C29" s="132">
        <f>$C$55</f>
        <v>1152.6274312839628</v>
      </c>
      <c r="D29" s="133">
        <f>C29*$C$62</f>
        <v>88.978921536334539</v>
      </c>
      <c r="E29" s="133">
        <f t="shared" ref="D29:E36" si="10">ROUND(E28*(1+$K66),2)</f>
        <v>29.09</v>
      </c>
      <c r="F29" s="135">
        <f t="shared" si="1"/>
        <v>43.338223118947035</v>
      </c>
      <c r="G29" s="133">
        <f t="shared" ref="G29:H36" si="11">ROUND(G28*(1+$K66),2)</f>
        <v>0</v>
      </c>
      <c r="H29" s="143">
        <f t="shared" si="11"/>
        <v>0</v>
      </c>
      <c r="I29" s="135">
        <f t="shared" si="2"/>
        <v>43.338223118947035</v>
      </c>
      <c r="J29" s="135">
        <f t="shared" si="3"/>
        <v>118.07</v>
      </c>
      <c r="K29" s="133">
        <f t="shared" ref="K29:K36" si="12"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0"/>
        <v>90.76</v>
      </c>
      <c r="E30" s="133">
        <f t="shared" si="10"/>
        <v>29.67</v>
      </c>
      <c r="F30" s="135">
        <f t="shared" si="1"/>
        <v>44.204877475810839</v>
      </c>
      <c r="G30" s="133">
        <f t="shared" si="11"/>
        <v>0</v>
      </c>
      <c r="H30" s="143">
        <f t="shared" si="11"/>
        <v>0</v>
      </c>
      <c r="I30" s="135">
        <f t="shared" si="2"/>
        <v>44.204877475810839</v>
      </c>
      <c r="J30" s="135">
        <f t="shared" si="3"/>
        <v>120.43</v>
      </c>
      <c r="K30" s="133">
        <f t="shared" si="12"/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0"/>
        <v>92.67</v>
      </c>
      <c r="E31" s="133">
        <f t="shared" si="10"/>
        <v>30.29</v>
      </c>
      <c r="F31" s="135">
        <f t="shared" si="1"/>
        <v>45.133535949727644</v>
      </c>
      <c r="G31" s="133">
        <f t="shared" si="11"/>
        <v>0</v>
      </c>
      <c r="H31" s="143">
        <f t="shared" si="11"/>
        <v>0</v>
      </c>
      <c r="I31" s="135">
        <f t="shared" si="2"/>
        <v>45.133535949727644</v>
      </c>
      <c r="J31" s="135">
        <f t="shared" si="3"/>
        <v>122.96</v>
      </c>
      <c r="K31" s="133">
        <f t="shared" si="12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0"/>
        <v>94.62</v>
      </c>
      <c r="E32" s="133">
        <f t="shared" si="10"/>
        <v>30.93</v>
      </c>
      <c r="F32" s="135">
        <f t="shared" si="1"/>
        <v>46.084217944765015</v>
      </c>
      <c r="G32" s="133">
        <f t="shared" si="11"/>
        <v>0</v>
      </c>
      <c r="H32" s="143">
        <f t="shared" si="11"/>
        <v>0</v>
      </c>
      <c r="I32" s="135">
        <f t="shared" si="2"/>
        <v>46.084217944765015</v>
      </c>
      <c r="J32" s="135">
        <f t="shared" si="3"/>
        <v>125.55</v>
      </c>
      <c r="K32" s="133">
        <f t="shared" si="12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0"/>
        <v>96.61</v>
      </c>
      <c r="E33" s="133">
        <f t="shared" si="10"/>
        <v>31.58</v>
      </c>
      <c r="F33" s="135">
        <f t="shared" si="1"/>
        <v>47.053252874069507</v>
      </c>
      <c r="G33" s="133">
        <f t="shared" si="11"/>
        <v>0</v>
      </c>
      <c r="H33" s="143">
        <f t="shared" si="11"/>
        <v>0</v>
      </c>
      <c r="I33" s="135">
        <f t="shared" si="2"/>
        <v>47.053252874069507</v>
      </c>
      <c r="J33" s="135">
        <f t="shared" si="3"/>
        <v>128.19</v>
      </c>
      <c r="K33" s="133">
        <f t="shared" si="12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0"/>
        <v>98.64</v>
      </c>
      <c r="E34" s="133">
        <f t="shared" si="10"/>
        <v>32.24</v>
      </c>
      <c r="F34" s="135">
        <f t="shared" si="1"/>
        <v>48.040640737641134</v>
      </c>
      <c r="G34" s="133">
        <f t="shared" si="11"/>
        <v>0</v>
      </c>
      <c r="H34" s="143">
        <f t="shared" si="11"/>
        <v>0</v>
      </c>
      <c r="I34" s="135">
        <f t="shared" si="2"/>
        <v>48.040640737641134</v>
      </c>
      <c r="J34" s="135">
        <f t="shared" si="3"/>
        <v>130.88</v>
      </c>
      <c r="K34" s="133">
        <f t="shared" si="12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0"/>
        <v>100.81</v>
      </c>
      <c r="E35" s="133">
        <f t="shared" si="10"/>
        <v>32.950000000000003</v>
      </c>
      <c r="F35" s="135">
        <f t="shared" si="1"/>
        <v>49.097769751427855</v>
      </c>
      <c r="G35" s="133">
        <f t="shared" si="11"/>
        <v>0</v>
      </c>
      <c r="H35" s="143">
        <f t="shared" si="11"/>
        <v>0</v>
      </c>
      <c r="I35" s="135">
        <f t="shared" si="2"/>
        <v>49.097769751427855</v>
      </c>
      <c r="J35" s="135">
        <f t="shared" si="3"/>
        <v>133.76</v>
      </c>
      <c r="K35" s="133">
        <f t="shared" si="12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0"/>
        <v>103.03</v>
      </c>
      <c r="E36" s="133">
        <f t="shared" si="10"/>
        <v>33.67</v>
      </c>
      <c r="F36" s="135">
        <f t="shared" si="1"/>
        <v>50.176922286335135</v>
      </c>
      <c r="G36" s="133">
        <f t="shared" si="11"/>
        <v>0</v>
      </c>
      <c r="H36" s="143">
        <f t="shared" si="11"/>
        <v>0</v>
      </c>
      <c r="I36" s="135">
        <f t="shared" si="2"/>
        <v>50.176922286335135</v>
      </c>
      <c r="J36" s="135">
        <f t="shared" si="3"/>
        <v>136.69999999999999</v>
      </c>
      <c r="K36" s="133">
        <f t="shared" si="12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tr">
        <f>'Table 3 UT Solar 2033 ST'!D44</f>
        <v>Plant Costs  - 2017 IRP Update - Table 5.4 &amp; 5.5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31.1%)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Utah Solar Resource-2033 - 31%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76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125</v>
      </c>
      <c r="C55" s="186">
        <v>1152.6274312839628</v>
      </c>
      <c r="D55" s="122" t="s">
        <v>75</v>
      </c>
      <c r="H55" s="122" t="s">
        <v>9</v>
      </c>
    </row>
    <row r="56" spans="2:24">
      <c r="B56" s="86" t="s">
        <v>112</v>
      </c>
      <c r="C56" s="155">
        <v>19.691768539314772</v>
      </c>
      <c r="D56" s="122" t="s">
        <v>78</v>
      </c>
      <c r="H56" s="122" t="s">
        <v>9</v>
      </c>
    </row>
    <row r="57" spans="2:24">
      <c r="B57" s="86" t="s">
        <v>112</v>
      </c>
      <c r="C57" s="160">
        <v>0.61668809999999996</v>
      </c>
      <c r="D57" s="122" t="s">
        <v>83</v>
      </c>
      <c r="H57" s="122" t="s">
        <v>80</v>
      </c>
    </row>
    <row r="58" spans="2:24">
      <c r="B58" s="86" t="s">
        <v>112</v>
      </c>
      <c r="C58" s="155">
        <v>0</v>
      </c>
      <c r="D58" s="122" t="s">
        <v>79</v>
      </c>
      <c r="H58" s="122" t="s">
        <v>80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158"/>
      <c r="L59" s="158"/>
      <c r="M59" s="159"/>
      <c r="N59" s="227"/>
      <c r="O59" s="22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227"/>
      <c r="O60" s="22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L62" s="165"/>
      <c r="M62" s="165"/>
      <c r="N62" s="157"/>
      <c r="O62" s="52"/>
      <c r="P62" s="159"/>
    </row>
    <row r="63" spans="2:24">
      <c r="C63" s="169">
        <v>0.311</v>
      </c>
      <c r="D63" s="122" t="s">
        <v>39</v>
      </c>
      <c r="N63" s="227"/>
      <c r="O63" s="228"/>
      <c r="P63" s="172"/>
    </row>
    <row r="64" spans="2:24" ht="13.5" thickBot="1">
      <c r="D64" s="161"/>
      <c r="N64" s="227"/>
      <c r="O64" s="22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3">C66+1</f>
        <v>2018</v>
      </c>
      <c r="D67" s="41">
        <v>2.3E-2</v>
      </c>
      <c r="E67" s="86"/>
      <c r="F67" s="88">
        <f t="shared" ref="F67:F74" si="14">F66+1</f>
        <v>2027</v>
      </c>
      <c r="G67" s="41">
        <v>2.1999999999999999E-2</v>
      </c>
      <c r="H67" s="86"/>
      <c r="I67" s="88">
        <f t="shared" ref="I67:I74" si="15">I66+1</f>
        <v>2036</v>
      </c>
      <c r="J67" s="88"/>
      <c r="K67" s="41">
        <v>0.02</v>
      </c>
    </row>
    <row r="68" spans="3:11">
      <c r="C68" s="88">
        <f t="shared" si="13"/>
        <v>2019</v>
      </c>
      <c r="D68" s="41">
        <v>2.1999999999999999E-2</v>
      </c>
      <c r="E68" s="86"/>
      <c r="F68" s="88">
        <f t="shared" si="14"/>
        <v>2028</v>
      </c>
      <c r="G68" s="41">
        <v>2.1999999999999999E-2</v>
      </c>
      <c r="H68" s="86"/>
      <c r="I68" s="88">
        <f t="shared" si="15"/>
        <v>2037</v>
      </c>
      <c r="J68" s="88"/>
      <c r="K68" s="41">
        <v>2.1000000000000001E-2</v>
      </c>
    </row>
    <row r="69" spans="3:11">
      <c r="C69" s="88">
        <f t="shared" si="13"/>
        <v>2020</v>
      </c>
      <c r="D69" s="41">
        <v>2.5000000000000001E-2</v>
      </c>
      <c r="E69" s="86"/>
      <c r="F69" s="88">
        <f t="shared" si="14"/>
        <v>2029</v>
      </c>
      <c r="G69" s="41">
        <v>2.1000000000000001E-2</v>
      </c>
      <c r="H69" s="86"/>
      <c r="I69" s="88">
        <f t="shared" si="15"/>
        <v>2038</v>
      </c>
      <c r="J69" s="88"/>
      <c r="K69" s="41">
        <v>2.1000000000000001E-2</v>
      </c>
    </row>
    <row r="70" spans="3:11">
      <c r="C70" s="88">
        <f t="shared" si="13"/>
        <v>2021</v>
      </c>
      <c r="D70" s="41">
        <v>2.4E-2</v>
      </c>
      <c r="E70" s="86"/>
      <c r="F70" s="88">
        <f t="shared" si="14"/>
        <v>2030</v>
      </c>
      <c r="G70" s="41">
        <v>0.02</v>
      </c>
      <c r="H70" s="86"/>
      <c r="I70" s="88">
        <f t="shared" si="15"/>
        <v>2039</v>
      </c>
      <c r="J70" s="88"/>
      <c r="K70" s="41">
        <v>2.1000000000000001E-2</v>
      </c>
    </row>
    <row r="71" spans="3:11">
      <c r="C71" s="88">
        <f t="shared" si="13"/>
        <v>2022</v>
      </c>
      <c r="D71" s="41">
        <v>2.4E-2</v>
      </c>
      <c r="E71" s="86"/>
      <c r="F71" s="88">
        <f t="shared" si="14"/>
        <v>2031</v>
      </c>
      <c r="G71" s="41">
        <v>0.02</v>
      </c>
      <c r="H71" s="86"/>
      <c r="I71" s="88">
        <f t="shared" si="15"/>
        <v>2040</v>
      </c>
      <c r="J71" s="88"/>
      <c r="K71" s="41">
        <v>2.1000000000000001E-2</v>
      </c>
    </row>
    <row r="72" spans="3:11" s="124" customFormat="1">
      <c r="C72" s="88">
        <f t="shared" si="13"/>
        <v>2023</v>
      </c>
      <c r="D72" s="41">
        <v>2.4E-2</v>
      </c>
      <c r="E72" s="87"/>
      <c r="F72" s="88">
        <f t="shared" si="14"/>
        <v>2032</v>
      </c>
      <c r="G72" s="41">
        <v>0.02</v>
      </c>
      <c r="H72" s="87"/>
      <c r="I72" s="88">
        <f t="shared" si="15"/>
        <v>2041</v>
      </c>
      <c r="J72" s="88"/>
      <c r="K72" s="41">
        <v>2.1999999999999999E-2</v>
      </c>
    </row>
    <row r="73" spans="3:11" s="124" customFormat="1">
      <c r="C73" s="88">
        <f t="shared" si="13"/>
        <v>2024</v>
      </c>
      <c r="D73" s="41">
        <v>2.3E-2</v>
      </c>
      <c r="E73" s="87"/>
      <c r="F73" s="88">
        <f t="shared" si="14"/>
        <v>2033</v>
      </c>
      <c r="G73" s="41">
        <v>0.02</v>
      </c>
      <c r="H73" s="87"/>
      <c r="I73" s="88">
        <f t="shared" si="15"/>
        <v>2042</v>
      </c>
      <c r="J73" s="88"/>
      <c r="K73" s="41">
        <v>2.1999999999999999E-2</v>
      </c>
    </row>
    <row r="74" spans="3:11" s="124" customFormat="1">
      <c r="C74" s="88">
        <f t="shared" si="13"/>
        <v>2025</v>
      </c>
      <c r="D74" s="41">
        <v>2.3E-2</v>
      </c>
      <c r="E74" s="87"/>
      <c r="F74" s="88">
        <f t="shared" si="14"/>
        <v>2034</v>
      </c>
      <c r="G74" s="41">
        <v>0.02</v>
      </c>
      <c r="H74" s="87"/>
      <c r="I74" s="88">
        <f t="shared" si="15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Z86"/>
  <sheetViews>
    <sheetView view="pageBreakPreview" topLeftCell="A2" zoomScale="60" zoomScaleNormal="80" workbookViewId="0">
      <selection activeCell="E69" sqref="E69"/>
    </sheetView>
  </sheetViews>
  <sheetFormatPr defaultRowHeight="12.75"/>
  <cols>
    <col min="1" max="1" width="12.5" style="3" customWidth="1"/>
    <col min="2" max="2" width="10.83203125" style="3" customWidth="1"/>
    <col min="3" max="3" width="14.1640625" style="3" customWidth="1"/>
    <col min="4" max="4" width="6.5" style="3" customWidth="1"/>
    <col min="5" max="5" width="18.83203125" style="3" customWidth="1"/>
    <col min="6" max="6" width="3.5" style="3" bestFit="1" customWidth="1"/>
    <col min="7" max="7" width="20" style="3" customWidth="1"/>
    <col min="8" max="8" width="3.83203125" style="3" customWidth="1"/>
    <col min="9" max="9" width="9.6640625" style="3" customWidth="1"/>
    <col min="10" max="10" width="4.83203125" customWidth="1"/>
    <col min="11" max="11" width="16.6640625" customWidth="1"/>
    <col min="12" max="12" width="19.1640625" customWidth="1"/>
    <col min="16" max="16" width="17.6640625" customWidth="1"/>
    <col min="17" max="17" width="12.83203125" customWidth="1"/>
    <col min="18" max="18" width="12.5" customWidth="1"/>
    <col min="22" max="22" width="13.1640625" customWidth="1"/>
    <col min="26" max="26" width="10.83203125" customWidth="1"/>
    <col min="27" max="27" width="10.1640625" customWidth="1"/>
    <col min="28" max="28" width="11.1640625" customWidth="1"/>
    <col min="29" max="31" width="10.83203125" customWidth="1"/>
    <col min="32" max="32" width="12.5" customWidth="1"/>
    <col min="33" max="33" width="10.83203125" customWidth="1"/>
    <col min="34" max="34" width="14" customWidth="1"/>
    <col min="35" max="35" width="12.5" customWidth="1"/>
    <col min="37" max="37" width="10" customWidth="1"/>
    <col min="38" max="38" width="12.5" customWidth="1"/>
    <col min="47" max="52" width="10.83203125" customWidth="1"/>
    <col min="53" max="53" width="9.83203125" customWidth="1"/>
    <col min="54" max="54" width="10.83203125" customWidth="1"/>
    <col min="55" max="55" width="11.1640625" customWidth="1"/>
    <col min="56" max="56" width="12.83203125" customWidth="1"/>
    <col min="57" max="57" width="5.83203125" customWidth="1"/>
    <col min="58" max="59" width="16.1640625" customWidth="1"/>
    <col min="60" max="60" width="12.5" customWidth="1"/>
    <col min="61" max="62" width="11.83203125" customWidth="1"/>
    <col min="63" max="63" width="11.6640625" customWidth="1"/>
    <col min="64" max="64" width="9.6640625" customWidth="1"/>
    <col min="68" max="68" width="12.5" customWidth="1"/>
    <col min="69" max="69" width="10.5" customWidth="1"/>
    <col min="70" max="70" width="11.83203125" customWidth="1"/>
    <col min="71" max="72" width="12.83203125" customWidth="1"/>
    <col min="73" max="73" width="11.83203125" customWidth="1"/>
    <col min="74" max="74" width="11.33203125" customWidth="1"/>
    <col min="75" max="75" width="11.6640625" customWidth="1"/>
    <col min="76" max="76" width="13.33203125" customWidth="1"/>
    <col min="77" max="77" width="12.1640625" customWidth="1"/>
    <col min="89" max="89" width="11.5" customWidth="1"/>
    <col min="90" max="90" width="11.33203125" customWidth="1"/>
    <col min="91" max="91" width="11.5" customWidth="1"/>
    <col min="92" max="92" width="10.6640625" customWidth="1"/>
    <col min="93" max="93" width="10.83203125" customWidth="1"/>
    <col min="94" max="94" width="11.5" customWidth="1"/>
    <col min="95" max="95" width="11.83203125" customWidth="1"/>
    <col min="96" max="96" width="11.1640625" customWidth="1"/>
    <col min="97" max="97" width="12" customWidth="1"/>
    <col min="98" max="98" width="12.5" customWidth="1"/>
    <col min="99" max="99" width="11" customWidth="1"/>
    <col min="102" max="102" width="17.33203125" customWidth="1"/>
    <col min="103" max="103" width="16.6640625" customWidth="1"/>
    <col min="104" max="104" width="15" customWidth="1"/>
  </cols>
  <sheetData>
    <row r="1" spans="2:103" customFormat="1" ht="15.75" hidden="1">
      <c r="B1" s="1" t="s">
        <v>37</v>
      </c>
      <c r="C1" s="2"/>
      <c r="D1" s="2"/>
      <c r="E1" s="2"/>
      <c r="F1" s="2"/>
      <c r="G1" s="11"/>
      <c r="H1" s="36"/>
      <c r="I1" s="5"/>
    </row>
    <row r="2" spans="2:103" customFormat="1" ht="5.25" customHeight="1">
      <c r="B2" s="1"/>
      <c r="C2" s="2"/>
      <c r="D2" s="2"/>
      <c r="E2" s="2"/>
      <c r="F2" s="3"/>
      <c r="G2" s="11"/>
      <c r="H2" s="36"/>
      <c r="I2" s="5"/>
    </row>
    <row r="3" spans="2:103" customFormat="1" ht="15.75">
      <c r="B3" s="1" t="s">
        <v>21</v>
      </c>
      <c r="C3" s="2"/>
      <c r="D3" s="2"/>
      <c r="E3" s="2"/>
      <c r="F3" s="2"/>
      <c r="G3" s="11"/>
      <c r="H3" s="36"/>
      <c r="I3" s="3"/>
      <c r="K3">
        <f>MATCH('Table 5'!K5,'Table 5'!$B$12:$B$264,FALSE)+ROW('Table 5'!B11)</f>
        <v>13</v>
      </c>
      <c r="CX3" s="216">
        <v>0</v>
      </c>
      <c r="CY3" t="s">
        <v>110</v>
      </c>
    </row>
    <row r="4" spans="2:103" customFormat="1" ht="15.75">
      <c r="B4" s="4" t="s">
        <v>18</v>
      </c>
      <c r="C4" s="4"/>
      <c r="D4" s="4"/>
      <c r="E4" s="4"/>
      <c r="F4" s="4"/>
      <c r="G4" s="1"/>
      <c r="H4" s="36"/>
      <c r="I4" s="3"/>
      <c r="K4">
        <f>MATCH('Table 5'!K6,'Table 5'!$B$12:$B$264,FALSE)+ROW('Table 5'!B11)</f>
        <v>252</v>
      </c>
      <c r="P4" s="183" t="s">
        <v>61</v>
      </c>
      <c r="Q4" s="183"/>
      <c r="CX4">
        <v>750</v>
      </c>
      <c r="CY4" t="s">
        <v>111</v>
      </c>
    </row>
    <row r="5" spans="2:103" customFormat="1" ht="15.75">
      <c r="B5" s="4" t="str">
        <f ca="1">'Table 5'!M4&amp; " - "&amp;TEXT(Study_MW,"#.0")&amp;" MW and "&amp;TEXT(Study_CF,"#.0%")&amp;" CF"</f>
        <v>Utah 2018.Q2_Wind - 80.0 MW and 31.0% CF</v>
      </c>
      <c r="C5" s="4"/>
      <c r="D5" s="4"/>
      <c r="E5" s="4"/>
      <c r="F5" s="4"/>
      <c r="G5" s="1"/>
      <c r="H5" s="36"/>
      <c r="I5" s="5"/>
      <c r="P5" s="184">
        <v>0.158</v>
      </c>
      <c r="Q5" s="184">
        <v>0.158</v>
      </c>
      <c r="R5" s="184">
        <v>0.158</v>
      </c>
      <c r="S5" s="184">
        <v>0.158</v>
      </c>
      <c r="T5" s="184">
        <v>0.158</v>
      </c>
      <c r="U5" s="184">
        <v>0.11776428835036618</v>
      </c>
      <c r="V5" s="184">
        <v>0.11776428835036618</v>
      </c>
      <c r="W5" s="184">
        <v>0.11776428835036618</v>
      </c>
      <c r="X5" s="184">
        <v>0.158</v>
      </c>
      <c r="Y5" s="184">
        <v>0.158</v>
      </c>
      <c r="Z5" s="184">
        <v>0.53861399146353772</v>
      </c>
      <c r="AA5" s="184">
        <v>0.53861399146353772</v>
      </c>
      <c r="AB5" s="184">
        <v>0.53861399146353772</v>
      </c>
      <c r="AC5" s="184">
        <v>0.59672377662708742</v>
      </c>
      <c r="AD5" s="184">
        <v>0.59672377662708742</v>
      </c>
      <c r="AE5" s="184">
        <v>0.37912293315598289</v>
      </c>
      <c r="AF5" s="184">
        <v>0.64803174039612643</v>
      </c>
      <c r="AG5" s="184">
        <v>0.64803174039612643</v>
      </c>
      <c r="AH5" s="184">
        <v>0.64803174039612643</v>
      </c>
      <c r="AI5" s="184">
        <v>0.64803174039612643</v>
      </c>
      <c r="AJ5" s="184"/>
      <c r="CX5" s="194">
        <f>$CX$3*$CX$4</f>
        <v>0</v>
      </c>
      <c r="CY5" t="s">
        <v>106</v>
      </c>
    </row>
    <row r="6" spans="2:103" customFormat="1" ht="14.25" hidden="1">
      <c r="B6" s="20"/>
      <c r="C6" s="4"/>
      <c r="D6" s="4"/>
      <c r="E6" s="4"/>
      <c r="F6" s="4"/>
      <c r="G6" s="11"/>
      <c r="H6" s="36"/>
      <c r="I6" s="5"/>
    </row>
    <row r="7" spans="2:103" customFormat="1">
      <c r="B7" s="3"/>
      <c r="C7" s="7"/>
      <c r="D7" s="7"/>
      <c r="E7" s="3"/>
      <c r="F7" s="3"/>
      <c r="G7" s="3"/>
      <c r="H7" s="36"/>
      <c r="I7" s="49"/>
    </row>
    <row r="8" spans="2:103" s="241" customFormat="1" ht="40.5" customHeight="1">
      <c r="B8" s="229"/>
      <c r="C8" s="229"/>
      <c r="D8" s="229"/>
      <c r="E8" s="231"/>
      <c r="F8" s="232"/>
      <c r="G8" s="230" t="s">
        <v>14</v>
      </c>
      <c r="H8" s="234"/>
      <c r="I8" s="244"/>
      <c r="K8" s="245" t="s">
        <v>61</v>
      </c>
      <c r="L8" s="245"/>
      <c r="P8" s="246" t="s">
        <v>92</v>
      </c>
      <c r="Q8" s="246"/>
      <c r="S8" s="248" t="s">
        <v>168</v>
      </c>
      <c r="T8" s="248" t="s">
        <v>169</v>
      </c>
      <c r="X8" s="248" t="s">
        <v>166</v>
      </c>
      <c r="Y8" s="248" t="s">
        <v>167</v>
      </c>
      <c r="Z8" s="241" t="s">
        <v>159</v>
      </c>
      <c r="AA8" s="241" t="s">
        <v>150</v>
      </c>
      <c r="AB8" s="241" t="s">
        <v>151</v>
      </c>
      <c r="AC8" s="241" t="s">
        <v>152</v>
      </c>
      <c r="AD8" s="241" t="s">
        <v>153</v>
      </c>
      <c r="AE8" s="241" t="s">
        <v>154</v>
      </c>
      <c r="AF8" s="241" t="s">
        <v>162</v>
      </c>
      <c r="AG8" s="241" t="s">
        <v>156</v>
      </c>
      <c r="AH8" s="241" t="s">
        <v>157</v>
      </c>
      <c r="AI8" s="241" t="s">
        <v>158</v>
      </c>
      <c r="AK8" s="246" t="s">
        <v>93</v>
      </c>
      <c r="AL8" s="246"/>
      <c r="AN8" s="248" t="s">
        <v>168</v>
      </c>
      <c r="AO8" s="248" t="s">
        <v>169</v>
      </c>
      <c r="AS8" s="248" t="s">
        <v>166</v>
      </c>
      <c r="AT8" s="248" t="s">
        <v>167</v>
      </c>
      <c r="AU8" s="241" t="str">
        <f t="shared" ref="AU8:BD9" si="0">Z8</f>
        <v>IRP17 Yakima Solar2030</v>
      </c>
      <c r="AV8" s="241" t="str">
        <f t="shared" si="0"/>
        <v>IRP17 Yakima Solar2032</v>
      </c>
      <c r="AW8" s="241" t="str">
        <f t="shared" si="0"/>
        <v>IRP17 Yakima Solar2033</v>
      </c>
      <c r="AX8" s="241" t="str">
        <f t="shared" si="0"/>
        <v>IRP17 Utah South Solar T2033</v>
      </c>
      <c r="AY8" s="241" t="str">
        <f t="shared" si="0"/>
        <v>IRP17 Utah South Solar T2035</v>
      </c>
      <c r="AZ8" s="241" t="str">
        <f t="shared" si="0"/>
        <v>IRP17 Utah South Solar F2035</v>
      </c>
      <c r="BA8" s="241" t="str">
        <f t="shared" si="0"/>
        <v>IRP17 SOregonCal Solar2030</v>
      </c>
      <c r="BB8" s="241" t="str">
        <f t="shared" si="0"/>
        <v>IRP17 SOregonCal Solar2031</v>
      </c>
      <c r="BC8" s="241" t="str">
        <f t="shared" si="0"/>
        <v>IRP17 SOregonCal Solar2032</v>
      </c>
      <c r="BD8" s="241" t="str">
        <f t="shared" si="0"/>
        <v>IRP17 SOregonCal Solar2033</v>
      </c>
      <c r="BF8" s="246" t="s">
        <v>94</v>
      </c>
      <c r="BG8" s="246"/>
      <c r="BJ8" s="248"/>
      <c r="BO8" s="248"/>
      <c r="CA8" s="246" t="s">
        <v>95</v>
      </c>
      <c r="CB8" s="246"/>
      <c r="CE8" s="251"/>
      <c r="CJ8" s="251"/>
      <c r="CX8" s="209" t="s">
        <v>94</v>
      </c>
      <c r="CY8" s="210" t="s">
        <v>95</v>
      </c>
    </row>
    <row r="9" spans="2:103" s="220" customFormat="1" ht="76.5" customHeight="1">
      <c r="B9" s="229"/>
      <c r="C9" s="230" t="s">
        <v>6</v>
      </c>
      <c r="D9" s="230"/>
      <c r="E9" s="231" t="s">
        <v>19</v>
      </c>
      <c r="F9" s="232"/>
      <c r="G9" s="233">
        <f ca="1">Study_CF</f>
        <v>0.31003504566210044</v>
      </c>
      <c r="H9" s="234"/>
      <c r="I9" s="235"/>
      <c r="K9" s="236" t="s">
        <v>62</v>
      </c>
      <c r="L9" s="236" t="s">
        <v>54</v>
      </c>
      <c r="M9" s="237" t="s">
        <v>96</v>
      </c>
      <c r="P9" s="220" t="s">
        <v>91</v>
      </c>
      <c r="Q9" s="220" t="s">
        <v>140</v>
      </c>
      <c r="R9" s="220" t="s">
        <v>87</v>
      </c>
      <c r="S9" s="220" t="s">
        <v>88</v>
      </c>
      <c r="T9" s="248" t="s">
        <v>88</v>
      </c>
      <c r="U9" s="220" t="s">
        <v>143</v>
      </c>
      <c r="V9" s="220" t="s">
        <v>144</v>
      </c>
      <c r="W9" s="220" t="s">
        <v>145</v>
      </c>
      <c r="X9" s="220" t="s">
        <v>142</v>
      </c>
      <c r="Y9" s="248" t="s">
        <v>142</v>
      </c>
      <c r="Z9" s="220" t="s">
        <v>90</v>
      </c>
      <c r="AA9" s="241" t="s">
        <v>90</v>
      </c>
      <c r="AB9" s="241" t="s">
        <v>90</v>
      </c>
      <c r="AC9" s="220" t="s">
        <v>147</v>
      </c>
      <c r="AD9" s="241" t="s">
        <v>147</v>
      </c>
      <c r="AE9" s="241" t="s">
        <v>161</v>
      </c>
      <c r="AF9" s="241" t="s">
        <v>141</v>
      </c>
      <c r="AG9" s="241" t="s">
        <v>141</v>
      </c>
      <c r="AH9" s="241" t="s">
        <v>141</v>
      </c>
      <c r="AI9" s="220" t="s">
        <v>141</v>
      </c>
      <c r="AJ9" s="239"/>
      <c r="AK9" s="220" t="str">
        <f t="shared" ref="AK9:AT9" si="1">P9</f>
        <v>IRP17 Aeolus Wind</v>
      </c>
      <c r="AL9" s="220" t="str">
        <f t="shared" si="1"/>
        <v>IRP17 WYAE WindCDR2021</v>
      </c>
      <c r="AM9" s="220" t="str">
        <f t="shared" si="1"/>
        <v>IRP17 Dave Johnston Wind</v>
      </c>
      <c r="AN9" s="220" t="str">
        <f t="shared" si="1"/>
        <v>IRP17 Goshen Wind 2</v>
      </c>
      <c r="AO9" s="248" t="str">
        <f t="shared" si="1"/>
        <v>IRP17 Goshen Wind 2</v>
      </c>
      <c r="AP9" s="220" t="str">
        <f t="shared" si="1"/>
        <v>IRP17 WallaW Wind</v>
      </c>
      <c r="AQ9" s="220" t="str">
        <f t="shared" si="1"/>
        <v>IRP17 Yakima Wind</v>
      </c>
      <c r="AR9" s="220" t="str">
        <f t="shared" si="1"/>
        <v>IRP17 S Oregon Wind</v>
      </c>
      <c r="AS9" s="220" t="str">
        <f t="shared" si="1"/>
        <v>IRP17 UT Wind</v>
      </c>
      <c r="AT9" s="248" t="str">
        <f t="shared" si="1"/>
        <v>IRP17 UT Wind</v>
      </c>
      <c r="AU9" s="220" t="str">
        <f t="shared" si="0"/>
        <v>IRP17 Yakima Solar</v>
      </c>
      <c r="AV9" s="241" t="str">
        <f t="shared" si="0"/>
        <v>IRP17 Yakima Solar</v>
      </c>
      <c r="AW9" s="241" t="str">
        <f t="shared" si="0"/>
        <v>IRP17 Yakima Solar</v>
      </c>
      <c r="AX9" s="241" t="str">
        <f t="shared" si="0"/>
        <v>IRP17 Utah South Solar T</v>
      </c>
      <c r="AY9" s="241" t="str">
        <f t="shared" si="0"/>
        <v>IRP17 Utah South Solar T</v>
      </c>
      <c r="AZ9" s="241" t="str">
        <f t="shared" si="0"/>
        <v>IRP17 Utah South Solar F</v>
      </c>
      <c r="BA9" s="241" t="str">
        <f t="shared" si="0"/>
        <v>IRP17 SOregonCal Solar</v>
      </c>
      <c r="BB9" s="241" t="str">
        <f t="shared" si="0"/>
        <v>IRP17 SOregonCal Solar</v>
      </c>
      <c r="BC9" s="241" t="str">
        <f t="shared" si="0"/>
        <v>IRP17 SOregonCal Solar</v>
      </c>
      <c r="BD9" s="241" t="str">
        <f t="shared" si="0"/>
        <v>IRP17 SOregonCal Solar</v>
      </c>
      <c r="BF9" s="220" t="str">
        <f>P9</f>
        <v>IRP17 Aeolus Wind</v>
      </c>
      <c r="BG9" s="220" t="str">
        <f>Q9</f>
        <v>IRP17 WYAE WindCDR2021</v>
      </c>
      <c r="BH9" s="220" t="str">
        <f>R9</f>
        <v>IRP17 Dave Johnston Wind</v>
      </c>
      <c r="BI9" s="249" t="str">
        <f>S8</f>
        <v>IRP17 Goshen Wind 2 2030</v>
      </c>
      <c r="BJ9" s="249" t="str">
        <f>T8</f>
        <v>IRP17 Goshen Wind 2 2033</v>
      </c>
      <c r="BK9" s="220" t="str">
        <f>U9</f>
        <v>IRP17 WallaW Wind</v>
      </c>
      <c r="BL9" s="220" t="str">
        <f>V9</f>
        <v>IRP17 Yakima Wind</v>
      </c>
      <c r="BM9" s="220" t="str">
        <f>W9</f>
        <v>IRP17 S Oregon Wind</v>
      </c>
      <c r="BN9" s="249" t="str">
        <f>X8</f>
        <v>IRP17 UT Wind 2030</v>
      </c>
      <c r="BO9" s="249" t="str">
        <f>Y8</f>
        <v>IRP17 UT Wind 2036</v>
      </c>
      <c r="BP9" s="243" t="s">
        <v>149</v>
      </c>
      <c r="BQ9" s="243" t="s">
        <v>150</v>
      </c>
      <c r="BR9" s="243" t="s">
        <v>151</v>
      </c>
      <c r="BS9" s="243" t="s">
        <v>152</v>
      </c>
      <c r="BT9" s="243" t="s">
        <v>153</v>
      </c>
      <c r="BU9" s="243" t="s">
        <v>154</v>
      </c>
      <c r="BV9" s="243" t="s">
        <v>155</v>
      </c>
      <c r="BW9" s="243" t="s">
        <v>156</v>
      </c>
      <c r="BX9" s="243" t="s">
        <v>157</v>
      </c>
      <c r="BY9" s="243" t="s">
        <v>158</v>
      </c>
      <c r="CA9" s="220" t="str">
        <f t="shared" ref="CA9:CT9" si="2">BF9</f>
        <v>IRP17 Aeolus Wind</v>
      </c>
      <c r="CB9" s="241" t="str">
        <f t="shared" si="2"/>
        <v>IRP17 WYAE WindCDR2021</v>
      </c>
      <c r="CC9" s="241" t="str">
        <f t="shared" si="2"/>
        <v>IRP17 Dave Johnston Wind</v>
      </c>
      <c r="CD9" s="241" t="str">
        <f t="shared" si="2"/>
        <v>IRP17 Goshen Wind 2 2030</v>
      </c>
      <c r="CE9" s="249" t="str">
        <f t="shared" si="2"/>
        <v>IRP17 Goshen Wind 2 2033</v>
      </c>
      <c r="CF9" s="241" t="str">
        <f t="shared" si="2"/>
        <v>IRP17 WallaW Wind</v>
      </c>
      <c r="CG9" s="241" t="str">
        <f t="shared" si="2"/>
        <v>IRP17 Yakima Wind</v>
      </c>
      <c r="CH9" s="241" t="str">
        <f t="shared" si="2"/>
        <v>IRP17 S Oregon Wind</v>
      </c>
      <c r="CI9" s="241" t="str">
        <f t="shared" si="2"/>
        <v>IRP17 UT Wind 2030</v>
      </c>
      <c r="CJ9" s="249" t="str">
        <f t="shared" si="2"/>
        <v>IRP17 UT Wind 2036</v>
      </c>
      <c r="CK9" s="241" t="str">
        <f t="shared" si="2"/>
        <v xml:space="preserve">IRP17 Yakima Solar2030 </v>
      </c>
      <c r="CL9" s="241" t="str">
        <f t="shared" si="2"/>
        <v>IRP17 Yakima Solar2032</v>
      </c>
      <c r="CM9" s="241" t="str">
        <f t="shared" si="2"/>
        <v>IRP17 Yakima Solar2033</v>
      </c>
      <c r="CN9" s="241" t="str">
        <f t="shared" si="2"/>
        <v>IRP17 Utah South Solar T2033</v>
      </c>
      <c r="CO9" s="241" t="str">
        <f t="shared" si="2"/>
        <v>IRP17 Utah South Solar T2035</v>
      </c>
      <c r="CP9" s="241" t="str">
        <f t="shared" si="2"/>
        <v>IRP17 Utah South Solar F2035</v>
      </c>
      <c r="CQ9" s="241" t="str">
        <f t="shared" si="2"/>
        <v>IRP17 SOregonCal Solar2030'</v>
      </c>
      <c r="CR9" s="241" t="str">
        <f t="shared" si="2"/>
        <v>IRP17 SOregonCal Solar2031</v>
      </c>
      <c r="CS9" s="241" t="str">
        <f t="shared" si="2"/>
        <v>IRP17 SOregonCal Solar2032</v>
      </c>
      <c r="CT9" s="241" t="str">
        <f t="shared" si="2"/>
        <v>IRP17 SOregonCal Solar2033</v>
      </c>
      <c r="CU9" s="220" t="s">
        <v>97</v>
      </c>
      <c r="CX9" s="220" t="s">
        <v>107</v>
      </c>
      <c r="CY9" s="220" t="s">
        <v>107</v>
      </c>
    </row>
    <row r="10" spans="2:103" customFormat="1">
      <c r="B10" s="6" t="s">
        <v>0</v>
      </c>
      <c r="C10" s="6" t="str">
        <f>"Price"&amp;IF(I8&lt;&gt;1," ","")</f>
        <v xml:space="preserve">Price </v>
      </c>
      <c r="D10" s="6"/>
      <c r="E10" s="12" t="s">
        <v>20</v>
      </c>
      <c r="F10" s="39"/>
      <c r="G10" s="12" t="s">
        <v>15</v>
      </c>
      <c r="H10" s="36"/>
      <c r="I10" s="90"/>
      <c r="K10" s="113"/>
      <c r="L10" s="113"/>
      <c r="M10" s="185"/>
    </row>
    <row r="11" spans="2:103" customFormat="1" ht="13.5">
      <c r="B11" s="6"/>
      <c r="C11" s="6" t="s">
        <v>17</v>
      </c>
      <c r="D11" s="6"/>
      <c r="E11" s="85" t="s">
        <v>56</v>
      </c>
      <c r="F11" s="39"/>
      <c r="G11" s="12" t="s">
        <v>33</v>
      </c>
      <c r="H11" s="36"/>
      <c r="I11" s="90"/>
      <c r="K11" s="114" t="s">
        <v>63</v>
      </c>
      <c r="L11" s="115">
        <v>0.158</v>
      </c>
      <c r="M11" s="115">
        <v>0.11776428835036618</v>
      </c>
      <c r="P11" t="s">
        <v>34</v>
      </c>
      <c r="R11" t="s">
        <v>34</v>
      </c>
      <c r="S11" t="s">
        <v>34</v>
      </c>
      <c r="T11" t="s">
        <v>34</v>
      </c>
      <c r="U11" t="s">
        <v>34</v>
      </c>
      <c r="V11" t="s">
        <v>34</v>
      </c>
      <c r="W11" t="s">
        <v>34</v>
      </c>
      <c r="X11" t="s">
        <v>34</v>
      </c>
      <c r="Y11" t="s">
        <v>34</v>
      </c>
      <c r="Z11" t="s">
        <v>34</v>
      </c>
      <c r="AA11" t="s">
        <v>34</v>
      </c>
      <c r="AB11" t="s">
        <v>34</v>
      </c>
      <c r="AC11" t="s">
        <v>34</v>
      </c>
      <c r="AD11" t="s">
        <v>34</v>
      </c>
      <c r="AE11" t="s">
        <v>34</v>
      </c>
      <c r="AF11" t="s">
        <v>34</v>
      </c>
      <c r="AG11" t="s">
        <v>34</v>
      </c>
      <c r="AH11" t="s">
        <v>34</v>
      </c>
      <c r="AI11" t="s">
        <v>34</v>
      </c>
      <c r="AK11" t="s">
        <v>34</v>
      </c>
      <c r="AL11" t="s">
        <v>34</v>
      </c>
      <c r="AM11" t="s">
        <v>34</v>
      </c>
      <c r="AN11" t="s">
        <v>34</v>
      </c>
      <c r="AO11" t="s">
        <v>34</v>
      </c>
      <c r="AP11" t="s">
        <v>34</v>
      </c>
      <c r="AQ11" t="s">
        <v>34</v>
      </c>
      <c r="AR11" t="s">
        <v>34</v>
      </c>
      <c r="AS11" t="s">
        <v>34</v>
      </c>
      <c r="AT11" t="s">
        <v>34</v>
      </c>
      <c r="AU11" t="s">
        <v>34</v>
      </c>
      <c r="AV11" t="s">
        <v>34</v>
      </c>
      <c r="AW11" t="s">
        <v>34</v>
      </c>
      <c r="AX11" t="s">
        <v>34</v>
      </c>
      <c r="AY11" t="s">
        <v>34</v>
      </c>
      <c r="AZ11" t="s">
        <v>34</v>
      </c>
      <c r="BA11" t="s">
        <v>34</v>
      </c>
      <c r="BB11" t="s">
        <v>34</v>
      </c>
      <c r="BC11" t="s">
        <v>34</v>
      </c>
      <c r="BD11" t="s">
        <v>34</v>
      </c>
      <c r="BF11" t="s">
        <v>98</v>
      </c>
      <c r="BG11" t="s">
        <v>98</v>
      </c>
      <c r="BH11" t="s">
        <v>98</v>
      </c>
      <c r="BI11" t="s">
        <v>98</v>
      </c>
      <c r="BK11" t="s">
        <v>98</v>
      </c>
      <c r="BL11" t="s">
        <v>98</v>
      </c>
      <c r="BM11" t="s">
        <v>98</v>
      </c>
      <c r="BN11" t="s">
        <v>98</v>
      </c>
      <c r="BP11" t="s">
        <v>98</v>
      </c>
      <c r="BQ11" t="s">
        <v>98</v>
      </c>
      <c r="BR11" t="s">
        <v>98</v>
      </c>
      <c r="BS11" t="s">
        <v>98</v>
      </c>
      <c r="BT11" t="s">
        <v>98</v>
      </c>
      <c r="BU11" t="s">
        <v>98</v>
      </c>
      <c r="BV11" t="s">
        <v>98</v>
      </c>
      <c r="BW11" t="s">
        <v>98</v>
      </c>
      <c r="BX11" t="s">
        <v>98</v>
      </c>
      <c r="BY11" t="s">
        <v>98</v>
      </c>
      <c r="CA11" t="s">
        <v>99</v>
      </c>
      <c r="CB11" t="s">
        <v>99</v>
      </c>
      <c r="CC11" t="s">
        <v>99</v>
      </c>
      <c r="CD11" t="s">
        <v>99</v>
      </c>
      <c r="CE11" t="s">
        <v>99</v>
      </c>
      <c r="CF11" t="s">
        <v>99</v>
      </c>
      <c r="CG11" t="s">
        <v>99</v>
      </c>
      <c r="CH11" t="s">
        <v>99</v>
      </c>
      <c r="CI11" t="s">
        <v>99</v>
      </c>
      <c r="CJ11" t="s">
        <v>99</v>
      </c>
      <c r="CK11" t="s">
        <v>99</v>
      </c>
      <c r="CL11" t="s">
        <v>99</v>
      </c>
      <c r="CM11" t="s">
        <v>99</v>
      </c>
      <c r="CN11" t="s">
        <v>99</v>
      </c>
      <c r="CO11" t="s">
        <v>99</v>
      </c>
      <c r="CP11" t="s">
        <v>99</v>
      </c>
      <c r="CQ11" t="s">
        <v>99</v>
      </c>
      <c r="CR11" t="s">
        <v>99</v>
      </c>
      <c r="CS11" t="s">
        <v>99</v>
      </c>
      <c r="CT11" t="s">
        <v>99</v>
      </c>
      <c r="CU11" t="s">
        <v>99</v>
      </c>
      <c r="CX11" t="s">
        <v>98</v>
      </c>
      <c r="CY11" t="s">
        <v>99</v>
      </c>
    </row>
    <row r="12" spans="2:103" customFormat="1">
      <c r="B12" s="189"/>
      <c r="C12" s="190"/>
      <c r="D12" s="189"/>
      <c r="E12" s="12"/>
      <c r="F12" s="12"/>
      <c r="G12" s="3"/>
      <c r="H12" s="36"/>
      <c r="I12" s="90"/>
      <c r="K12" s="114" t="s">
        <v>35</v>
      </c>
      <c r="L12" s="115">
        <v>0.37912293315598289</v>
      </c>
      <c r="M12" s="115">
        <v>0.53861399146353772</v>
      </c>
    </row>
    <row r="13" spans="2:103" customFormat="1">
      <c r="B13" s="15">
        <f>'Table 5'!J13</f>
        <v>2018</v>
      </c>
      <c r="C13" s="9">
        <f t="shared" ref="C13:C33" si="3">(INDEX($CU:$CU,MATCH(B13,$O:$O,0),1)+INDEX($CY:$CY,MATCH(B13,$O:$O,0),1))*1000/Study_MW</f>
        <v>0</v>
      </c>
      <c r="D13" s="45"/>
      <c r="E13" s="8">
        <f ca="1">SUMIF(INDIRECT("'Table 5'!$J$"&amp;$K$3&amp;":$J$"&amp;$K$4),B13,INDIRECT("'Table 5'!$c$"&amp;$K$3&amp;":$c$"&amp;$K$4))/SUMIF(INDIRECT("'Table 5'!$J$"&amp;$K$3&amp;":$J$"&amp;$K$4),B13,INDIRECT("'Table 5'!$f$"&amp;$K$3&amp;":$f$"&amp;$K$4))</f>
        <v>18.835891544821688</v>
      </c>
      <c r="F13" s="44"/>
      <c r="G13" s="13">
        <f ca="1">SUMIF(INDIRECT("'Table 5'!$J$"&amp;$K$3&amp;":$J$"&amp;$K$4),B13,INDIRECT("'Table 5'!$e$"&amp;$K$3&amp;":$e$"&amp;$K$4))/SUMIF(INDIRECT("'Table 5'!$J$"&amp;$K$3&amp;":$J$"&amp;$K$4),B13,INDIRECT("'Table 5'!$f$"&amp;$K$3&amp;":$f$"&amp;$K$4))</f>
        <v>18.835891544821688</v>
      </c>
      <c r="H13" s="36"/>
      <c r="I13" s="194"/>
      <c r="J13" s="194"/>
      <c r="K13" s="114" t="s">
        <v>64</v>
      </c>
      <c r="L13" s="115">
        <v>0.59672377662708742</v>
      </c>
      <c r="M13" s="115">
        <v>0.64803174039612643</v>
      </c>
      <c r="O13">
        <f t="shared" ref="O13:O32" si="4">B13</f>
        <v>2018</v>
      </c>
      <c r="P13">
        <v>0</v>
      </c>
      <c r="Q13">
        <v>0</v>
      </c>
      <c r="R13">
        <v>0</v>
      </c>
      <c r="S13" s="194">
        <v>0</v>
      </c>
      <c r="T13" s="194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K13">
        <f t="shared" ref="AK13:AK33" si="5">P13/P$5</f>
        <v>0</v>
      </c>
      <c r="AL13">
        <f t="shared" ref="AL13:AL33" si="6">Q13/Q$5</f>
        <v>0</v>
      </c>
      <c r="AM13">
        <f t="shared" ref="AM13:AM33" si="7">R13/R$5</f>
        <v>0</v>
      </c>
      <c r="AN13">
        <f t="shared" ref="AN13:AO33" si="8">S13/S$5</f>
        <v>0</v>
      </c>
      <c r="AO13">
        <f t="shared" si="8"/>
        <v>0</v>
      </c>
      <c r="AP13">
        <f t="shared" ref="AP13:AP33" si="9">U13/U$5</f>
        <v>0</v>
      </c>
      <c r="AQ13">
        <f t="shared" ref="AQ13:AQ33" si="10">V13/V$5</f>
        <v>0</v>
      </c>
      <c r="AR13">
        <f t="shared" ref="AR13:AR33" si="11">W13/W$5</f>
        <v>0</v>
      </c>
      <c r="AS13">
        <f t="shared" ref="AS13:AT33" si="12">X13/X$5</f>
        <v>0</v>
      </c>
      <c r="AT13">
        <f t="shared" si="12"/>
        <v>0</v>
      </c>
      <c r="AU13">
        <f t="shared" ref="AU13:AU33" si="13">Z13/Z$5</f>
        <v>0</v>
      </c>
      <c r="AV13">
        <f t="shared" ref="AV13:AV33" si="14">AA13/AA$5</f>
        <v>0</v>
      </c>
      <c r="AW13">
        <f t="shared" ref="AW13:AW33" si="15">AB13/AB$5</f>
        <v>0</v>
      </c>
      <c r="AX13">
        <f t="shared" ref="AX13:AX33" si="16">AC13/AC$5</f>
        <v>0</v>
      </c>
      <c r="AY13">
        <f t="shared" ref="AY13:AY33" si="17">AD13/AD$5</f>
        <v>0</v>
      </c>
      <c r="AZ13">
        <f t="shared" ref="AZ13:AZ33" si="18">AE13/AE$5</f>
        <v>0</v>
      </c>
      <c r="BA13">
        <f t="shared" ref="BA13:BA33" si="19">AF13/AF$5</f>
        <v>0</v>
      </c>
      <c r="BB13">
        <f t="shared" ref="BB13:BB33" si="20">AG13/AG$5</f>
        <v>0</v>
      </c>
      <c r="BC13">
        <f t="shared" ref="BC13:BC33" si="21">AH13/AH$5</f>
        <v>0</v>
      </c>
      <c r="BD13">
        <f t="shared" ref="BD13:BD33" si="22">AI13/AI$5</f>
        <v>0</v>
      </c>
      <c r="BF13">
        <f>VLOOKUP($O13,'Table 3 EV2020 Wind_2020'!$B$10:$K$36,10,FALSE)</f>
        <v>37.270000000000003</v>
      </c>
      <c r="BG13">
        <f>VLOOKUP($O13,'Table 3 EV2020 Wind_2021'!$B$10:$K$36,10,FALSE)</f>
        <v>37.270000000000003</v>
      </c>
      <c r="BH13">
        <f>VLOOKUP($O13,'Table 3 DJ Wind 2030'!$B$10:$J$36,9,FALSE)</f>
        <v>40.82</v>
      </c>
      <c r="BI13">
        <f>VLOOKUP($O13,'Table 3 ID Wind 2030'!$B$10:$J$36,9,FALSE)</f>
        <v>38.43</v>
      </c>
      <c r="BJ13">
        <f>VLOOKUP($O13,'Table 3 ID Wind 2033'!$B$10:$J$36,9,FALSE)</f>
        <v>38.43</v>
      </c>
      <c r="BK13">
        <f>VLOOKUP($O13,'Table 3 WW Wind 2035'!$B$10:$J$36,9,FALSE)</f>
        <v>38.43</v>
      </c>
      <c r="BL13">
        <f>VLOOKUP($O13,'Table 3 YK Wind 2035'!$B$10:$J$36,9,FALSE)</f>
        <v>38.43</v>
      </c>
      <c r="BM13">
        <f>VLOOKUP($O13,'Table 3 OR Wind 2035'!$B$10:$J$36,9,FALSE)</f>
        <v>38.43</v>
      </c>
      <c r="BN13">
        <f>VLOOKUP($O13,'Table 3 UT Wind 2030'!$B$10:$J$36,9,FALSE)</f>
        <v>38.43</v>
      </c>
      <c r="BO13">
        <f>VLOOKUP($O13,'Table 3 UT Wind 2036'!$B$10:$J$36,9,FALSE)</f>
        <v>38.43</v>
      </c>
      <c r="BP13">
        <f>VLOOKUP($O13,'Table 3 YK Solar 2030'!$B$10:$J$36,9,FALSE)</f>
        <v>19.170000000000002</v>
      </c>
      <c r="BQ13">
        <f>VLOOKUP($O13,'Table 3 YK Solar 2032'!$B$10:$J$36,9,FALSE)</f>
        <v>19.170000000000002</v>
      </c>
      <c r="BR13">
        <f>VLOOKUP($O13,'Table 3 YK Solar 2033'!$B$10:$J$36,9,FALSE)</f>
        <v>19.170000000000002</v>
      </c>
      <c r="BS13">
        <f>VLOOKUP($O13,'Table 3 UT Solar 2033 ST'!$B$10:$J$36,9,FALSE)</f>
        <v>20.14</v>
      </c>
      <c r="BT13">
        <f>VLOOKUP($O13,'Table 3 UT Solar 2035 ST'!$B$10:$J$36,9,FALSE)</f>
        <v>20.14</v>
      </c>
      <c r="BU13">
        <f>VLOOKUP($O13,'Table 3 UT Solar 2035 FT'!$B$10:$J$36,9,FALSE)</f>
        <v>19.149999999999999</v>
      </c>
      <c r="BV13">
        <f>VLOOKUP($O13,'Table 3 OR Solar 2030'!$B$10:$J$36,9,FALSE)</f>
        <v>20.170000000000002</v>
      </c>
      <c r="BW13">
        <f>VLOOKUP($O13,'Table 3 OR Solar 2031'!$B$10:$J$36,9,FALSE)</f>
        <v>20.170000000000002</v>
      </c>
      <c r="BX13">
        <f>VLOOKUP($O13,'Table 3 OR Solar 2032'!$B$10:$J$36,9,FALSE)</f>
        <v>20.170000000000002</v>
      </c>
      <c r="BY13">
        <f>VLOOKUP($O13,'Table 3 OR Solar 2033'!$B$10:$J$36,9,FALSE)</f>
        <v>20.170000000000002</v>
      </c>
      <c r="CA13">
        <f>SUM(AK$13:AK13)*BF13/1000</f>
        <v>0</v>
      </c>
      <c r="CB13">
        <f>SUM(AL$13:AL13)*BG13/1000</f>
        <v>0</v>
      </c>
      <c r="CC13">
        <f>SUM(AM$13:AM13)*BH13/1000</f>
        <v>0</v>
      </c>
      <c r="CD13">
        <f>SUM(AN$13:AN13)*BI13/1000</f>
        <v>0</v>
      </c>
      <c r="CE13">
        <f>SUM(AO$13:AO13)*BJ13/1000</f>
        <v>0</v>
      </c>
      <c r="CF13">
        <f>SUM(AP$13:AP13)*BK13/1000</f>
        <v>0</v>
      </c>
      <c r="CG13">
        <f>SUM(AQ$13:AQ13)*BL13/1000</f>
        <v>0</v>
      </c>
      <c r="CH13">
        <f>SUM(AR$13:AR13)*BM13/1000</f>
        <v>0</v>
      </c>
      <c r="CI13">
        <f>SUM(AS$13:AS13)*BN13/1000</f>
        <v>0</v>
      </c>
      <c r="CJ13">
        <f>SUM(AT$13:AT13)*BO13/1000</f>
        <v>0</v>
      </c>
      <c r="CK13">
        <f>SUM(AU$13:AU13)*BP13/1000</f>
        <v>0</v>
      </c>
      <c r="CL13">
        <f>SUM(AV$13:AV13)*BQ13/1000</f>
        <v>0</v>
      </c>
      <c r="CM13">
        <f>SUM(AW$13:AW13)*BR13/1000</f>
        <v>0</v>
      </c>
      <c r="CN13">
        <f>SUM(AX$13:AX13)*BS13/1000</f>
        <v>0</v>
      </c>
      <c r="CO13">
        <f>SUM(AY$13:AY13)*BT13/1000</f>
        <v>0</v>
      </c>
      <c r="CP13">
        <f>SUM(AZ$13:AZ13)*BU13/1000</f>
        <v>0</v>
      </c>
      <c r="CQ13">
        <f>SUM(BA$13:BA13)*BV13/1000</f>
        <v>0</v>
      </c>
      <c r="CR13">
        <f>SUM(BB$13:BB13)*BW13/1000</f>
        <v>0</v>
      </c>
      <c r="CS13">
        <f>SUM(BC$13:BC13)*BX13/1000</f>
        <v>0</v>
      </c>
      <c r="CT13">
        <f>SUM(BD$13:BD13)*BY13/1000</f>
        <v>0</v>
      </c>
      <c r="CU13">
        <f t="shared" ref="CU13:CU14" si="23">SUM(CA13:CT13)</f>
        <v>0</v>
      </c>
      <c r="CW13">
        <f t="shared" ref="CW13:CW33" si="24">O13</f>
        <v>2018</v>
      </c>
      <c r="CX13" s="90">
        <f>IFERROR(VLOOKUP($CW13,'Table 3 TransCost D2 '!$B$10:$E$34,4,FALSE),0)</f>
        <v>0</v>
      </c>
      <c r="CY13" s="194">
        <f>$CX$5*CX13/1000</f>
        <v>0</v>
      </c>
    </row>
    <row r="14" spans="2:103" customFormat="1">
      <c r="B14" s="15">
        <f t="shared" ref="B14:B33" si="25">B13+1</f>
        <v>2019</v>
      </c>
      <c r="C14" s="9">
        <f t="shared" si="3"/>
        <v>0</v>
      </c>
      <c r="D14" s="45"/>
      <c r="E14" s="9">
        <f t="shared" ref="E14:E32" ca="1" si="26">SUMIF(INDIRECT("'Table 5'!$J$"&amp;$K$3&amp;":$J$"&amp;$K$4),B14,INDIRECT("'Table 5'!$c$"&amp;$K$3&amp;":$c$"&amp;$K$4))/SUMIF(INDIRECT("'Table 5'!$J$"&amp;$K$3&amp;":$J$"&amp;$K$4),B14,INDIRECT("'Table 5'!$f$"&amp;$K$3&amp;":$f$"&amp;$K$4))</f>
        <v>16.381831862972561</v>
      </c>
      <c r="F14" s="37"/>
      <c r="G14" s="14">
        <f ca="1">SUMIF(INDIRECT("'Table 5'!$J$"&amp;$K$3&amp;":$J$"&amp;$K$4),B14,INDIRECT("'Table 5'!$e$"&amp;$K$3&amp;":$e$"&amp;$K$4))/SUMIF(INDIRECT("'Table 5'!$J$"&amp;$K$3&amp;":$J$"&amp;$K$4),B14,INDIRECT("'Table 5'!$f$"&amp;$K$3&amp;":$f$"&amp;$K$4))</f>
        <v>16.381831862972561</v>
      </c>
      <c r="H14" s="36"/>
      <c r="I14" s="194"/>
      <c r="J14" s="194"/>
      <c r="K14" s="114" t="s">
        <v>65</v>
      </c>
      <c r="L14" s="115">
        <v>1</v>
      </c>
      <c r="M14" s="115">
        <v>1</v>
      </c>
      <c r="O14">
        <f t="shared" si="4"/>
        <v>2019</v>
      </c>
      <c r="P14">
        <v>0</v>
      </c>
      <c r="Q14">
        <v>0</v>
      </c>
      <c r="R14">
        <v>0</v>
      </c>
      <c r="S14" s="194">
        <v>0</v>
      </c>
      <c r="T14" s="19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K14">
        <f t="shared" si="5"/>
        <v>0</v>
      </c>
      <c r="AL14">
        <f t="shared" si="6"/>
        <v>0</v>
      </c>
      <c r="AM14">
        <f t="shared" si="7"/>
        <v>0</v>
      </c>
      <c r="AN14">
        <f t="shared" si="8"/>
        <v>0</v>
      </c>
      <c r="AO14">
        <f t="shared" si="8"/>
        <v>0</v>
      </c>
      <c r="AP14">
        <f t="shared" si="9"/>
        <v>0</v>
      </c>
      <c r="AQ14">
        <f t="shared" si="10"/>
        <v>0</v>
      </c>
      <c r="AR14">
        <f t="shared" si="11"/>
        <v>0</v>
      </c>
      <c r="AS14">
        <f t="shared" si="12"/>
        <v>0</v>
      </c>
      <c r="AT14">
        <f t="shared" si="12"/>
        <v>0</v>
      </c>
      <c r="AU14">
        <f t="shared" si="13"/>
        <v>0</v>
      </c>
      <c r="AV14">
        <f t="shared" si="14"/>
        <v>0</v>
      </c>
      <c r="AW14">
        <f t="shared" si="15"/>
        <v>0</v>
      </c>
      <c r="AX14">
        <f t="shared" si="16"/>
        <v>0</v>
      </c>
      <c r="AY14">
        <f t="shared" si="17"/>
        <v>0</v>
      </c>
      <c r="AZ14">
        <f t="shared" si="18"/>
        <v>0</v>
      </c>
      <c r="BA14">
        <f t="shared" si="19"/>
        <v>0</v>
      </c>
      <c r="BB14">
        <f t="shared" si="20"/>
        <v>0</v>
      </c>
      <c r="BC14">
        <f t="shared" si="21"/>
        <v>0</v>
      </c>
      <c r="BD14">
        <f t="shared" si="22"/>
        <v>0</v>
      </c>
      <c r="BF14">
        <f>VLOOKUP($O14,'Table 3 EV2020 Wind_2020'!$B$10:$K$36,10,FALSE)</f>
        <v>38.090000000000003</v>
      </c>
      <c r="BG14">
        <f>VLOOKUP($O14,'Table 3 EV2020 Wind_2021'!$B$10:$K$36,10,FALSE)</f>
        <v>38.090000000000003</v>
      </c>
      <c r="BH14">
        <f>VLOOKUP($O14,'Table 3 DJ Wind 2030'!$B$10:$J$36,9,FALSE)</f>
        <v>41.7</v>
      </c>
      <c r="BI14">
        <f>VLOOKUP($O14,'Table 3 ID Wind 2030'!$B$10:$J$36,9,FALSE)</f>
        <v>39.28</v>
      </c>
      <c r="BJ14">
        <f>VLOOKUP($O14,'Table 3 ID Wind 2033'!$B$10:$J$36,9,FALSE)</f>
        <v>39.28</v>
      </c>
      <c r="BK14">
        <f>VLOOKUP($O14,'Table 3 WW Wind 2035'!$B$10:$J$36,9,FALSE)</f>
        <v>39.28</v>
      </c>
      <c r="BL14">
        <f>VLOOKUP($O14,'Table 3 YK Wind 2035'!$B$10:$J$36,9,FALSE)</f>
        <v>39.28</v>
      </c>
      <c r="BM14">
        <f>VLOOKUP($O14,'Table 3 OR Wind 2035'!$B$10:$J$36,9,FALSE)</f>
        <v>39.28</v>
      </c>
      <c r="BN14">
        <f>VLOOKUP($O14,'Table 3 UT Wind 2030'!$B$10:$J$36,9,FALSE)</f>
        <v>39.28</v>
      </c>
      <c r="BO14">
        <f>VLOOKUP($O14,'Table 3 UT Wind 2036'!$B$10:$J$36,9,FALSE)</f>
        <v>39.28</v>
      </c>
      <c r="BP14">
        <f>VLOOKUP($O14,'Table 3 YK Solar 2030'!$B$10:$J$36,9,FALSE)</f>
        <v>19.59</v>
      </c>
      <c r="BQ14">
        <f>VLOOKUP($O14,'Table 3 YK Solar 2032'!$B$10:$J$36,9,FALSE)</f>
        <v>19.59</v>
      </c>
      <c r="BR14">
        <f>VLOOKUP($O14,'Table 3 YK Solar 2033'!$B$10:$J$36,9,FALSE)</f>
        <v>19.59</v>
      </c>
      <c r="BS14">
        <f>VLOOKUP($O14,'Table 3 UT Solar 2033 ST'!$B$10:$J$36,9,FALSE)</f>
        <v>20.58</v>
      </c>
      <c r="BT14">
        <f>VLOOKUP($O14,'Table 3 UT Solar 2035 ST'!$B$10:$J$36,9,FALSE)</f>
        <v>20.58</v>
      </c>
      <c r="BU14">
        <f>VLOOKUP($O14,'Table 3 UT Solar 2035 FT'!$B$10:$J$36,9,FALSE)</f>
        <v>19.57</v>
      </c>
      <c r="BV14">
        <f>VLOOKUP($O14,'Table 3 OR Solar 2030'!$B$10:$J$36,9,FALSE)</f>
        <v>20.61</v>
      </c>
      <c r="BW14">
        <f>VLOOKUP($O14,'Table 3 OR Solar 2031'!$B$10:$J$36,9,FALSE)</f>
        <v>20.61</v>
      </c>
      <c r="BX14">
        <f>VLOOKUP($O14,'Table 3 OR Solar 2032'!$B$10:$J$36,9,FALSE)</f>
        <v>20.61</v>
      </c>
      <c r="BY14">
        <f>VLOOKUP($O14,'Table 3 OR Solar 2033'!$B$10:$J$36,9,FALSE)</f>
        <v>20.61</v>
      </c>
      <c r="CA14">
        <f>SUM(AK$13:AK14)*BF14/1000</f>
        <v>0</v>
      </c>
      <c r="CB14">
        <f>SUM(AL$13:AL14)*BG14/1000</f>
        <v>0</v>
      </c>
      <c r="CC14">
        <f>SUM(AM$13:AM14)*BH14/1000</f>
        <v>0</v>
      </c>
      <c r="CD14">
        <f>SUM(AN$13:AN14)*BI14/1000</f>
        <v>0</v>
      </c>
      <c r="CE14">
        <f>SUM(AO$13:AO14)*BJ14/1000</f>
        <v>0</v>
      </c>
      <c r="CF14">
        <f>SUM(AP$13:AP14)*BK14/1000</f>
        <v>0</v>
      </c>
      <c r="CG14">
        <f>SUM(AQ$13:AQ14)*BL14/1000</f>
        <v>0</v>
      </c>
      <c r="CH14">
        <f>SUM(AR$13:AR14)*BM14/1000</f>
        <v>0</v>
      </c>
      <c r="CI14">
        <f>SUM(AS$13:AS14)*BN14/1000</f>
        <v>0</v>
      </c>
      <c r="CJ14">
        <f>SUM(AT$13:AT14)*BO14/1000</f>
        <v>0</v>
      </c>
      <c r="CK14">
        <f>SUM(AU$13:AU14)*BP14/1000</f>
        <v>0</v>
      </c>
      <c r="CL14">
        <f>SUM(AV$13:AV14)*BQ14/1000</f>
        <v>0</v>
      </c>
      <c r="CM14">
        <f>SUM(AW$13:AW14)*BR14/1000</f>
        <v>0</v>
      </c>
      <c r="CN14">
        <f>SUM(AX$13:AX14)*BS14/1000</f>
        <v>0</v>
      </c>
      <c r="CO14">
        <f>SUM(AY$13:AY14)*BT14/1000</f>
        <v>0</v>
      </c>
      <c r="CP14">
        <f>SUM(AZ$13:AZ14)*BU14/1000</f>
        <v>0</v>
      </c>
      <c r="CQ14">
        <f>SUM(BA$13:BA14)*BV14/1000</f>
        <v>0</v>
      </c>
      <c r="CR14">
        <f>SUM(BB$13:BB14)*BW14/1000</f>
        <v>0</v>
      </c>
      <c r="CS14">
        <f>SUM(BC$13:BC14)*BX14/1000</f>
        <v>0</v>
      </c>
      <c r="CT14">
        <f>SUM(BD$13:BD14)*BY14/1000</f>
        <v>0</v>
      </c>
      <c r="CU14">
        <f t="shared" si="23"/>
        <v>0</v>
      </c>
      <c r="CW14">
        <f t="shared" si="24"/>
        <v>2019</v>
      </c>
      <c r="CX14" s="90">
        <f>IFERROR(VLOOKUP($CW14,'Table 3 TransCost D2 '!$B$10:$E$34,4,FALSE),0)</f>
        <v>0</v>
      </c>
      <c r="CY14" s="194">
        <f t="shared" ref="CY14:CY33" si="27">$CX$5*CX14/1000</f>
        <v>0</v>
      </c>
    </row>
    <row r="15" spans="2:103" customFormat="1">
      <c r="B15" s="15">
        <f t="shared" si="25"/>
        <v>2020</v>
      </c>
      <c r="C15" s="9">
        <f t="shared" si="3"/>
        <v>0</v>
      </c>
      <c r="D15" s="45"/>
      <c r="E15" s="9">
        <f t="shared" ca="1" si="26"/>
        <v>15.518279480509388</v>
      </c>
      <c r="F15" s="37"/>
      <c r="G15" s="14">
        <f t="shared" ref="G15:G32" ca="1" si="28">SUMIF(INDIRECT("'Table 5'!$J$"&amp;$K$3&amp;":$J$"&amp;$K$4),B15,INDIRECT("'Table 5'!$e$"&amp;$K$3&amp;":$e$"&amp;$K$4))/SUMIF(INDIRECT("'Table 5'!$J$"&amp;$K$3&amp;":$J$"&amp;$K$4),B15,INDIRECT("'Table 5'!$f$"&amp;$K$3&amp;":$f$"&amp;$K$4))</f>
        <v>15.518279480509388</v>
      </c>
      <c r="H15" s="36"/>
      <c r="I15" s="194"/>
      <c r="J15" s="194"/>
      <c r="K15" s="114" t="s">
        <v>66</v>
      </c>
      <c r="L15" s="115">
        <v>1</v>
      </c>
      <c r="M15" s="115">
        <v>1</v>
      </c>
      <c r="O15">
        <f t="shared" si="4"/>
        <v>2020</v>
      </c>
      <c r="P15">
        <v>0</v>
      </c>
      <c r="Q15">
        <v>0</v>
      </c>
      <c r="R15">
        <v>0</v>
      </c>
      <c r="S15" s="194">
        <v>0</v>
      </c>
      <c r="T15" s="194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K15">
        <f t="shared" si="5"/>
        <v>0</v>
      </c>
      <c r="AL15">
        <f t="shared" si="6"/>
        <v>0</v>
      </c>
      <c r="AM15">
        <f t="shared" si="7"/>
        <v>0</v>
      </c>
      <c r="AN15">
        <f t="shared" si="8"/>
        <v>0</v>
      </c>
      <c r="AO15">
        <f t="shared" si="8"/>
        <v>0</v>
      </c>
      <c r="AP15">
        <f t="shared" si="9"/>
        <v>0</v>
      </c>
      <c r="AQ15">
        <f t="shared" si="10"/>
        <v>0</v>
      </c>
      <c r="AR15">
        <f t="shared" si="11"/>
        <v>0</v>
      </c>
      <c r="AS15">
        <f t="shared" si="12"/>
        <v>0</v>
      </c>
      <c r="AT15">
        <f t="shared" si="12"/>
        <v>0</v>
      </c>
      <c r="AU15">
        <f t="shared" si="13"/>
        <v>0</v>
      </c>
      <c r="AV15">
        <f t="shared" si="14"/>
        <v>0</v>
      </c>
      <c r="AW15">
        <f t="shared" si="15"/>
        <v>0</v>
      </c>
      <c r="AX15">
        <f t="shared" si="16"/>
        <v>0</v>
      </c>
      <c r="AY15">
        <f t="shared" si="17"/>
        <v>0</v>
      </c>
      <c r="AZ15">
        <f t="shared" si="18"/>
        <v>0</v>
      </c>
      <c r="BA15">
        <f t="shared" si="19"/>
        <v>0</v>
      </c>
      <c r="BB15">
        <f t="shared" si="20"/>
        <v>0</v>
      </c>
      <c r="BC15">
        <f t="shared" si="21"/>
        <v>0</v>
      </c>
      <c r="BD15">
        <f t="shared" si="22"/>
        <v>0</v>
      </c>
      <c r="BF15">
        <f>VLOOKUP($O15,'Table 3 EV2020 Wind_2020'!$B$10:$K$36,10,FALSE)</f>
        <v>-0.87</v>
      </c>
      <c r="BG15">
        <f>VLOOKUP($O15,'Table 3 EV2020 Wind_2021'!$B$10:$K$36,10,FALSE)</f>
        <v>39.06</v>
      </c>
      <c r="BH15">
        <f>VLOOKUP($O15,'Table 3 DJ Wind 2030'!$B$10:$J$36,9,FALSE)</f>
        <v>42.76</v>
      </c>
      <c r="BI15">
        <f>VLOOKUP($O15,'Table 3 ID Wind 2030'!$B$10:$J$36,9,FALSE)</f>
        <v>40.26</v>
      </c>
      <c r="BJ15">
        <f>VLOOKUP($O15,'Table 3 ID Wind 2033'!$B$10:$J$36,9,FALSE)</f>
        <v>40.26</v>
      </c>
      <c r="BK15">
        <f>VLOOKUP($O15,'Table 3 WW Wind 2035'!$B$10:$J$36,9,FALSE)</f>
        <v>40.26</v>
      </c>
      <c r="BL15">
        <f>VLOOKUP($O15,'Table 3 YK Wind 2035'!$B$10:$J$36,9,FALSE)</f>
        <v>40.26</v>
      </c>
      <c r="BM15">
        <f>VLOOKUP($O15,'Table 3 OR Wind 2035'!$B$10:$J$36,9,FALSE)</f>
        <v>40.26</v>
      </c>
      <c r="BN15">
        <f>VLOOKUP($O15,'Table 3 UT Wind 2030'!$B$10:$J$36,9,FALSE)</f>
        <v>40.26</v>
      </c>
      <c r="BO15">
        <f>VLOOKUP($O15,'Table 3 UT Wind 2036'!$B$10:$J$36,9,FALSE)</f>
        <v>40.26</v>
      </c>
      <c r="BP15">
        <f>VLOOKUP($O15,'Table 3 YK Solar 2030'!$B$10:$J$36,9,FALSE)</f>
        <v>20.079999999999998</v>
      </c>
      <c r="BQ15">
        <f>VLOOKUP($O15,'Table 3 YK Solar 2032'!$B$10:$J$36,9,FALSE)</f>
        <v>20.079999999999998</v>
      </c>
      <c r="BR15">
        <f>VLOOKUP($O15,'Table 3 YK Solar 2033'!$B$10:$J$36,9,FALSE)</f>
        <v>20.079999999999998</v>
      </c>
      <c r="BS15">
        <f>VLOOKUP($O15,'Table 3 UT Solar 2033 ST'!$B$10:$J$36,9,FALSE)</f>
        <v>21.09</v>
      </c>
      <c r="BT15">
        <f>VLOOKUP($O15,'Table 3 UT Solar 2035 ST'!$B$10:$J$36,9,FALSE)</f>
        <v>21.09</v>
      </c>
      <c r="BU15">
        <f>VLOOKUP($O15,'Table 3 UT Solar 2035 FT'!$B$10:$J$36,9,FALSE)</f>
        <v>20.059999999999999</v>
      </c>
      <c r="BV15">
        <f>VLOOKUP($O15,'Table 3 OR Solar 2030'!$B$10:$J$36,9,FALSE)</f>
        <v>21.13</v>
      </c>
      <c r="BW15">
        <f>VLOOKUP($O15,'Table 3 OR Solar 2031'!$B$10:$J$36,9,FALSE)</f>
        <v>21.13</v>
      </c>
      <c r="BX15">
        <f>VLOOKUP($O15,'Table 3 OR Solar 2032'!$B$10:$J$36,9,FALSE)</f>
        <v>21.13</v>
      </c>
      <c r="BY15">
        <f>VLOOKUP($O15,'Table 3 OR Solar 2033'!$B$10:$J$36,9,FALSE)</f>
        <v>21.13</v>
      </c>
      <c r="CA15">
        <f>SUM(AK$13:AK15)*BF15/1000</f>
        <v>0</v>
      </c>
      <c r="CB15">
        <f>SUM(AL$13:AL15)*BG15/1000</f>
        <v>0</v>
      </c>
      <c r="CC15">
        <f>SUM(AM$13:AM15)*BH15/1000</f>
        <v>0</v>
      </c>
      <c r="CD15">
        <f>SUM(AN$13:AN15)*BI15/1000</f>
        <v>0</v>
      </c>
      <c r="CE15">
        <f>SUM(AO$13:AO15)*BJ15/1000</f>
        <v>0</v>
      </c>
      <c r="CF15">
        <f>SUM(AP$13:AP15)*BK15/1000</f>
        <v>0</v>
      </c>
      <c r="CG15">
        <f>SUM(AQ$13:AQ15)*BL15/1000</f>
        <v>0</v>
      </c>
      <c r="CH15">
        <f>SUM(AR$13:AR15)*BM15/1000</f>
        <v>0</v>
      </c>
      <c r="CI15">
        <f>SUM(AS$13:AS15)*BN15/1000</f>
        <v>0</v>
      </c>
      <c r="CJ15">
        <f>SUM(AT$13:AT15)*BO15/1000</f>
        <v>0</v>
      </c>
      <c r="CK15">
        <f>SUM(AU$13:AU15)*BP15/1000</f>
        <v>0</v>
      </c>
      <c r="CL15">
        <f>SUM(AV$13:AV15)*BQ15/1000</f>
        <v>0</v>
      </c>
      <c r="CM15">
        <f>SUM(AW$13:AW15)*BR15/1000</f>
        <v>0</v>
      </c>
      <c r="CN15">
        <f>SUM(AX$13:AX15)*BS15/1000</f>
        <v>0</v>
      </c>
      <c r="CO15">
        <f>SUM(AY$13:AY15)*BT15/1000</f>
        <v>0</v>
      </c>
      <c r="CP15">
        <f>SUM(AZ$13:AZ15)*BU15/1000</f>
        <v>0</v>
      </c>
      <c r="CQ15">
        <f>SUM(BA$13:BA15)*BV15/1000</f>
        <v>0</v>
      </c>
      <c r="CR15">
        <f>SUM(BB$13:BB15)*BW15/1000</f>
        <v>0</v>
      </c>
      <c r="CS15">
        <f>SUM(BC$13:BC15)*BX15/1000</f>
        <v>0</v>
      </c>
      <c r="CT15">
        <f>SUM(BD$13:BD15)*BY15/1000</f>
        <v>0</v>
      </c>
      <c r="CU15">
        <f>SUM(CA15:CT15)</f>
        <v>0</v>
      </c>
      <c r="CW15">
        <f t="shared" si="24"/>
        <v>2020</v>
      </c>
      <c r="CX15" s="90">
        <f>IFERROR(VLOOKUP($CW15,'Table 3 TransCost D2 '!$B$10:$E$34,4,FALSE),0)</f>
        <v>7.9016666666666664</v>
      </c>
      <c r="CY15" s="194">
        <f t="shared" si="27"/>
        <v>0</v>
      </c>
    </row>
    <row r="16" spans="2:103" customFormat="1">
      <c r="B16" s="15">
        <f t="shared" si="25"/>
        <v>2021</v>
      </c>
      <c r="C16" s="9">
        <f t="shared" si="3"/>
        <v>0</v>
      </c>
      <c r="D16" s="45"/>
      <c r="E16" s="9">
        <f t="shared" ca="1" si="26"/>
        <v>13.968876297807361</v>
      </c>
      <c r="F16" s="37"/>
      <c r="G16" s="14">
        <f t="shared" ca="1" si="28"/>
        <v>13.968876297807361</v>
      </c>
      <c r="H16" s="36"/>
      <c r="I16" s="194"/>
      <c r="J16" s="194"/>
      <c r="M16" s="116"/>
      <c r="O16">
        <f t="shared" si="4"/>
        <v>2021</v>
      </c>
      <c r="P16">
        <v>0</v>
      </c>
      <c r="Q16">
        <v>0</v>
      </c>
      <c r="R16">
        <v>0</v>
      </c>
      <c r="S16" s="194">
        <v>0</v>
      </c>
      <c r="T16" s="194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K16">
        <f t="shared" si="5"/>
        <v>0</v>
      </c>
      <c r="AL16">
        <f t="shared" si="6"/>
        <v>0</v>
      </c>
      <c r="AM16">
        <f t="shared" si="7"/>
        <v>0</v>
      </c>
      <c r="AN16">
        <f t="shared" si="8"/>
        <v>0</v>
      </c>
      <c r="AO16">
        <f t="shared" si="8"/>
        <v>0</v>
      </c>
      <c r="AP16">
        <f t="shared" si="9"/>
        <v>0</v>
      </c>
      <c r="AQ16">
        <f t="shared" si="10"/>
        <v>0</v>
      </c>
      <c r="AR16">
        <f t="shared" si="11"/>
        <v>0</v>
      </c>
      <c r="AS16">
        <f t="shared" si="12"/>
        <v>0</v>
      </c>
      <c r="AT16">
        <f t="shared" si="12"/>
        <v>0</v>
      </c>
      <c r="AU16">
        <f t="shared" si="13"/>
        <v>0</v>
      </c>
      <c r="AV16">
        <f t="shared" si="14"/>
        <v>0</v>
      </c>
      <c r="AW16">
        <f t="shared" si="15"/>
        <v>0</v>
      </c>
      <c r="AX16">
        <f t="shared" si="16"/>
        <v>0</v>
      </c>
      <c r="AY16">
        <f t="shared" si="17"/>
        <v>0</v>
      </c>
      <c r="AZ16">
        <f t="shared" si="18"/>
        <v>0</v>
      </c>
      <c r="BA16">
        <f t="shared" si="19"/>
        <v>0</v>
      </c>
      <c r="BB16">
        <f t="shared" si="20"/>
        <v>0</v>
      </c>
      <c r="BC16">
        <f t="shared" si="21"/>
        <v>0</v>
      </c>
      <c r="BD16">
        <f t="shared" si="22"/>
        <v>0</v>
      </c>
      <c r="BF16">
        <f>VLOOKUP($O16,'Table 3 EV2020 Wind_2020'!$B$10:$K$36,10,FALSE)</f>
        <v>-7.17</v>
      </c>
      <c r="BG16">
        <f>VLOOKUP($O16,'Table 3 EV2020 Wind_2021'!$B$10:$K$36,10,FALSE)</f>
        <v>-9.07</v>
      </c>
      <c r="BH16">
        <f>VLOOKUP($O16,'Table 3 DJ Wind 2030'!$B$10:$J$36,9,FALSE)</f>
        <v>43.8</v>
      </c>
      <c r="BI16">
        <f>VLOOKUP($O16,'Table 3 ID Wind 2030'!$B$10:$J$36,9,FALSE)</f>
        <v>41.23</v>
      </c>
      <c r="BJ16">
        <f>VLOOKUP($O16,'Table 3 ID Wind 2033'!$B$10:$J$36,9,FALSE)</f>
        <v>41.23</v>
      </c>
      <c r="BK16">
        <f>VLOOKUP($O16,'Table 3 WW Wind 2035'!$B$10:$J$36,9,FALSE)</f>
        <v>41.23</v>
      </c>
      <c r="BL16">
        <f>VLOOKUP($O16,'Table 3 YK Wind 2035'!$B$10:$J$36,9,FALSE)</f>
        <v>41.23</v>
      </c>
      <c r="BM16">
        <f>VLOOKUP($O16,'Table 3 OR Wind 2035'!$B$10:$J$36,9,FALSE)</f>
        <v>41.23</v>
      </c>
      <c r="BN16">
        <f>VLOOKUP($O16,'Table 3 UT Wind 2030'!$B$10:$J$36,9,FALSE)</f>
        <v>41.23</v>
      </c>
      <c r="BO16">
        <f>VLOOKUP($O16,'Table 3 UT Wind 2036'!$B$10:$J$36,9,FALSE)</f>
        <v>41.23</v>
      </c>
      <c r="BP16">
        <f>VLOOKUP($O16,'Table 3 YK Solar 2030'!$B$10:$J$36,9,FALSE)</f>
        <v>20.56</v>
      </c>
      <c r="BQ16">
        <f>VLOOKUP($O16,'Table 3 YK Solar 2032'!$B$10:$J$36,9,FALSE)</f>
        <v>20.56</v>
      </c>
      <c r="BR16">
        <f>VLOOKUP($O16,'Table 3 YK Solar 2033'!$B$10:$J$36,9,FALSE)</f>
        <v>20.56</v>
      </c>
      <c r="BS16">
        <f>VLOOKUP($O16,'Table 3 UT Solar 2033 ST'!$B$10:$J$36,9,FALSE)</f>
        <v>21.6</v>
      </c>
      <c r="BT16">
        <f>VLOOKUP($O16,'Table 3 UT Solar 2035 ST'!$B$10:$J$36,9,FALSE)</f>
        <v>21.6</v>
      </c>
      <c r="BU16">
        <f>VLOOKUP($O16,'Table 3 UT Solar 2035 FT'!$B$10:$J$36,9,FALSE)</f>
        <v>20.54</v>
      </c>
      <c r="BV16">
        <f>VLOOKUP($O16,'Table 3 OR Solar 2030'!$B$10:$J$36,9,FALSE)</f>
        <v>21.64</v>
      </c>
      <c r="BW16">
        <f>VLOOKUP($O16,'Table 3 OR Solar 2031'!$B$10:$J$36,9,FALSE)</f>
        <v>21.64</v>
      </c>
      <c r="BX16">
        <f>VLOOKUP($O16,'Table 3 OR Solar 2032'!$B$10:$J$36,9,FALSE)</f>
        <v>21.64</v>
      </c>
      <c r="BY16">
        <f>VLOOKUP($O16,'Table 3 OR Solar 2033'!$B$10:$J$36,9,FALSE)</f>
        <v>21.64</v>
      </c>
      <c r="CA16">
        <f>SUM(AK$13:AK16)*BF16/1000</f>
        <v>0</v>
      </c>
      <c r="CB16">
        <f>SUM(AL$13:AL16)*BG16/1000</f>
        <v>0</v>
      </c>
      <c r="CC16">
        <f>SUM(AM$13:AM16)*BH16/1000</f>
        <v>0</v>
      </c>
      <c r="CD16">
        <f>SUM(AN$13:AN16)*BI16/1000</f>
        <v>0</v>
      </c>
      <c r="CE16">
        <f>SUM(AO$13:AO16)*BJ16/1000</f>
        <v>0</v>
      </c>
      <c r="CF16">
        <f>SUM(AP$13:AP16)*BK16/1000</f>
        <v>0</v>
      </c>
      <c r="CG16">
        <f>SUM(AQ$13:AQ16)*BL16/1000</f>
        <v>0</v>
      </c>
      <c r="CH16">
        <f>SUM(AR$13:AR16)*BM16/1000</f>
        <v>0</v>
      </c>
      <c r="CI16">
        <f>SUM(AS$13:AS16)*BN16/1000</f>
        <v>0</v>
      </c>
      <c r="CJ16">
        <f>SUM(AT$13:AT16)*BO16/1000</f>
        <v>0</v>
      </c>
      <c r="CK16">
        <f>SUM(AU$13:AU16)*BP16/1000</f>
        <v>0</v>
      </c>
      <c r="CL16">
        <f>SUM(AV$13:AV16)*BQ16/1000</f>
        <v>0</v>
      </c>
      <c r="CM16">
        <f>SUM(AW$13:AW16)*BR16/1000</f>
        <v>0</v>
      </c>
      <c r="CN16">
        <f>SUM(AX$13:AX16)*BS16/1000</f>
        <v>0</v>
      </c>
      <c r="CO16">
        <f>SUM(AY$13:AY16)*BT16/1000</f>
        <v>0</v>
      </c>
      <c r="CP16">
        <f>SUM(AZ$13:AZ16)*BU16/1000</f>
        <v>0</v>
      </c>
      <c r="CQ16">
        <f>SUM(BA$13:BA16)*BV16/1000</f>
        <v>0</v>
      </c>
      <c r="CR16">
        <f>SUM(BB$13:BB16)*BW16/1000</f>
        <v>0</v>
      </c>
      <c r="CS16">
        <f>SUM(BC$13:BC16)*BX16/1000</f>
        <v>0</v>
      </c>
      <c r="CT16">
        <f>SUM(BD$13:BD16)*BY16/1000</f>
        <v>0</v>
      </c>
      <c r="CU16">
        <f t="shared" ref="CU16:CU32" si="29">SUM(CA16:CT16)</f>
        <v>0</v>
      </c>
      <c r="CW16">
        <f t="shared" si="24"/>
        <v>2021</v>
      </c>
      <c r="CX16" s="90">
        <f>IFERROR(VLOOKUP($CW16,'Table 3 TransCost D2 '!$B$10:$E$34,4,FALSE),0)</f>
        <v>48.5910167356733</v>
      </c>
      <c r="CY16" s="194">
        <f t="shared" si="27"/>
        <v>0</v>
      </c>
    </row>
    <row r="17" spans="2:103">
      <c r="B17" s="15">
        <f t="shared" si="25"/>
        <v>2022</v>
      </c>
      <c r="C17" s="9">
        <f t="shared" si="3"/>
        <v>0</v>
      </c>
      <c r="D17" s="45"/>
      <c r="E17" s="9">
        <f t="shared" ca="1" si="26"/>
        <v>13.51223024885655</v>
      </c>
      <c r="F17" s="37"/>
      <c r="G17" s="14">
        <f t="shared" ca="1" si="28"/>
        <v>13.51223024885655</v>
      </c>
      <c r="H17" s="36"/>
      <c r="I17" s="194"/>
      <c r="J17" s="194"/>
      <c r="M17" s="117"/>
      <c r="O17">
        <f t="shared" si="4"/>
        <v>2022</v>
      </c>
      <c r="P17">
        <v>0</v>
      </c>
      <c r="Q17">
        <v>0</v>
      </c>
      <c r="R17">
        <v>0</v>
      </c>
      <c r="S17" s="194">
        <v>0</v>
      </c>
      <c r="T17" s="194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K17">
        <f t="shared" si="5"/>
        <v>0</v>
      </c>
      <c r="AL17">
        <f t="shared" si="6"/>
        <v>0</v>
      </c>
      <c r="AM17">
        <f t="shared" si="7"/>
        <v>0</v>
      </c>
      <c r="AN17">
        <f t="shared" si="8"/>
        <v>0</v>
      </c>
      <c r="AO17">
        <f t="shared" si="8"/>
        <v>0</v>
      </c>
      <c r="AP17">
        <f t="shared" si="9"/>
        <v>0</v>
      </c>
      <c r="AQ17">
        <f t="shared" si="10"/>
        <v>0</v>
      </c>
      <c r="AR17">
        <f t="shared" si="11"/>
        <v>0</v>
      </c>
      <c r="AS17">
        <f t="shared" si="12"/>
        <v>0</v>
      </c>
      <c r="AT17">
        <f t="shared" si="12"/>
        <v>0</v>
      </c>
      <c r="AU17">
        <f t="shared" si="13"/>
        <v>0</v>
      </c>
      <c r="AV17">
        <f t="shared" si="14"/>
        <v>0</v>
      </c>
      <c r="AW17">
        <f t="shared" si="15"/>
        <v>0</v>
      </c>
      <c r="AX17">
        <f t="shared" si="16"/>
        <v>0</v>
      </c>
      <c r="AY17">
        <f t="shared" si="17"/>
        <v>0</v>
      </c>
      <c r="AZ17">
        <f t="shared" si="18"/>
        <v>0</v>
      </c>
      <c r="BA17">
        <f t="shared" si="19"/>
        <v>0</v>
      </c>
      <c r="BB17">
        <f t="shared" si="20"/>
        <v>0</v>
      </c>
      <c r="BC17">
        <f t="shared" si="21"/>
        <v>0</v>
      </c>
      <c r="BD17">
        <f t="shared" si="22"/>
        <v>0</v>
      </c>
      <c r="BF17">
        <f>VLOOKUP($O17,'Table 3 EV2020 Wind_2020'!$B$10:$K$36,10,FALSE)</f>
        <v>-4.53</v>
      </c>
      <c r="BG17">
        <f>VLOOKUP($O17,'Table 3 EV2020 Wind_2021'!$B$10:$K$36,10,FALSE)</f>
        <v>-6.48</v>
      </c>
      <c r="BH17">
        <f>VLOOKUP($O17,'Table 3 DJ Wind 2030'!$B$10:$J$36,9,FALSE)</f>
        <v>44.86</v>
      </c>
      <c r="BI17">
        <f>VLOOKUP($O17,'Table 3 ID Wind 2030'!$B$10:$J$36,9,FALSE)</f>
        <v>42.22</v>
      </c>
      <c r="BJ17">
        <f>VLOOKUP($O17,'Table 3 ID Wind 2033'!$B$10:$J$36,9,FALSE)</f>
        <v>42.22</v>
      </c>
      <c r="BK17">
        <f>VLOOKUP($O17,'Table 3 WW Wind 2035'!$B$10:$J$36,9,FALSE)</f>
        <v>42.22</v>
      </c>
      <c r="BL17">
        <f>VLOOKUP($O17,'Table 3 YK Wind 2035'!$B$10:$J$36,9,FALSE)</f>
        <v>42.22</v>
      </c>
      <c r="BM17">
        <f>VLOOKUP($O17,'Table 3 OR Wind 2035'!$B$10:$J$36,9,FALSE)</f>
        <v>42.22</v>
      </c>
      <c r="BN17">
        <f>VLOOKUP($O17,'Table 3 UT Wind 2030'!$B$10:$J$36,9,FALSE)</f>
        <v>42.22</v>
      </c>
      <c r="BO17">
        <f>VLOOKUP($O17,'Table 3 UT Wind 2036'!$B$10:$J$36,9,FALSE)</f>
        <v>42.22</v>
      </c>
      <c r="BP17">
        <f>VLOOKUP($O17,'Table 3 YK Solar 2030'!$B$10:$J$36,9,FALSE)</f>
        <v>21.05</v>
      </c>
      <c r="BQ17">
        <f>VLOOKUP($O17,'Table 3 YK Solar 2032'!$B$10:$J$36,9,FALSE)</f>
        <v>21.05</v>
      </c>
      <c r="BR17">
        <f>VLOOKUP($O17,'Table 3 YK Solar 2033'!$B$10:$J$36,9,FALSE)</f>
        <v>21.05</v>
      </c>
      <c r="BS17">
        <f>VLOOKUP($O17,'Table 3 UT Solar 2033 ST'!$B$10:$J$36,9,FALSE)</f>
        <v>22.12</v>
      </c>
      <c r="BT17">
        <f>VLOOKUP($O17,'Table 3 UT Solar 2035 ST'!$B$10:$J$36,9,FALSE)</f>
        <v>22.12</v>
      </c>
      <c r="BU17">
        <f>VLOOKUP($O17,'Table 3 UT Solar 2035 FT'!$B$10:$J$36,9,FALSE)</f>
        <v>21.03</v>
      </c>
      <c r="BV17">
        <f>VLOOKUP($O17,'Table 3 OR Solar 2030'!$B$10:$J$36,9,FALSE)</f>
        <v>22.16</v>
      </c>
      <c r="BW17">
        <f>VLOOKUP($O17,'Table 3 OR Solar 2031'!$B$10:$J$36,9,FALSE)</f>
        <v>22.16</v>
      </c>
      <c r="BX17">
        <f>VLOOKUP($O17,'Table 3 OR Solar 2032'!$B$10:$J$36,9,FALSE)</f>
        <v>22.16</v>
      </c>
      <c r="BY17">
        <f>VLOOKUP($O17,'Table 3 OR Solar 2033'!$B$10:$J$36,9,FALSE)</f>
        <v>22.16</v>
      </c>
      <c r="CA17">
        <f>SUM(AK$13:AK17)*BF17/1000</f>
        <v>0</v>
      </c>
      <c r="CB17">
        <f>SUM(AL$13:AL17)*BG17/1000</f>
        <v>0</v>
      </c>
      <c r="CC17">
        <f>SUM(AM$13:AM17)*BH17/1000</f>
        <v>0</v>
      </c>
      <c r="CD17">
        <f>SUM(AN$13:AN17)*BI17/1000</f>
        <v>0</v>
      </c>
      <c r="CE17">
        <f>SUM(AO$13:AO17)*BJ17/1000</f>
        <v>0</v>
      </c>
      <c r="CF17">
        <f>SUM(AP$13:AP17)*BK17/1000</f>
        <v>0</v>
      </c>
      <c r="CG17">
        <f>SUM(AQ$13:AQ17)*BL17/1000</f>
        <v>0</v>
      </c>
      <c r="CH17">
        <f>SUM(AR$13:AR17)*BM17/1000</f>
        <v>0</v>
      </c>
      <c r="CI17">
        <f>SUM(AS$13:AS17)*BN17/1000</f>
        <v>0</v>
      </c>
      <c r="CJ17">
        <f>SUM(AT$13:AT17)*BO17/1000</f>
        <v>0</v>
      </c>
      <c r="CK17">
        <f>SUM(AU$13:AU17)*BP17/1000</f>
        <v>0</v>
      </c>
      <c r="CL17">
        <f>SUM(AV$13:AV17)*BQ17/1000</f>
        <v>0</v>
      </c>
      <c r="CM17">
        <f>SUM(AW$13:AW17)*BR17/1000</f>
        <v>0</v>
      </c>
      <c r="CN17">
        <f>SUM(AX$13:AX17)*BS17/1000</f>
        <v>0</v>
      </c>
      <c r="CO17">
        <f>SUM(AY$13:AY17)*BT17/1000</f>
        <v>0</v>
      </c>
      <c r="CP17">
        <f>SUM(AZ$13:AZ17)*BU17/1000</f>
        <v>0</v>
      </c>
      <c r="CQ17">
        <f>SUM(BA$13:BA17)*BV17/1000</f>
        <v>0</v>
      </c>
      <c r="CR17">
        <f>SUM(BB$13:BB17)*BW17/1000</f>
        <v>0</v>
      </c>
      <c r="CS17">
        <f>SUM(BC$13:BC17)*BX17/1000</f>
        <v>0</v>
      </c>
      <c r="CT17">
        <f>SUM(BD$13:BD17)*BY17/1000</f>
        <v>0</v>
      </c>
      <c r="CU17">
        <f t="shared" si="29"/>
        <v>0</v>
      </c>
      <c r="CW17">
        <f t="shared" si="24"/>
        <v>2022</v>
      </c>
      <c r="CX17" s="90">
        <f>IFERROR(VLOOKUP($CW17,'Table 3 TransCost D2 '!$B$10:$E$34,4,FALSE),0)</f>
        <v>49.76</v>
      </c>
      <c r="CY17" s="194">
        <f t="shared" si="27"/>
        <v>0</v>
      </c>
    </row>
    <row r="18" spans="2:103">
      <c r="B18" s="15">
        <f t="shared" si="25"/>
        <v>2023</v>
      </c>
      <c r="C18" s="9">
        <f t="shared" si="3"/>
        <v>0</v>
      </c>
      <c r="D18" s="45"/>
      <c r="E18" s="9">
        <f t="shared" ca="1" si="26"/>
        <v>14.132665329712292</v>
      </c>
      <c r="F18" s="37"/>
      <c r="G18" s="14">
        <f t="shared" ca="1" si="28"/>
        <v>14.132665329712292</v>
      </c>
      <c r="H18" s="36"/>
      <c r="I18" s="194"/>
      <c r="J18" s="194"/>
      <c r="M18" s="117"/>
      <c r="O18">
        <f t="shared" si="4"/>
        <v>2023</v>
      </c>
      <c r="P18">
        <v>0</v>
      </c>
      <c r="Q18">
        <v>0</v>
      </c>
      <c r="R18">
        <v>0</v>
      </c>
      <c r="S18" s="194">
        <v>0</v>
      </c>
      <c r="T18" s="194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K18">
        <f t="shared" si="5"/>
        <v>0</v>
      </c>
      <c r="AL18">
        <f t="shared" si="6"/>
        <v>0</v>
      </c>
      <c r="AM18">
        <f t="shared" si="7"/>
        <v>0</v>
      </c>
      <c r="AN18">
        <f t="shared" si="8"/>
        <v>0</v>
      </c>
      <c r="AO18">
        <f t="shared" si="8"/>
        <v>0</v>
      </c>
      <c r="AP18">
        <f t="shared" si="9"/>
        <v>0</v>
      </c>
      <c r="AQ18">
        <f t="shared" si="10"/>
        <v>0</v>
      </c>
      <c r="AR18">
        <f t="shared" si="11"/>
        <v>0</v>
      </c>
      <c r="AS18">
        <f t="shared" si="12"/>
        <v>0</v>
      </c>
      <c r="AT18">
        <f t="shared" si="12"/>
        <v>0</v>
      </c>
      <c r="AU18">
        <f t="shared" si="13"/>
        <v>0</v>
      </c>
      <c r="AV18">
        <f t="shared" si="14"/>
        <v>0</v>
      </c>
      <c r="AW18">
        <f t="shared" si="15"/>
        <v>0</v>
      </c>
      <c r="AX18">
        <f t="shared" si="16"/>
        <v>0</v>
      </c>
      <c r="AY18">
        <f t="shared" si="17"/>
        <v>0</v>
      </c>
      <c r="AZ18">
        <f t="shared" si="18"/>
        <v>0</v>
      </c>
      <c r="BA18">
        <f t="shared" si="19"/>
        <v>0</v>
      </c>
      <c r="BB18">
        <f t="shared" si="20"/>
        <v>0</v>
      </c>
      <c r="BC18">
        <f t="shared" si="21"/>
        <v>0</v>
      </c>
      <c r="BD18">
        <f t="shared" si="22"/>
        <v>0</v>
      </c>
      <c r="BF18">
        <f>VLOOKUP($O18,'Table 3 EV2020 Wind_2020'!$B$10:$K$36,10,FALSE)</f>
        <v>-6.32</v>
      </c>
      <c r="BG18">
        <f>VLOOKUP($O18,'Table 3 EV2020 Wind_2021'!$B$10:$K$36,10,FALSE)</f>
        <v>-8.32</v>
      </c>
      <c r="BH18">
        <f>VLOOKUP($O18,'Table 3 DJ Wind 2030'!$B$10:$J$36,9,FALSE)</f>
        <v>45.94</v>
      </c>
      <c r="BI18">
        <f>VLOOKUP($O18,'Table 3 ID Wind 2030'!$B$10:$J$36,9,FALSE)</f>
        <v>43.23</v>
      </c>
      <c r="BJ18">
        <f>VLOOKUP($O18,'Table 3 ID Wind 2033'!$B$10:$J$36,9,FALSE)</f>
        <v>43.23</v>
      </c>
      <c r="BK18">
        <f>VLOOKUP($O18,'Table 3 WW Wind 2035'!$B$10:$J$36,9,FALSE)</f>
        <v>43.23</v>
      </c>
      <c r="BL18">
        <f>VLOOKUP($O18,'Table 3 YK Wind 2035'!$B$10:$J$36,9,FALSE)</f>
        <v>43.23</v>
      </c>
      <c r="BM18">
        <f>VLOOKUP($O18,'Table 3 OR Wind 2035'!$B$10:$J$36,9,FALSE)</f>
        <v>43.23</v>
      </c>
      <c r="BN18">
        <f>VLOOKUP($O18,'Table 3 UT Wind 2030'!$B$10:$J$36,9,FALSE)</f>
        <v>43.23</v>
      </c>
      <c r="BO18">
        <f>VLOOKUP($O18,'Table 3 UT Wind 2036'!$B$10:$J$36,9,FALSE)</f>
        <v>43.23</v>
      </c>
      <c r="BP18">
        <f>VLOOKUP($O18,'Table 3 YK Solar 2030'!$B$10:$J$36,9,FALSE)</f>
        <v>21.56</v>
      </c>
      <c r="BQ18">
        <f>VLOOKUP($O18,'Table 3 YK Solar 2032'!$B$10:$J$36,9,FALSE)</f>
        <v>21.56</v>
      </c>
      <c r="BR18">
        <f>VLOOKUP($O18,'Table 3 YK Solar 2033'!$B$10:$J$36,9,FALSE)</f>
        <v>21.56</v>
      </c>
      <c r="BS18">
        <f>VLOOKUP($O18,'Table 3 UT Solar 2033 ST'!$B$10:$J$36,9,FALSE)</f>
        <v>22.65</v>
      </c>
      <c r="BT18">
        <f>VLOOKUP($O18,'Table 3 UT Solar 2035 ST'!$B$10:$J$36,9,FALSE)</f>
        <v>22.65</v>
      </c>
      <c r="BU18">
        <f>VLOOKUP($O18,'Table 3 UT Solar 2035 FT'!$B$10:$J$36,9,FALSE)</f>
        <v>21.53</v>
      </c>
      <c r="BV18">
        <f>VLOOKUP($O18,'Table 3 OR Solar 2030'!$B$10:$J$36,9,FALSE)</f>
        <v>22.69</v>
      </c>
      <c r="BW18">
        <f>VLOOKUP($O18,'Table 3 OR Solar 2031'!$B$10:$J$36,9,FALSE)</f>
        <v>22.69</v>
      </c>
      <c r="BX18">
        <f>VLOOKUP($O18,'Table 3 OR Solar 2032'!$B$10:$J$36,9,FALSE)</f>
        <v>22.69</v>
      </c>
      <c r="BY18">
        <f>VLOOKUP($O18,'Table 3 OR Solar 2033'!$B$10:$J$36,9,FALSE)</f>
        <v>22.69</v>
      </c>
      <c r="CA18">
        <f>SUM(AK$13:AK18)*BF18/1000</f>
        <v>0</v>
      </c>
      <c r="CB18">
        <f>SUM(AL$13:AL18)*BG18/1000</f>
        <v>0</v>
      </c>
      <c r="CC18">
        <f>SUM(AM$13:AM18)*BH18/1000</f>
        <v>0</v>
      </c>
      <c r="CD18">
        <f>SUM(AN$13:AN18)*BI18/1000</f>
        <v>0</v>
      </c>
      <c r="CE18">
        <f>SUM(AO$13:AO18)*BJ18/1000</f>
        <v>0</v>
      </c>
      <c r="CF18">
        <f>SUM(AP$13:AP18)*BK18/1000</f>
        <v>0</v>
      </c>
      <c r="CG18">
        <f>SUM(AQ$13:AQ18)*BL18/1000</f>
        <v>0</v>
      </c>
      <c r="CH18">
        <f>SUM(AR$13:AR18)*BM18/1000</f>
        <v>0</v>
      </c>
      <c r="CI18">
        <f>SUM(AS$13:AS18)*BN18/1000</f>
        <v>0</v>
      </c>
      <c r="CJ18">
        <f>SUM(AT$13:AT18)*BO18/1000</f>
        <v>0</v>
      </c>
      <c r="CK18">
        <f>SUM(AU$13:AU18)*BP18/1000</f>
        <v>0</v>
      </c>
      <c r="CL18">
        <f>SUM(AV$13:AV18)*BQ18/1000</f>
        <v>0</v>
      </c>
      <c r="CM18">
        <f>SUM(AW$13:AW18)*BR18/1000</f>
        <v>0</v>
      </c>
      <c r="CN18">
        <f>SUM(AX$13:AX18)*BS18/1000</f>
        <v>0</v>
      </c>
      <c r="CO18">
        <f>SUM(AY$13:AY18)*BT18/1000</f>
        <v>0</v>
      </c>
      <c r="CP18">
        <f>SUM(AZ$13:AZ18)*BU18/1000</f>
        <v>0</v>
      </c>
      <c r="CQ18">
        <f>SUM(BA$13:BA18)*BV18/1000</f>
        <v>0</v>
      </c>
      <c r="CR18">
        <f>SUM(BB$13:BB18)*BW18/1000</f>
        <v>0</v>
      </c>
      <c r="CS18">
        <f>SUM(BC$13:BC18)*BX18/1000</f>
        <v>0</v>
      </c>
      <c r="CT18">
        <f>SUM(BD$13:BD18)*BY18/1000</f>
        <v>0</v>
      </c>
      <c r="CU18">
        <f t="shared" si="29"/>
        <v>0</v>
      </c>
      <c r="CW18">
        <f t="shared" si="24"/>
        <v>2023</v>
      </c>
      <c r="CX18" s="90">
        <f>IFERROR(VLOOKUP($CW18,'Table 3 TransCost D2 '!$B$10:$E$34,4,FALSE),0)</f>
        <v>50.95000000000001</v>
      </c>
      <c r="CY18" s="194">
        <f t="shared" si="27"/>
        <v>0</v>
      </c>
    </row>
    <row r="19" spans="2:103">
      <c r="B19" s="15">
        <f t="shared" si="25"/>
        <v>2024</v>
      </c>
      <c r="C19" s="9">
        <f t="shared" si="3"/>
        <v>0</v>
      </c>
      <c r="D19" s="45"/>
      <c r="E19" s="9">
        <f t="shared" ca="1" si="26"/>
        <v>15.017521634229146</v>
      </c>
      <c r="F19" s="37"/>
      <c r="G19" s="14">
        <f t="shared" ca="1" si="28"/>
        <v>15.017521634229146</v>
      </c>
      <c r="H19" s="36"/>
      <c r="I19" s="194"/>
      <c r="J19" s="194"/>
      <c r="M19" s="117"/>
      <c r="O19">
        <f t="shared" si="4"/>
        <v>2024</v>
      </c>
      <c r="P19">
        <v>0</v>
      </c>
      <c r="Q19">
        <v>0</v>
      </c>
      <c r="R19">
        <v>0</v>
      </c>
      <c r="S19" s="194">
        <v>0</v>
      </c>
      <c r="T19" s="194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K19">
        <f t="shared" si="5"/>
        <v>0</v>
      </c>
      <c r="AL19">
        <f t="shared" si="6"/>
        <v>0</v>
      </c>
      <c r="AM19">
        <f t="shared" si="7"/>
        <v>0</v>
      </c>
      <c r="AN19">
        <f t="shared" si="8"/>
        <v>0</v>
      </c>
      <c r="AO19">
        <f t="shared" si="8"/>
        <v>0</v>
      </c>
      <c r="AP19">
        <f t="shared" si="9"/>
        <v>0</v>
      </c>
      <c r="AQ19">
        <f t="shared" si="10"/>
        <v>0</v>
      </c>
      <c r="AR19">
        <f t="shared" si="11"/>
        <v>0</v>
      </c>
      <c r="AS19">
        <f t="shared" si="12"/>
        <v>0</v>
      </c>
      <c r="AT19">
        <f t="shared" si="12"/>
        <v>0</v>
      </c>
      <c r="AU19">
        <f t="shared" si="13"/>
        <v>0</v>
      </c>
      <c r="AV19">
        <f t="shared" si="14"/>
        <v>0</v>
      </c>
      <c r="AW19">
        <f t="shared" si="15"/>
        <v>0</v>
      </c>
      <c r="AX19">
        <f t="shared" si="16"/>
        <v>0</v>
      </c>
      <c r="AY19">
        <f t="shared" si="17"/>
        <v>0</v>
      </c>
      <c r="AZ19">
        <f t="shared" si="18"/>
        <v>0</v>
      </c>
      <c r="BA19">
        <f t="shared" si="19"/>
        <v>0</v>
      </c>
      <c r="BB19">
        <f t="shared" si="20"/>
        <v>0</v>
      </c>
      <c r="BC19">
        <f t="shared" si="21"/>
        <v>0</v>
      </c>
      <c r="BD19">
        <f t="shared" si="22"/>
        <v>0</v>
      </c>
      <c r="BF19">
        <f>VLOOKUP($O19,'Table 3 EV2020 Wind_2020'!$B$10:$K$36,10,FALSE)</f>
        <v>-3.65</v>
      </c>
      <c r="BG19">
        <f>VLOOKUP($O19,'Table 3 EV2020 Wind_2021'!$B$10:$K$36,10,FALSE)</f>
        <v>-5.7</v>
      </c>
      <c r="BH19">
        <f>VLOOKUP($O19,'Table 3 DJ Wind 2030'!$B$10:$J$36,9,FALSE)</f>
        <v>47.01</v>
      </c>
      <c r="BI19">
        <f>VLOOKUP($O19,'Table 3 ID Wind 2030'!$B$10:$J$36,9,FALSE)</f>
        <v>44.22</v>
      </c>
      <c r="BJ19">
        <f>VLOOKUP($O19,'Table 3 ID Wind 2033'!$B$10:$J$36,9,FALSE)</f>
        <v>44.22</v>
      </c>
      <c r="BK19">
        <f>VLOOKUP($O19,'Table 3 WW Wind 2035'!$B$10:$J$36,9,FALSE)</f>
        <v>44.22</v>
      </c>
      <c r="BL19">
        <f>VLOOKUP($O19,'Table 3 YK Wind 2035'!$B$10:$J$36,9,FALSE)</f>
        <v>44.22</v>
      </c>
      <c r="BM19">
        <f>VLOOKUP($O19,'Table 3 OR Wind 2035'!$B$10:$J$36,9,FALSE)</f>
        <v>44.22</v>
      </c>
      <c r="BN19">
        <f>VLOOKUP($O19,'Table 3 UT Wind 2030'!$B$10:$J$36,9,FALSE)</f>
        <v>44.22</v>
      </c>
      <c r="BO19">
        <f>VLOOKUP($O19,'Table 3 UT Wind 2036'!$B$10:$J$36,9,FALSE)</f>
        <v>44.22</v>
      </c>
      <c r="BP19">
        <f>VLOOKUP($O19,'Table 3 YK Solar 2030'!$B$10:$J$36,9,FALSE)</f>
        <v>22.06</v>
      </c>
      <c r="BQ19">
        <f>VLOOKUP($O19,'Table 3 YK Solar 2032'!$B$10:$J$36,9,FALSE)</f>
        <v>22.06</v>
      </c>
      <c r="BR19">
        <f>VLOOKUP($O19,'Table 3 YK Solar 2033'!$B$10:$J$36,9,FALSE)</f>
        <v>22.06</v>
      </c>
      <c r="BS19">
        <f>VLOOKUP($O19,'Table 3 UT Solar 2033 ST'!$B$10:$J$36,9,FALSE)</f>
        <v>23.17</v>
      </c>
      <c r="BT19">
        <f>VLOOKUP($O19,'Table 3 UT Solar 2035 ST'!$B$10:$J$36,9,FALSE)</f>
        <v>23.17</v>
      </c>
      <c r="BU19">
        <f>VLOOKUP($O19,'Table 3 UT Solar 2035 FT'!$B$10:$J$36,9,FALSE)</f>
        <v>22.03</v>
      </c>
      <c r="BV19">
        <f>VLOOKUP($O19,'Table 3 OR Solar 2030'!$B$10:$J$36,9,FALSE)</f>
        <v>23.21</v>
      </c>
      <c r="BW19">
        <f>VLOOKUP($O19,'Table 3 OR Solar 2031'!$B$10:$J$36,9,FALSE)</f>
        <v>23.21</v>
      </c>
      <c r="BX19">
        <f>VLOOKUP($O19,'Table 3 OR Solar 2032'!$B$10:$J$36,9,FALSE)</f>
        <v>23.21</v>
      </c>
      <c r="BY19">
        <f>VLOOKUP($O19,'Table 3 OR Solar 2033'!$B$10:$J$36,9,FALSE)</f>
        <v>23.21</v>
      </c>
      <c r="CA19">
        <f>SUM(AK$13:AK19)*BF19/1000</f>
        <v>0</v>
      </c>
      <c r="CB19">
        <f>SUM(AL$13:AL19)*BG19/1000</f>
        <v>0</v>
      </c>
      <c r="CC19">
        <f>SUM(AM$13:AM19)*BH19/1000</f>
        <v>0</v>
      </c>
      <c r="CD19">
        <f>SUM(AN$13:AN19)*BI19/1000</f>
        <v>0</v>
      </c>
      <c r="CE19">
        <f>SUM(AO$13:AO19)*BJ19/1000</f>
        <v>0</v>
      </c>
      <c r="CF19">
        <f>SUM(AP$13:AP19)*BK19/1000</f>
        <v>0</v>
      </c>
      <c r="CG19">
        <f>SUM(AQ$13:AQ19)*BL19/1000</f>
        <v>0</v>
      </c>
      <c r="CH19">
        <f>SUM(AR$13:AR19)*BM19/1000</f>
        <v>0</v>
      </c>
      <c r="CI19">
        <f>SUM(AS$13:AS19)*BN19/1000</f>
        <v>0</v>
      </c>
      <c r="CJ19">
        <f>SUM(AT$13:AT19)*BO19/1000</f>
        <v>0</v>
      </c>
      <c r="CK19">
        <f>SUM(AU$13:AU19)*BP19/1000</f>
        <v>0</v>
      </c>
      <c r="CL19">
        <f>SUM(AV$13:AV19)*BQ19/1000</f>
        <v>0</v>
      </c>
      <c r="CM19">
        <f>SUM(AW$13:AW19)*BR19/1000</f>
        <v>0</v>
      </c>
      <c r="CN19">
        <f>SUM(AX$13:AX19)*BS19/1000</f>
        <v>0</v>
      </c>
      <c r="CO19">
        <f>SUM(AY$13:AY19)*BT19/1000</f>
        <v>0</v>
      </c>
      <c r="CP19">
        <f>SUM(AZ$13:AZ19)*BU19/1000</f>
        <v>0</v>
      </c>
      <c r="CQ19">
        <f>SUM(BA$13:BA19)*BV19/1000</f>
        <v>0</v>
      </c>
      <c r="CR19">
        <f>SUM(BB$13:BB19)*BW19/1000</f>
        <v>0</v>
      </c>
      <c r="CS19">
        <f>SUM(BC$13:BC19)*BX19/1000</f>
        <v>0</v>
      </c>
      <c r="CT19">
        <f>SUM(BD$13:BD19)*BY19/1000</f>
        <v>0</v>
      </c>
      <c r="CU19">
        <f t="shared" si="29"/>
        <v>0</v>
      </c>
      <c r="CW19">
        <f t="shared" si="24"/>
        <v>2024</v>
      </c>
      <c r="CX19" s="90">
        <f>IFERROR(VLOOKUP($CW19,'Table 3 TransCost D2 '!$B$10:$E$34,4,FALSE),0)</f>
        <v>52.12</v>
      </c>
      <c r="CY19" s="194">
        <f t="shared" si="27"/>
        <v>0</v>
      </c>
    </row>
    <row r="20" spans="2:103">
      <c r="B20" s="15">
        <f t="shared" si="25"/>
        <v>2025</v>
      </c>
      <c r="C20" s="9">
        <f t="shared" si="3"/>
        <v>0</v>
      </c>
      <c r="D20" s="45"/>
      <c r="E20" s="9">
        <f t="shared" ca="1" si="26"/>
        <v>20.164731271446673</v>
      </c>
      <c r="F20" s="37"/>
      <c r="G20" s="14">
        <f t="shared" ca="1" si="28"/>
        <v>20.164731271446673</v>
      </c>
      <c r="H20" s="36"/>
      <c r="I20" s="194"/>
      <c r="J20" s="194"/>
      <c r="M20" s="117"/>
      <c r="O20">
        <f t="shared" si="4"/>
        <v>2025</v>
      </c>
      <c r="P20">
        <v>0</v>
      </c>
      <c r="Q20">
        <v>0</v>
      </c>
      <c r="R20">
        <v>0</v>
      </c>
      <c r="S20" s="194">
        <v>0</v>
      </c>
      <c r="T20" s="194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K20">
        <f t="shared" si="5"/>
        <v>0</v>
      </c>
      <c r="AL20">
        <f t="shared" si="6"/>
        <v>0</v>
      </c>
      <c r="AM20">
        <f t="shared" si="7"/>
        <v>0</v>
      </c>
      <c r="AN20">
        <f t="shared" si="8"/>
        <v>0</v>
      </c>
      <c r="AO20">
        <f t="shared" si="8"/>
        <v>0</v>
      </c>
      <c r="AP20">
        <f t="shared" si="9"/>
        <v>0</v>
      </c>
      <c r="AQ20">
        <f t="shared" si="10"/>
        <v>0</v>
      </c>
      <c r="AR20">
        <f t="shared" si="11"/>
        <v>0</v>
      </c>
      <c r="AS20">
        <f t="shared" si="12"/>
        <v>0</v>
      </c>
      <c r="AT20">
        <f t="shared" si="12"/>
        <v>0</v>
      </c>
      <c r="AU20">
        <f t="shared" si="13"/>
        <v>0</v>
      </c>
      <c r="AV20">
        <f t="shared" si="14"/>
        <v>0</v>
      </c>
      <c r="AW20">
        <f t="shared" si="15"/>
        <v>0</v>
      </c>
      <c r="AX20">
        <f t="shared" si="16"/>
        <v>0</v>
      </c>
      <c r="AY20">
        <f t="shared" si="17"/>
        <v>0</v>
      </c>
      <c r="AZ20">
        <f t="shared" si="18"/>
        <v>0</v>
      </c>
      <c r="BA20">
        <f t="shared" si="19"/>
        <v>0</v>
      </c>
      <c r="BB20">
        <f t="shared" si="20"/>
        <v>0</v>
      </c>
      <c r="BC20">
        <f t="shared" si="21"/>
        <v>0</v>
      </c>
      <c r="BD20">
        <f t="shared" si="22"/>
        <v>0</v>
      </c>
      <c r="BF20">
        <f>VLOOKUP($O20,'Table 3 EV2020 Wind_2020'!$B$10:$K$36,10,FALSE)</f>
        <v>-5.46</v>
      </c>
      <c r="BG20">
        <f>VLOOKUP($O20,'Table 3 EV2020 Wind_2021'!$B$10:$K$36,10,FALSE)</f>
        <v>-7.56</v>
      </c>
      <c r="BH20">
        <f>VLOOKUP($O20,'Table 3 DJ Wind 2030'!$B$10:$J$36,9,FALSE)</f>
        <v>48.1</v>
      </c>
      <c r="BI20">
        <f>VLOOKUP($O20,'Table 3 ID Wind 2030'!$B$10:$J$36,9,FALSE)</f>
        <v>45.24</v>
      </c>
      <c r="BJ20">
        <f>VLOOKUP($O20,'Table 3 ID Wind 2033'!$B$10:$J$36,9,FALSE)</f>
        <v>45.24</v>
      </c>
      <c r="BK20">
        <f>VLOOKUP($O20,'Table 3 WW Wind 2035'!$B$10:$J$36,9,FALSE)</f>
        <v>45.24</v>
      </c>
      <c r="BL20">
        <f>VLOOKUP($O20,'Table 3 YK Wind 2035'!$B$10:$J$36,9,FALSE)</f>
        <v>45.24</v>
      </c>
      <c r="BM20">
        <f>VLOOKUP($O20,'Table 3 OR Wind 2035'!$B$10:$J$36,9,FALSE)</f>
        <v>45.24</v>
      </c>
      <c r="BN20">
        <f>VLOOKUP($O20,'Table 3 UT Wind 2030'!$B$10:$J$36,9,FALSE)</f>
        <v>45.24</v>
      </c>
      <c r="BO20">
        <f>VLOOKUP($O20,'Table 3 UT Wind 2036'!$B$10:$J$36,9,FALSE)</f>
        <v>45.24</v>
      </c>
      <c r="BP20">
        <f>VLOOKUP($O20,'Table 3 YK Solar 2030'!$B$10:$J$36,9,FALSE)</f>
        <v>22.57</v>
      </c>
      <c r="BQ20">
        <f>VLOOKUP($O20,'Table 3 YK Solar 2032'!$B$10:$J$36,9,FALSE)</f>
        <v>22.57</v>
      </c>
      <c r="BR20">
        <f>VLOOKUP($O20,'Table 3 YK Solar 2033'!$B$10:$J$36,9,FALSE)</f>
        <v>22.57</v>
      </c>
      <c r="BS20">
        <f>VLOOKUP($O20,'Table 3 UT Solar 2033 ST'!$B$10:$J$36,9,FALSE)</f>
        <v>23.7</v>
      </c>
      <c r="BT20">
        <f>VLOOKUP($O20,'Table 3 UT Solar 2035 ST'!$B$10:$J$36,9,FALSE)</f>
        <v>23.7</v>
      </c>
      <c r="BU20">
        <f>VLOOKUP($O20,'Table 3 UT Solar 2035 FT'!$B$10:$J$36,9,FALSE)</f>
        <v>22.54</v>
      </c>
      <c r="BV20">
        <f>VLOOKUP($O20,'Table 3 OR Solar 2030'!$B$10:$J$36,9,FALSE)</f>
        <v>23.74</v>
      </c>
      <c r="BW20">
        <f>VLOOKUP($O20,'Table 3 OR Solar 2031'!$B$10:$J$36,9,FALSE)</f>
        <v>23.74</v>
      </c>
      <c r="BX20">
        <f>VLOOKUP($O20,'Table 3 OR Solar 2032'!$B$10:$J$36,9,FALSE)</f>
        <v>23.74</v>
      </c>
      <c r="BY20">
        <f>VLOOKUP($O20,'Table 3 OR Solar 2033'!$B$10:$J$36,9,FALSE)</f>
        <v>23.74</v>
      </c>
      <c r="CA20">
        <f>SUM(AK$13:AK20)*BF20/1000</f>
        <v>0</v>
      </c>
      <c r="CB20">
        <f>SUM(AL$13:AL20)*BG20/1000</f>
        <v>0</v>
      </c>
      <c r="CC20">
        <f>SUM(AM$13:AM20)*BH20/1000</f>
        <v>0</v>
      </c>
      <c r="CD20">
        <f>SUM(AN$13:AN20)*BI20/1000</f>
        <v>0</v>
      </c>
      <c r="CE20">
        <f>SUM(AO$13:AO20)*BJ20/1000</f>
        <v>0</v>
      </c>
      <c r="CF20">
        <f>SUM(AP$13:AP20)*BK20/1000</f>
        <v>0</v>
      </c>
      <c r="CG20">
        <f>SUM(AQ$13:AQ20)*BL20/1000</f>
        <v>0</v>
      </c>
      <c r="CH20">
        <f>SUM(AR$13:AR20)*BM20/1000</f>
        <v>0</v>
      </c>
      <c r="CI20">
        <f>SUM(AS$13:AS20)*BN20/1000</f>
        <v>0</v>
      </c>
      <c r="CJ20">
        <f>SUM(AT$13:AT20)*BO20/1000</f>
        <v>0</v>
      </c>
      <c r="CK20">
        <f>SUM(AU$13:AU20)*BP20/1000</f>
        <v>0</v>
      </c>
      <c r="CL20">
        <f>SUM(AV$13:AV20)*BQ20/1000</f>
        <v>0</v>
      </c>
      <c r="CM20">
        <f>SUM(AW$13:AW20)*BR20/1000</f>
        <v>0</v>
      </c>
      <c r="CN20">
        <f>SUM(AX$13:AX20)*BS20/1000</f>
        <v>0</v>
      </c>
      <c r="CO20">
        <f>SUM(AY$13:AY20)*BT20/1000</f>
        <v>0</v>
      </c>
      <c r="CP20">
        <f>SUM(AZ$13:AZ20)*BU20/1000</f>
        <v>0</v>
      </c>
      <c r="CQ20">
        <f>SUM(BA$13:BA20)*BV20/1000</f>
        <v>0</v>
      </c>
      <c r="CR20">
        <f>SUM(BB$13:BB20)*BW20/1000</f>
        <v>0</v>
      </c>
      <c r="CS20">
        <f>SUM(BC$13:BC20)*BX20/1000</f>
        <v>0</v>
      </c>
      <c r="CT20">
        <f>SUM(BD$13:BD20)*BY20/1000</f>
        <v>0</v>
      </c>
      <c r="CU20">
        <f t="shared" si="29"/>
        <v>0</v>
      </c>
      <c r="CW20">
        <f t="shared" si="24"/>
        <v>2025</v>
      </c>
      <c r="CX20" s="90">
        <f>IFERROR(VLOOKUP($CW20,'Table 3 TransCost D2 '!$B$10:$E$34,4,FALSE),0)</f>
        <v>53.32</v>
      </c>
      <c r="CY20" s="194">
        <f t="shared" si="27"/>
        <v>0</v>
      </c>
    </row>
    <row r="21" spans="2:103">
      <c r="B21" s="15">
        <f t="shared" si="25"/>
        <v>2026</v>
      </c>
      <c r="C21" s="9">
        <f t="shared" si="3"/>
        <v>0</v>
      </c>
      <c r="D21" s="45"/>
      <c r="E21" s="9">
        <f t="shared" ca="1" si="26"/>
        <v>22.520387394793275</v>
      </c>
      <c r="F21" s="37"/>
      <c r="G21" s="14">
        <f t="shared" ca="1" si="28"/>
        <v>22.520387394793275</v>
      </c>
      <c r="H21" s="36"/>
      <c r="I21" s="194"/>
      <c r="J21" s="194"/>
      <c r="M21" s="117"/>
      <c r="O21">
        <f t="shared" si="4"/>
        <v>2026</v>
      </c>
      <c r="P21">
        <v>0</v>
      </c>
      <c r="Q21">
        <v>0</v>
      </c>
      <c r="R21">
        <v>0</v>
      </c>
      <c r="S21" s="194">
        <v>0</v>
      </c>
      <c r="T21" s="194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K21">
        <f t="shared" si="5"/>
        <v>0</v>
      </c>
      <c r="AL21">
        <f t="shared" si="6"/>
        <v>0</v>
      </c>
      <c r="AM21">
        <f t="shared" si="7"/>
        <v>0</v>
      </c>
      <c r="AN21">
        <f t="shared" si="8"/>
        <v>0</v>
      </c>
      <c r="AO21">
        <f t="shared" si="8"/>
        <v>0</v>
      </c>
      <c r="AP21">
        <f t="shared" si="9"/>
        <v>0</v>
      </c>
      <c r="AQ21">
        <f t="shared" si="10"/>
        <v>0</v>
      </c>
      <c r="AR21">
        <f t="shared" si="11"/>
        <v>0</v>
      </c>
      <c r="AS21">
        <f t="shared" si="12"/>
        <v>0</v>
      </c>
      <c r="AT21">
        <f t="shared" si="12"/>
        <v>0</v>
      </c>
      <c r="AU21">
        <f t="shared" si="13"/>
        <v>0</v>
      </c>
      <c r="AV21">
        <f t="shared" si="14"/>
        <v>0</v>
      </c>
      <c r="AW21">
        <f t="shared" si="15"/>
        <v>0</v>
      </c>
      <c r="AX21">
        <f t="shared" si="16"/>
        <v>0</v>
      </c>
      <c r="AY21">
        <f t="shared" si="17"/>
        <v>0</v>
      </c>
      <c r="AZ21">
        <f t="shared" si="18"/>
        <v>0</v>
      </c>
      <c r="BA21">
        <f t="shared" si="19"/>
        <v>0</v>
      </c>
      <c r="BB21">
        <f t="shared" si="20"/>
        <v>0</v>
      </c>
      <c r="BC21">
        <f t="shared" si="21"/>
        <v>0</v>
      </c>
      <c r="BD21">
        <f t="shared" si="22"/>
        <v>0</v>
      </c>
      <c r="BF21">
        <f>VLOOKUP($O21,'Table 3 EV2020 Wind_2020'!$B$10:$K$36,10,FALSE)</f>
        <v>-2.8</v>
      </c>
      <c r="BG21">
        <f>VLOOKUP($O21,'Table 3 EV2020 Wind_2021'!$B$10:$K$36,10,FALSE)</f>
        <v>-4.95</v>
      </c>
      <c r="BH21">
        <f>VLOOKUP($O21,'Table 3 DJ Wind 2030'!$B$10:$J$36,9,FALSE)</f>
        <v>49.17</v>
      </c>
      <c r="BI21">
        <f>VLOOKUP($O21,'Table 3 ID Wind 2030'!$B$10:$J$36,9,FALSE)</f>
        <v>46.24</v>
      </c>
      <c r="BJ21">
        <f>VLOOKUP($O21,'Table 3 ID Wind 2033'!$B$10:$J$36,9,FALSE)</f>
        <v>46.24</v>
      </c>
      <c r="BK21">
        <f>VLOOKUP($O21,'Table 3 WW Wind 2035'!$B$10:$J$36,9,FALSE)</f>
        <v>46.24</v>
      </c>
      <c r="BL21">
        <f>VLOOKUP($O21,'Table 3 YK Wind 2035'!$B$10:$J$36,9,FALSE)</f>
        <v>46.24</v>
      </c>
      <c r="BM21">
        <f>VLOOKUP($O21,'Table 3 OR Wind 2035'!$B$10:$J$36,9,FALSE)</f>
        <v>46.24</v>
      </c>
      <c r="BN21">
        <f>VLOOKUP($O21,'Table 3 UT Wind 2030'!$B$10:$J$36,9,FALSE)</f>
        <v>46.24</v>
      </c>
      <c r="BO21">
        <f>VLOOKUP($O21,'Table 3 UT Wind 2036'!$B$10:$J$36,9,FALSE)</f>
        <v>46.24</v>
      </c>
      <c r="BP21">
        <f>VLOOKUP($O21,'Table 3 YK Solar 2030'!$B$10:$J$36,9,FALSE)</f>
        <v>23.07</v>
      </c>
      <c r="BQ21">
        <f>VLOOKUP($O21,'Table 3 YK Solar 2032'!$B$10:$J$36,9,FALSE)</f>
        <v>23.07</v>
      </c>
      <c r="BR21">
        <f>VLOOKUP($O21,'Table 3 YK Solar 2033'!$B$10:$J$36,9,FALSE)</f>
        <v>23.07</v>
      </c>
      <c r="BS21">
        <f>VLOOKUP($O21,'Table 3 UT Solar 2033 ST'!$B$10:$J$36,9,FALSE)</f>
        <v>24.22</v>
      </c>
      <c r="BT21">
        <f>VLOOKUP($O21,'Table 3 UT Solar 2035 ST'!$B$10:$J$36,9,FALSE)</f>
        <v>24.22</v>
      </c>
      <c r="BU21">
        <f>VLOOKUP($O21,'Table 3 UT Solar 2035 FT'!$B$10:$J$36,9,FALSE)</f>
        <v>23.04</v>
      </c>
      <c r="BV21">
        <f>VLOOKUP($O21,'Table 3 OR Solar 2030'!$B$10:$J$36,9,FALSE)</f>
        <v>24.26</v>
      </c>
      <c r="BW21">
        <f>VLOOKUP($O21,'Table 3 OR Solar 2031'!$B$10:$J$36,9,FALSE)</f>
        <v>24.26</v>
      </c>
      <c r="BX21">
        <f>VLOOKUP($O21,'Table 3 OR Solar 2032'!$B$10:$J$36,9,FALSE)</f>
        <v>24.26</v>
      </c>
      <c r="BY21">
        <f>VLOOKUP($O21,'Table 3 OR Solar 2033'!$B$10:$J$36,9,FALSE)</f>
        <v>24.26</v>
      </c>
      <c r="CA21">
        <f>SUM(AK$13:AK21)*BF21/1000</f>
        <v>0</v>
      </c>
      <c r="CB21">
        <f>SUM(AL$13:AL21)*BG21/1000</f>
        <v>0</v>
      </c>
      <c r="CC21">
        <f>SUM(AM$13:AM21)*BH21/1000</f>
        <v>0</v>
      </c>
      <c r="CD21">
        <f>SUM(AN$13:AN21)*BI21/1000</f>
        <v>0</v>
      </c>
      <c r="CE21">
        <f>SUM(AO$13:AO21)*BJ21/1000</f>
        <v>0</v>
      </c>
      <c r="CF21">
        <f>SUM(AP$13:AP21)*BK21/1000</f>
        <v>0</v>
      </c>
      <c r="CG21">
        <f>SUM(AQ$13:AQ21)*BL21/1000</f>
        <v>0</v>
      </c>
      <c r="CH21">
        <f>SUM(AR$13:AR21)*BM21/1000</f>
        <v>0</v>
      </c>
      <c r="CI21">
        <f>SUM(AS$13:AS21)*BN21/1000</f>
        <v>0</v>
      </c>
      <c r="CJ21">
        <f>SUM(AT$13:AT21)*BO21/1000</f>
        <v>0</v>
      </c>
      <c r="CK21">
        <f>SUM(AU$13:AU21)*BP21/1000</f>
        <v>0</v>
      </c>
      <c r="CL21">
        <f>SUM(AV$13:AV21)*BQ21/1000</f>
        <v>0</v>
      </c>
      <c r="CM21">
        <f>SUM(AW$13:AW21)*BR21/1000</f>
        <v>0</v>
      </c>
      <c r="CN21">
        <f>SUM(AX$13:AX21)*BS21/1000</f>
        <v>0</v>
      </c>
      <c r="CO21">
        <f>SUM(AY$13:AY21)*BT21/1000</f>
        <v>0</v>
      </c>
      <c r="CP21">
        <f>SUM(AZ$13:AZ21)*BU21/1000</f>
        <v>0</v>
      </c>
      <c r="CQ21">
        <f>SUM(BA$13:BA21)*BV21/1000</f>
        <v>0</v>
      </c>
      <c r="CR21">
        <f>SUM(BB$13:BB21)*BW21/1000</f>
        <v>0</v>
      </c>
      <c r="CS21">
        <f>SUM(BC$13:BC21)*BX21/1000</f>
        <v>0</v>
      </c>
      <c r="CT21">
        <f>SUM(BD$13:BD21)*BY21/1000</f>
        <v>0</v>
      </c>
      <c r="CU21">
        <f t="shared" si="29"/>
        <v>0</v>
      </c>
      <c r="CW21">
        <f t="shared" si="24"/>
        <v>2026</v>
      </c>
      <c r="CX21" s="90">
        <f>IFERROR(VLOOKUP($CW21,'Table 3 TransCost D2 '!$B$10:$E$34,4,FALSE),0)</f>
        <v>54.49</v>
      </c>
      <c r="CY21" s="194">
        <f t="shared" si="27"/>
        <v>0</v>
      </c>
    </row>
    <row r="22" spans="2:103">
      <c r="B22" s="15">
        <f t="shared" si="25"/>
        <v>2027</v>
      </c>
      <c r="C22" s="9">
        <f t="shared" si="3"/>
        <v>0</v>
      </c>
      <c r="D22" s="45"/>
      <c r="E22" s="9">
        <f t="shared" ca="1" si="26"/>
        <v>23.776715460550971</v>
      </c>
      <c r="F22" s="37"/>
      <c r="G22" s="14">
        <f t="shared" ca="1" si="28"/>
        <v>23.776715460550971</v>
      </c>
      <c r="H22" s="36"/>
      <c r="I22" s="194"/>
      <c r="J22" s="194"/>
      <c r="M22" s="117"/>
      <c r="O22">
        <f t="shared" si="4"/>
        <v>2027</v>
      </c>
      <c r="P22">
        <v>0</v>
      </c>
      <c r="Q22">
        <v>0</v>
      </c>
      <c r="R22">
        <v>0</v>
      </c>
      <c r="S22" s="194">
        <v>0</v>
      </c>
      <c r="T22" s="194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K22">
        <f t="shared" si="5"/>
        <v>0</v>
      </c>
      <c r="AL22">
        <f t="shared" si="6"/>
        <v>0</v>
      </c>
      <c r="AM22">
        <f t="shared" si="7"/>
        <v>0</v>
      </c>
      <c r="AN22">
        <f t="shared" si="8"/>
        <v>0</v>
      </c>
      <c r="AO22">
        <f t="shared" si="8"/>
        <v>0</v>
      </c>
      <c r="AP22">
        <f t="shared" si="9"/>
        <v>0</v>
      </c>
      <c r="AQ22">
        <f t="shared" si="10"/>
        <v>0</v>
      </c>
      <c r="AR22">
        <f t="shared" si="11"/>
        <v>0</v>
      </c>
      <c r="AS22">
        <f t="shared" si="12"/>
        <v>0</v>
      </c>
      <c r="AT22">
        <f t="shared" si="12"/>
        <v>0</v>
      </c>
      <c r="AU22">
        <f t="shared" si="13"/>
        <v>0</v>
      </c>
      <c r="AV22">
        <f t="shared" si="14"/>
        <v>0</v>
      </c>
      <c r="AW22">
        <f t="shared" si="15"/>
        <v>0</v>
      </c>
      <c r="AX22">
        <f t="shared" si="16"/>
        <v>0</v>
      </c>
      <c r="AY22">
        <f t="shared" si="17"/>
        <v>0</v>
      </c>
      <c r="AZ22">
        <f t="shared" si="18"/>
        <v>0</v>
      </c>
      <c r="BA22">
        <f t="shared" si="19"/>
        <v>0</v>
      </c>
      <c r="BB22">
        <f t="shared" si="20"/>
        <v>0</v>
      </c>
      <c r="BC22">
        <f t="shared" si="21"/>
        <v>0</v>
      </c>
      <c r="BD22">
        <f t="shared" si="22"/>
        <v>0</v>
      </c>
      <c r="BF22">
        <f>VLOOKUP($O22,'Table 3 EV2020 Wind_2020'!$B$10:$K$36,10,FALSE)</f>
        <v>-4.57</v>
      </c>
      <c r="BG22">
        <f>VLOOKUP($O22,'Table 3 EV2020 Wind_2021'!$B$10:$K$36,10,FALSE)</f>
        <v>-6.77</v>
      </c>
      <c r="BH22">
        <f>VLOOKUP($O22,'Table 3 DJ Wind 2030'!$B$10:$J$36,9,FALSE)</f>
        <v>50.26</v>
      </c>
      <c r="BI22">
        <f>VLOOKUP($O22,'Table 3 ID Wind 2030'!$B$10:$J$36,9,FALSE)</f>
        <v>47.26</v>
      </c>
      <c r="BJ22">
        <f>VLOOKUP($O22,'Table 3 ID Wind 2033'!$B$10:$J$36,9,FALSE)</f>
        <v>47.26</v>
      </c>
      <c r="BK22">
        <f>VLOOKUP($O22,'Table 3 WW Wind 2035'!$B$10:$J$36,9,FALSE)</f>
        <v>47.26</v>
      </c>
      <c r="BL22">
        <f>VLOOKUP($O22,'Table 3 YK Wind 2035'!$B$10:$J$36,9,FALSE)</f>
        <v>47.26</v>
      </c>
      <c r="BM22">
        <f>VLOOKUP($O22,'Table 3 OR Wind 2035'!$B$10:$J$36,9,FALSE)</f>
        <v>47.26</v>
      </c>
      <c r="BN22">
        <f>VLOOKUP($O22,'Table 3 UT Wind 2030'!$B$10:$J$36,9,FALSE)</f>
        <v>47.26</v>
      </c>
      <c r="BO22">
        <f>VLOOKUP($O22,'Table 3 UT Wind 2036'!$B$10:$J$36,9,FALSE)</f>
        <v>47.26</v>
      </c>
      <c r="BP22">
        <f>VLOOKUP($O22,'Table 3 YK Solar 2030'!$B$10:$J$36,9,FALSE)</f>
        <v>23.58</v>
      </c>
      <c r="BQ22">
        <f>VLOOKUP($O22,'Table 3 YK Solar 2032'!$B$10:$J$36,9,FALSE)</f>
        <v>23.58</v>
      </c>
      <c r="BR22">
        <f>VLOOKUP($O22,'Table 3 YK Solar 2033'!$B$10:$J$36,9,FALSE)</f>
        <v>23.58</v>
      </c>
      <c r="BS22">
        <f>VLOOKUP($O22,'Table 3 UT Solar 2033 ST'!$B$10:$J$36,9,FALSE)</f>
        <v>24.75</v>
      </c>
      <c r="BT22">
        <f>VLOOKUP($O22,'Table 3 UT Solar 2035 ST'!$B$10:$J$36,9,FALSE)</f>
        <v>24.75</v>
      </c>
      <c r="BU22">
        <f>VLOOKUP($O22,'Table 3 UT Solar 2035 FT'!$B$10:$J$36,9,FALSE)</f>
        <v>23.55</v>
      </c>
      <c r="BV22">
        <f>VLOOKUP($O22,'Table 3 OR Solar 2030'!$B$10:$J$36,9,FALSE)</f>
        <v>24.79</v>
      </c>
      <c r="BW22">
        <f>VLOOKUP($O22,'Table 3 OR Solar 2031'!$B$10:$J$36,9,FALSE)</f>
        <v>24.79</v>
      </c>
      <c r="BX22">
        <f>VLOOKUP($O22,'Table 3 OR Solar 2032'!$B$10:$J$36,9,FALSE)</f>
        <v>24.79</v>
      </c>
      <c r="BY22">
        <f>VLOOKUP($O22,'Table 3 OR Solar 2033'!$B$10:$J$36,9,FALSE)</f>
        <v>24.79</v>
      </c>
      <c r="CA22">
        <f>SUM(AK$13:AK22)*BF22/1000</f>
        <v>0</v>
      </c>
      <c r="CB22">
        <f>SUM(AL$13:AL22)*BG22/1000</f>
        <v>0</v>
      </c>
      <c r="CC22">
        <f>SUM(AM$13:AM22)*BH22/1000</f>
        <v>0</v>
      </c>
      <c r="CD22">
        <f>SUM(AN$13:AN22)*BI22/1000</f>
        <v>0</v>
      </c>
      <c r="CE22">
        <f>SUM(AO$13:AO22)*BJ22/1000</f>
        <v>0</v>
      </c>
      <c r="CF22">
        <f>SUM(AP$13:AP22)*BK22/1000</f>
        <v>0</v>
      </c>
      <c r="CG22">
        <f>SUM(AQ$13:AQ22)*BL22/1000</f>
        <v>0</v>
      </c>
      <c r="CH22">
        <f>SUM(AR$13:AR22)*BM22/1000</f>
        <v>0</v>
      </c>
      <c r="CI22">
        <f>SUM(AS$13:AS22)*BN22/1000</f>
        <v>0</v>
      </c>
      <c r="CJ22">
        <f>SUM(AT$13:AT22)*BO22/1000</f>
        <v>0</v>
      </c>
      <c r="CK22">
        <f>SUM(AU$13:AU22)*BP22/1000</f>
        <v>0</v>
      </c>
      <c r="CL22">
        <f>SUM(AV$13:AV22)*BQ22/1000</f>
        <v>0</v>
      </c>
      <c r="CM22">
        <f>SUM(AW$13:AW22)*BR22/1000</f>
        <v>0</v>
      </c>
      <c r="CN22">
        <f>SUM(AX$13:AX22)*BS22/1000</f>
        <v>0</v>
      </c>
      <c r="CO22">
        <f>SUM(AY$13:AY22)*BT22/1000</f>
        <v>0</v>
      </c>
      <c r="CP22">
        <f>SUM(AZ$13:AZ22)*BU22/1000</f>
        <v>0</v>
      </c>
      <c r="CQ22">
        <f>SUM(BA$13:BA22)*BV22/1000</f>
        <v>0</v>
      </c>
      <c r="CR22">
        <f>SUM(BB$13:BB22)*BW22/1000</f>
        <v>0</v>
      </c>
      <c r="CS22">
        <f>SUM(BC$13:BC22)*BX22/1000</f>
        <v>0</v>
      </c>
      <c r="CT22">
        <f>SUM(BD$13:BD22)*BY22/1000</f>
        <v>0</v>
      </c>
      <c r="CU22">
        <f t="shared" si="29"/>
        <v>0</v>
      </c>
      <c r="CW22">
        <f t="shared" si="24"/>
        <v>2027</v>
      </c>
      <c r="CX22" s="90">
        <f>IFERROR(VLOOKUP($CW22,'Table 3 TransCost D2 '!$B$10:$E$34,4,FALSE),0)</f>
        <v>55.69</v>
      </c>
      <c r="CY22" s="194">
        <f t="shared" si="27"/>
        <v>0</v>
      </c>
    </row>
    <row r="23" spans="2:103">
      <c r="B23" s="15">
        <f t="shared" si="25"/>
        <v>2028</v>
      </c>
      <c r="C23" s="9">
        <f t="shared" si="3"/>
        <v>0</v>
      </c>
      <c r="D23" s="45"/>
      <c r="E23" s="9">
        <f t="shared" ca="1" si="26"/>
        <v>27.172625873629059</v>
      </c>
      <c r="F23" s="37"/>
      <c r="G23" s="14">
        <f t="shared" ca="1" si="28"/>
        <v>27.172625873629059</v>
      </c>
      <c r="H23" s="36"/>
      <c r="I23" s="194"/>
      <c r="J23" s="194"/>
      <c r="M23" s="117"/>
      <c r="O23">
        <f t="shared" si="4"/>
        <v>2028</v>
      </c>
      <c r="P23">
        <v>0</v>
      </c>
      <c r="Q23">
        <v>0</v>
      </c>
      <c r="R23">
        <v>0</v>
      </c>
      <c r="S23" s="194">
        <v>0</v>
      </c>
      <c r="T23" s="194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K23">
        <f t="shared" si="5"/>
        <v>0</v>
      </c>
      <c r="AL23">
        <f t="shared" si="6"/>
        <v>0</v>
      </c>
      <c r="AM23">
        <f t="shared" si="7"/>
        <v>0</v>
      </c>
      <c r="AN23">
        <f t="shared" si="8"/>
        <v>0</v>
      </c>
      <c r="AO23">
        <f t="shared" si="8"/>
        <v>0</v>
      </c>
      <c r="AP23">
        <f t="shared" si="9"/>
        <v>0</v>
      </c>
      <c r="AQ23">
        <f t="shared" si="10"/>
        <v>0</v>
      </c>
      <c r="AR23">
        <f t="shared" si="11"/>
        <v>0</v>
      </c>
      <c r="AS23">
        <f t="shared" si="12"/>
        <v>0</v>
      </c>
      <c r="AT23">
        <f t="shared" si="12"/>
        <v>0</v>
      </c>
      <c r="AU23">
        <f t="shared" si="13"/>
        <v>0</v>
      </c>
      <c r="AV23">
        <f t="shared" si="14"/>
        <v>0</v>
      </c>
      <c r="AW23">
        <f t="shared" si="15"/>
        <v>0</v>
      </c>
      <c r="AX23">
        <f t="shared" si="16"/>
        <v>0</v>
      </c>
      <c r="AY23">
        <f t="shared" si="17"/>
        <v>0</v>
      </c>
      <c r="AZ23">
        <f t="shared" si="18"/>
        <v>0</v>
      </c>
      <c r="BA23">
        <f t="shared" si="19"/>
        <v>0</v>
      </c>
      <c r="BB23">
        <f t="shared" si="20"/>
        <v>0</v>
      </c>
      <c r="BC23">
        <f t="shared" si="21"/>
        <v>0</v>
      </c>
      <c r="BD23">
        <f t="shared" si="22"/>
        <v>0</v>
      </c>
      <c r="BF23">
        <f>VLOOKUP($O23,'Table 3 EV2020 Wind_2020'!$B$10:$K$36,10,FALSE)</f>
        <v>-1.8</v>
      </c>
      <c r="BG23">
        <f>VLOOKUP($O23,'Table 3 EV2020 Wind_2021'!$B$10:$K$36,10,FALSE)</f>
        <v>-4.05</v>
      </c>
      <c r="BH23">
        <f>VLOOKUP($O23,'Table 3 DJ Wind 2030'!$B$10:$J$36,9,FALSE)</f>
        <v>51.38</v>
      </c>
      <c r="BI23">
        <f>VLOOKUP($O23,'Table 3 ID Wind 2030'!$B$10:$J$36,9,FALSE)</f>
        <v>48.3</v>
      </c>
      <c r="BJ23">
        <f>VLOOKUP($O23,'Table 3 ID Wind 2033'!$B$10:$J$36,9,FALSE)</f>
        <v>48.3</v>
      </c>
      <c r="BK23">
        <f>VLOOKUP($O23,'Table 3 WW Wind 2035'!$B$10:$J$36,9,FALSE)</f>
        <v>48.3</v>
      </c>
      <c r="BL23">
        <f>VLOOKUP($O23,'Table 3 YK Wind 2035'!$B$10:$J$36,9,FALSE)</f>
        <v>48.3</v>
      </c>
      <c r="BM23">
        <f>VLOOKUP($O23,'Table 3 OR Wind 2035'!$B$10:$J$36,9,FALSE)</f>
        <v>48.3</v>
      </c>
      <c r="BN23">
        <f>VLOOKUP($O23,'Table 3 UT Wind 2030'!$B$10:$J$36,9,FALSE)</f>
        <v>48.3</v>
      </c>
      <c r="BO23">
        <f>VLOOKUP($O23,'Table 3 UT Wind 2036'!$B$10:$J$36,9,FALSE)</f>
        <v>48.3</v>
      </c>
      <c r="BP23">
        <f>VLOOKUP($O23,'Table 3 YK Solar 2030'!$B$10:$J$36,9,FALSE)</f>
        <v>24.1</v>
      </c>
      <c r="BQ23">
        <f>VLOOKUP($O23,'Table 3 YK Solar 2032'!$B$10:$J$36,9,FALSE)</f>
        <v>24.1</v>
      </c>
      <c r="BR23">
        <f>VLOOKUP($O23,'Table 3 YK Solar 2033'!$B$10:$J$36,9,FALSE)</f>
        <v>24.1</v>
      </c>
      <c r="BS23">
        <f>VLOOKUP($O23,'Table 3 UT Solar 2033 ST'!$B$10:$J$36,9,FALSE)</f>
        <v>25.29</v>
      </c>
      <c r="BT23">
        <f>VLOOKUP($O23,'Table 3 UT Solar 2035 ST'!$B$10:$J$36,9,FALSE)</f>
        <v>25.29</v>
      </c>
      <c r="BU23">
        <f>VLOOKUP($O23,'Table 3 UT Solar 2035 FT'!$B$10:$J$36,9,FALSE)</f>
        <v>24.07</v>
      </c>
      <c r="BV23">
        <f>VLOOKUP($O23,'Table 3 OR Solar 2030'!$B$10:$J$36,9,FALSE)</f>
        <v>25.34</v>
      </c>
      <c r="BW23">
        <f>VLOOKUP($O23,'Table 3 OR Solar 2031'!$B$10:$J$36,9,FALSE)</f>
        <v>25.34</v>
      </c>
      <c r="BX23">
        <f>VLOOKUP($O23,'Table 3 OR Solar 2032'!$B$10:$J$36,9,FALSE)</f>
        <v>25.34</v>
      </c>
      <c r="BY23">
        <f>VLOOKUP($O23,'Table 3 OR Solar 2033'!$B$10:$J$36,9,FALSE)</f>
        <v>25.34</v>
      </c>
      <c r="CA23">
        <f>SUM(AK$13:AK23)*BF23/1000</f>
        <v>0</v>
      </c>
      <c r="CB23">
        <f>SUM(AL$13:AL23)*BG23/1000</f>
        <v>0</v>
      </c>
      <c r="CC23">
        <f>SUM(AM$13:AM23)*BH23/1000</f>
        <v>0</v>
      </c>
      <c r="CD23">
        <f>SUM(AN$13:AN23)*BI23/1000</f>
        <v>0</v>
      </c>
      <c r="CE23">
        <f>SUM(AO$13:AO23)*BJ23/1000</f>
        <v>0</v>
      </c>
      <c r="CF23">
        <f>SUM(AP$13:AP23)*BK23/1000</f>
        <v>0</v>
      </c>
      <c r="CG23">
        <f>SUM(AQ$13:AQ23)*BL23/1000</f>
        <v>0</v>
      </c>
      <c r="CH23">
        <f>SUM(AR$13:AR23)*BM23/1000</f>
        <v>0</v>
      </c>
      <c r="CI23">
        <f>SUM(AS$13:AS23)*BN23/1000</f>
        <v>0</v>
      </c>
      <c r="CJ23">
        <f>SUM(AT$13:AT23)*BO23/1000</f>
        <v>0</v>
      </c>
      <c r="CK23">
        <f>SUM(AU$13:AU23)*BP23/1000</f>
        <v>0</v>
      </c>
      <c r="CL23">
        <f>SUM(AV$13:AV23)*BQ23/1000</f>
        <v>0</v>
      </c>
      <c r="CM23">
        <f>SUM(AW$13:AW23)*BR23/1000</f>
        <v>0</v>
      </c>
      <c r="CN23">
        <f>SUM(AX$13:AX23)*BS23/1000</f>
        <v>0</v>
      </c>
      <c r="CO23">
        <f>SUM(AY$13:AY23)*BT23/1000</f>
        <v>0</v>
      </c>
      <c r="CP23">
        <f>SUM(AZ$13:AZ23)*BU23/1000</f>
        <v>0</v>
      </c>
      <c r="CQ23">
        <f>SUM(BA$13:BA23)*BV23/1000</f>
        <v>0</v>
      </c>
      <c r="CR23">
        <f>SUM(BB$13:BB23)*BW23/1000</f>
        <v>0</v>
      </c>
      <c r="CS23">
        <f>SUM(BC$13:BC23)*BX23/1000</f>
        <v>0</v>
      </c>
      <c r="CT23">
        <f>SUM(BD$13:BD23)*BY23/1000</f>
        <v>0</v>
      </c>
      <c r="CU23">
        <f t="shared" si="29"/>
        <v>0</v>
      </c>
      <c r="CW23">
        <f t="shared" si="24"/>
        <v>2028</v>
      </c>
      <c r="CX23" s="90">
        <f>IFERROR(VLOOKUP($CW23,'Table 3 TransCost D2 '!$B$10:$E$34,4,FALSE),0)</f>
        <v>56.919999999999995</v>
      </c>
      <c r="CY23" s="194">
        <f t="shared" si="27"/>
        <v>0</v>
      </c>
    </row>
    <row r="24" spans="2:103">
      <c r="B24" s="15">
        <f t="shared" si="25"/>
        <v>2029</v>
      </c>
      <c r="C24" s="9">
        <f t="shared" si="3"/>
        <v>0</v>
      </c>
      <c r="D24" s="45"/>
      <c r="E24" s="9">
        <f t="shared" ca="1" si="26"/>
        <v>31.761207192902624</v>
      </c>
      <c r="F24" s="37"/>
      <c r="G24" s="14">
        <f t="shared" ca="1" si="28"/>
        <v>31.761207192902624</v>
      </c>
      <c r="H24" s="36"/>
      <c r="I24" s="194"/>
      <c r="J24" s="194"/>
      <c r="M24" s="117"/>
      <c r="O24">
        <f t="shared" si="4"/>
        <v>2029</v>
      </c>
      <c r="P24">
        <v>0</v>
      </c>
      <c r="Q24">
        <v>0</v>
      </c>
      <c r="R24">
        <v>0</v>
      </c>
      <c r="S24" s="194">
        <v>0</v>
      </c>
      <c r="T24" s="19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K24">
        <f t="shared" si="5"/>
        <v>0</v>
      </c>
      <c r="AL24">
        <f t="shared" si="6"/>
        <v>0</v>
      </c>
      <c r="AM24">
        <f t="shared" si="7"/>
        <v>0</v>
      </c>
      <c r="AN24">
        <f t="shared" si="8"/>
        <v>0</v>
      </c>
      <c r="AO24">
        <f t="shared" si="8"/>
        <v>0</v>
      </c>
      <c r="AP24">
        <f t="shared" si="9"/>
        <v>0</v>
      </c>
      <c r="AQ24">
        <f t="shared" si="10"/>
        <v>0</v>
      </c>
      <c r="AR24">
        <f t="shared" si="11"/>
        <v>0</v>
      </c>
      <c r="AS24">
        <f t="shared" si="12"/>
        <v>0</v>
      </c>
      <c r="AT24">
        <f t="shared" si="12"/>
        <v>0</v>
      </c>
      <c r="AU24">
        <f t="shared" si="13"/>
        <v>0</v>
      </c>
      <c r="AV24">
        <f t="shared" si="14"/>
        <v>0</v>
      </c>
      <c r="AW24">
        <f t="shared" si="15"/>
        <v>0</v>
      </c>
      <c r="AX24">
        <f t="shared" si="16"/>
        <v>0</v>
      </c>
      <c r="AY24">
        <f t="shared" si="17"/>
        <v>0</v>
      </c>
      <c r="AZ24">
        <f t="shared" si="18"/>
        <v>0</v>
      </c>
      <c r="BA24">
        <f t="shared" si="19"/>
        <v>0</v>
      </c>
      <c r="BB24">
        <f t="shared" si="20"/>
        <v>0</v>
      </c>
      <c r="BC24">
        <f t="shared" si="21"/>
        <v>0</v>
      </c>
      <c r="BD24">
        <f t="shared" si="22"/>
        <v>0</v>
      </c>
      <c r="BF24">
        <f>VLOOKUP($O24,'Table 3 EV2020 Wind_2020'!$B$10:$K$36,10,FALSE)</f>
        <v>-3.62</v>
      </c>
      <c r="BG24">
        <f>VLOOKUP($O24,'Table 3 EV2020 Wind_2021'!$B$10:$K$36,10,FALSE)</f>
        <v>-5.92</v>
      </c>
      <c r="BH24">
        <f>VLOOKUP($O24,'Table 3 DJ Wind 2030'!$B$10:$J$36,9,FALSE)</f>
        <v>52.46</v>
      </c>
      <c r="BI24">
        <f>VLOOKUP($O24,'Table 3 ID Wind 2030'!$B$10:$J$36,9,FALSE)</f>
        <v>49.31</v>
      </c>
      <c r="BJ24">
        <f>VLOOKUP($O24,'Table 3 ID Wind 2033'!$B$10:$J$36,9,FALSE)</f>
        <v>49.31</v>
      </c>
      <c r="BK24">
        <f>VLOOKUP($O24,'Table 3 WW Wind 2035'!$B$10:$J$36,9,FALSE)</f>
        <v>49.31</v>
      </c>
      <c r="BL24">
        <f>VLOOKUP($O24,'Table 3 YK Wind 2035'!$B$10:$J$36,9,FALSE)</f>
        <v>49.31</v>
      </c>
      <c r="BM24">
        <f>VLOOKUP($O24,'Table 3 OR Wind 2035'!$B$10:$J$36,9,FALSE)</f>
        <v>49.31</v>
      </c>
      <c r="BN24">
        <f>VLOOKUP($O24,'Table 3 UT Wind 2030'!$B$10:$J$36,9,FALSE)</f>
        <v>49.31</v>
      </c>
      <c r="BO24">
        <f>VLOOKUP($O24,'Table 3 UT Wind 2036'!$B$10:$J$36,9,FALSE)</f>
        <v>49.31</v>
      </c>
      <c r="BP24">
        <f>VLOOKUP($O24,'Table 3 YK Solar 2030'!$B$10:$J$36,9,FALSE)</f>
        <v>24.61</v>
      </c>
      <c r="BQ24">
        <f>VLOOKUP($O24,'Table 3 YK Solar 2032'!$B$10:$J$36,9,FALSE)</f>
        <v>24.61</v>
      </c>
      <c r="BR24">
        <f>VLOOKUP($O24,'Table 3 YK Solar 2033'!$B$10:$J$36,9,FALSE)</f>
        <v>24.61</v>
      </c>
      <c r="BS24">
        <f>VLOOKUP($O24,'Table 3 UT Solar 2033 ST'!$B$10:$J$36,9,FALSE)</f>
        <v>25.82</v>
      </c>
      <c r="BT24">
        <f>VLOOKUP($O24,'Table 3 UT Solar 2035 ST'!$B$10:$J$36,9,FALSE)</f>
        <v>25.82</v>
      </c>
      <c r="BU24">
        <f>VLOOKUP($O24,'Table 3 UT Solar 2035 FT'!$B$10:$J$36,9,FALSE)</f>
        <v>24.58</v>
      </c>
      <c r="BV24">
        <f>VLOOKUP($O24,'Table 3 OR Solar 2030'!$B$10:$J$36,9,FALSE)</f>
        <v>25.87</v>
      </c>
      <c r="BW24">
        <f>VLOOKUP($O24,'Table 3 OR Solar 2031'!$B$10:$J$36,9,FALSE)</f>
        <v>25.87</v>
      </c>
      <c r="BX24">
        <f>VLOOKUP($O24,'Table 3 OR Solar 2032'!$B$10:$J$36,9,FALSE)</f>
        <v>25.87</v>
      </c>
      <c r="BY24">
        <f>VLOOKUP($O24,'Table 3 OR Solar 2033'!$B$10:$J$36,9,FALSE)</f>
        <v>25.87</v>
      </c>
      <c r="CA24">
        <f>SUM(AK$13:AK24)*BF24/1000</f>
        <v>0</v>
      </c>
      <c r="CB24">
        <f>SUM(AL$13:AL24)*BG24/1000</f>
        <v>0</v>
      </c>
      <c r="CC24">
        <f>SUM(AM$13:AM24)*BH24/1000</f>
        <v>0</v>
      </c>
      <c r="CD24">
        <f>SUM(AN$13:AN24)*BI24/1000</f>
        <v>0</v>
      </c>
      <c r="CE24">
        <f>SUM(AO$13:AO24)*BJ24/1000</f>
        <v>0</v>
      </c>
      <c r="CF24">
        <f>SUM(AP$13:AP24)*BK24/1000</f>
        <v>0</v>
      </c>
      <c r="CG24">
        <f>SUM(AQ$13:AQ24)*BL24/1000</f>
        <v>0</v>
      </c>
      <c r="CH24">
        <f>SUM(AR$13:AR24)*BM24/1000</f>
        <v>0</v>
      </c>
      <c r="CI24">
        <f>SUM(AS$13:AS24)*BN24/1000</f>
        <v>0</v>
      </c>
      <c r="CJ24">
        <f>SUM(AT$13:AT24)*BO24/1000</f>
        <v>0</v>
      </c>
      <c r="CK24">
        <f>SUM(AU$13:AU24)*BP24/1000</f>
        <v>0</v>
      </c>
      <c r="CL24">
        <f>SUM(AV$13:AV24)*BQ24/1000</f>
        <v>0</v>
      </c>
      <c r="CM24">
        <f>SUM(AW$13:AW24)*BR24/1000</f>
        <v>0</v>
      </c>
      <c r="CN24">
        <f>SUM(AX$13:AX24)*BS24/1000</f>
        <v>0</v>
      </c>
      <c r="CO24">
        <f>SUM(AY$13:AY24)*BT24/1000</f>
        <v>0</v>
      </c>
      <c r="CP24">
        <f>SUM(AZ$13:AZ24)*BU24/1000</f>
        <v>0</v>
      </c>
      <c r="CQ24">
        <f>SUM(BA$13:BA24)*BV24/1000</f>
        <v>0</v>
      </c>
      <c r="CR24">
        <f>SUM(BB$13:BB24)*BW24/1000</f>
        <v>0</v>
      </c>
      <c r="CS24">
        <f>SUM(BC$13:BC24)*BX24/1000</f>
        <v>0</v>
      </c>
      <c r="CT24">
        <f>SUM(BD$13:BD24)*BY24/1000</f>
        <v>0</v>
      </c>
      <c r="CU24">
        <f t="shared" si="29"/>
        <v>0</v>
      </c>
      <c r="CW24">
        <f t="shared" si="24"/>
        <v>2029</v>
      </c>
      <c r="CX24" s="90">
        <f>IFERROR(VLOOKUP($CW24,'Table 3 TransCost D2 '!$B$10:$E$34,4,FALSE),0)</f>
        <v>58.12</v>
      </c>
      <c r="CY24" s="194">
        <f t="shared" si="27"/>
        <v>0</v>
      </c>
    </row>
    <row r="25" spans="2:103">
      <c r="B25" s="15">
        <f t="shared" si="25"/>
        <v>2030</v>
      </c>
      <c r="C25" s="9">
        <f t="shared" si="3"/>
        <v>0</v>
      </c>
      <c r="D25" s="45"/>
      <c r="E25" s="9">
        <f t="shared" ca="1" si="26"/>
        <v>37.7184922866739</v>
      </c>
      <c r="F25" s="37"/>
      <c r="G25" s="14">
        <f t="shared" ca="1" si="28"/>
        <v>37.7184922866739</v>
      </c>
      <c r="H25" s="36"/>
      <c r="I25" s="194"/>
      <c r="J25" s="194"/>
      <c r="M25" s="117"/>
      <c r="O25">
        <f t="shared" si="4"/>
        <v>2030</v>
      </c>
      <c r="P25">
        <v>0</v>
      </c>
      <c r="Q25">
        <v>0</v>
      </c>
      <c r="R25">
        <v>0</v>
      </c>
      <c r="S25" s="194">
        <v>0</v>
      </c>
      <c r="T25" s="194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K25">
        <f t="shared" si="5"/>
        <v>0</v>
      </c>
      <c r="AL25">
        <f t="shared" si="6"/>
        <v>0</v>
      </c>
      <c r="AM25">
        <f t="shared" si="7"/>
        <v>0</v>
      </c>
      <c r="AN25">
        <f t="shared" si="8"/>
        <v>0</v>
      </c>
      <c r="AO25">
        <f t="shared" si="8"/>
        <v>0</v>
      </c>
      <c r="AP25">
        <f t="shared" si="9"/>
        <v>0</v>
      </c>
      <c r="AQ25">
        <f t="shared" si="10"/>
        <v>0</v>
      </c>
      <c r="AR25">
        <f t="shared" si="11"/>
        <v>0</v>
      </c>
      <c r="AS25">
        <f t="shared" si="12"/>
        <v>0</v>
      </c>
      <c r="AT25">
        <f t="shared" si="12"/>
        <v>0</v>
      </c>
      <c r="AU25">
        <f t="shared" si="13"/>
        <v>0</v>
      </c>
      <c r="AV25">
        <f t="shared" si="14"/>
        <v>0</v>
      </c>
      <c r="AW25">
        <f t="shared" si="15"/>
        <v>0</v>
      </c>
      <c r="AX25">
        <f t="shared" si="16"/>
        <v>0</v>
      </c>
      <c r="AY25">
        <f t="shared" si="17"/>
        <v>0</v>
      </c>
      <c r="AZ25">
        <f t="shared" si="18"/>
        <v>0</v>
      </c>
      <c r="BA25">
        <f t="shared" si="19"/>
        <v>0</v>
      </c>
      <c r="BB25">
        <f t="shared" si="20"/>
        <v>0</v>
      </c>
      <c r="BC25">
        <f t="shared" si="21"/>
        <v>0</v>
      </c>
      <c r="BD25">
        <f t="shared" si="22"/>
        <v>0</v>
      </c>
      <c r="BF25">
        <f>VLOOKUP($O25,'Table 3 EV2020 Wind_2020'!$B$10:$K$36,10,FALSE)</f>
        <v>17.78</v>
      </c>
      <c r="BG25">
        <f>VLOOKUP($O25,'Table 3 EV2020 Wind_2021'!$B$10:$K$36,10,FALSE)</f>
        <v>-7.85</v>
      </c>
      <c r="BH25">
        <f>VLOOKUP($O25,'Table 3 DJ Wind 2030'!$B$10:$J$36,9,FALSE)</f>
        <v>149.68</v>
      </c>
      <c r="BI25">
        <f>VLOOKUP($O25,'Table 3 ID Wind 2030'!$B$10:$J$36,9,FALSE)</f>
        <v>150.54</v>
      </c>
      <c r="BJ25">
        <f>VLOOKUP($O25,'Table 3 ID Wind 2033'!$B$10:$J$36,9,FALSE)</f>
        <v>50.3</v>
      </c>
      <c r="BK25">
        <f>VLOOKUP($O25,'Table 3 WW Wind 2035'!$B$10:$J$36,9,FALSE)</f>
        <v>50.3</v>
      </c>
      <c r="BL25">
        <f>VLOOKUP($O25,'Table 3 YK Wind 2035'!$B$10:$J$36,9,FALSE)</f>
        <v>50.3</v>
      </c>
      <c r="BM25">
        <f>VLOOKUP($O25,'Table 3 OR Wind 2035'!$B$10:$J$36,9,FALSE)</f>
        <v>50.3</v>
      </c>
      <c r="BN25">
        <f>VLOOKUP($O25,'Table 3 UT Wind 2030'!$B$10:$J$36,9,FALSE)</f>
        <v>145.37</v>
      </c>
      <c r="BO25">
        <f>VLOOKUP($O25,'Table 3 UT Wind 2036'!$B$10:$J$36,9,FALSE)</f>
        <v>50.3</v>
      </c>
      <c r="BP25">
        <f>VLOOKUP($O25,'Table 3 YK Solar 2030'!$B$10:$J$36,9,FALSE)</f>
        <v>117.16</v>
      </c>
      <c r="BQ25">
        <f>VLOOKUP($O25,'Table 3 YK Solar 2032'!$B$10:$J$36,9,FALSE)</f>
        <v>25.1</v>
      </c>
      <c r="BR25">
        <f>VLOOKUP($O25,'Table 3 YK Solar 2033'!$B$10:$J$36,9,FALSE)</f>
        <v>25.1</v>
      </c>
      <c r="BS25">
        <f>VLOOKUP($O25,'Table 3 UT Solar 2033 ST'!$B$10:$J$36,9,FALSE)</f>
        <v>26.34</v>
      </c>
      <c r="BT25">
        <f>VLOOKUP($O25,'Table 3 UT Solar 2035 ST'!$B$10:$J$36,9,FALSE)</f>
        <v>26.34</v>
      </c>
      <c r="BU25">
        <f>VLOOKUP($O25,'Table 3 UT Solar 2035 FT'!$B$10:$J$36,9,FALSE)</f>
        <v>25.07</v>
      </c>
      <c r="BV25">
        <f>VLOOKUP($O25,'Table 3 OR Solar 2030'!$B$10:$J$36,9,FALSE)</f>
        <v>120.22</v>
      </c>
      <c r="BW25">
        <f>VLOOKUP($O25,'Table 3 OR Solar 2031'!$B$10:$J$36,9,FALSE)</f>
        <v>26.39</v>
      </c>
      <c r="BX25">
        <f>VLOOKUP($O25,'Table 3 OR Solar 2032'!$B$10:$J$36,9,FALSE)</f>
        <v>26.39</v>
      </c>
      <c r="BY25">
        <f>VLOOKUP($O25,'Table 3 OR Solar 2033'!$B$10:$J$36,9,FALSE)</f>
        <v>26.39</v>
      </c>
      <c r="CA25">
        <f>SUM(AK$13:AK25)*BF25/1000</f>
        <v>0</v>
      </c>
      <c r="CB25">
        <f>SUM(AL$13:AL25)*BG25/1000</f>
        <v>0</v>
      </c>
      <c r="CC25">
        <f>SUM(AM$13:AM25)*BH25/1000</f>
        <v>0</v>
      </c>
      <c r="CD25">
        <f>SUM(AN$13:AN25)*BI25/1000</f>
        <v>0</v>
      </c>
      <c r="CE25">
        <f>SUM(AO$13:AO25)*BJ25/1000</f>
        <v>0</v>
      </c>
      <c r="CF25">
        <f>SUM(AP$13:AP25)*BK25/1000</f>
        <v>0</v>
      </c>
      <c r="CG25">
        <f>SUM(AQ$13:AQ25)*BL25/1000</f>
        <v>0</v>
      </c>
      <c r="CH25">
        <f>SUM(AR$13:AR25)*BM25/1000</f>
        <v>0</v>
      </c>
      <c r="CI25">
        <f>SUM(AS$13:AS25)*BN25/1000</f>
        <v>0</v>
      </c>
      <c r="CJ25">
        <f>SUM(AT$13:AT25)*BO25/1000</f>
        <v>0</v>
      </c>
      <c r="CK25">
        <f>SUM(AU$13:AU25)*BP25/1000</f>
        <v>0</v>
      </c>
      <c r="CL25">
        <f>SUM(AV$13:AV25)*BQ25/1000</f>
        <v>0</v>
      </c>
      <c r="CM25">
        <f>SUM(AW$13:AW25)*BR25/1000</f>
        <v>0</v>
      </c>
      <c r="CN25">
        <f>SUM(AX$13:AX25)*BS25/1000</f>
        <v>0</v>
      </c>
      <c r="CO25">
        <f>SUM(AY$13:AY25)*BT25/1000</f>
        <v>0</v>
      </c>
      <c r="CP25">
        <f>SUM(AZ$13:AZ25)*BU25/1000</f>
        <v>0</v>
      </c>
      <c r="CQ25">
        <f>SUM(BA$13:BA25)*BV25/1000</f>
        <v>0</v>
      </c>
      <c r="CR25">
        <f>SUM(BB$13:BB25)*BW25/1000</f>
        <v>0</v>
      </c>
      <c r="CS25">
        <f>SUM(BC$13:BC25)*BX25/1000</f>
        <v>0</v>
      </c>
      <c r="CT25">
        <f>SUM(BD$13:BD25)*BY25/1000</f>
        <v>0</v>
      </c>
      <c r="CU25">
        <f t="shared" si="29"/>
        <v>0</v>
      </c>
      <c r="CW25">
        <f t="shared" si="24"/>
        <v>2030</v>
      </c>
      <c r="CX25" s="90">
        <f>IFERROR(VLOOKUP($CW25,'Table 3 TransCost D2 '!$B$10:$E$34,4,FALSE),0)</f>
        <v>59.28</v>
      </c>
      <c r="CY25" s="194">
        <f t="shared" si="27"/>
        <v>0</v>
      </c>
    </row>
    <row r="26" spans="2:103">
      <c r="B26" s="15">
        <f t="shared" si="25"/>
        <v>2031</v>
      </c>
      <c r="C26" s="9">
        <f t="shared" si="3"/>
        <v>0</v>
      </c>
      <c r="D26" s="45"/>
      <c r="E26" s="9">
        <f t="shared" ca="1" si="26"/>
        <v>39.422688859972617</v>
      </c>
      <c r="F26" s="37"/>
      <c r="G26" s="14">
        <f t="shared" ca="1" si="28"/>
        <v>39.422688859972617</v>
      </c>
      <c r="H26" s="36"/>
      <c r="I26" s="194"/>
      <c r="J26" s="194"/>
      <c r="M26" s="117"/>
      <c r="O26">
        <f t="shared" si="4"/>
        <v>2031</v>
      </c>
      <c r="P26">
        <v>0</v>
      </c>
      <c r="Q26">
        <v>0</v>
      </c>
      <c r="R26">
        <v>0</v>
      </c>
      <c r="S26" s="194">
        <v>0</v>
      </c>
      <c r="T26" s="194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K26">
        <f t="shared" si="5"/>
        <v>0</v>
      </c>
      <c r="AL26">
        <f t="shared" si="6"/>
        <v>0</v>
      </c>
      <c r="AM26">
        <f t="shared" si="7"/>
        <v>0</v>
      </c>
      <c r="AN26">
        <f t="shared" si="8"/>
        <v>0</v>
      </c>
      <c r="AO26">
        <f t="shared" si="8"/>
        <v>0</v>
      </c>
      <c r="AP26">
        <f t="shared" si="9"/>
        <v>0</v>
      </c>
      <c r="AQ26">
        <f t="shared" si="10"/>
        <v>0</v>
      </c>
      <c r="AR26">
        <f t="shared" si="11"/>
        <v>0</v>
      </c>
      <c r="AS26">
        <f t="shared" si="12"/>
        <v>0</v>
      </c>
      <c r="AT26">
        <f t="shared" si="12"/>
        <v>0</v>
      </c>
      <c r="AU26">
        <f t="shared" si="13"/>
        <v>0</v>
      </c>
      <c r="AV26">
        <f t="shared" si="14"/>
        <v>0</v>
      </c>
      <c r="AW26">
        <f t="shared" si="15"/>
        <v>0</v>
      </c>
      <c r="AX26">
        <f t="shared" si="16"/>
        <v>0</v>
      </c>
      <c r="AY26">
        <f t="shared" si="17"/>
        <v>0</v>
      </c>
      <c r="AZ26">
        <f t="shared" si="18"/>
        <v>0</v>
      </c>
      <c r="BA26">
        <f t="shared" si="19"/>
        <v>0</v>
      </c>
      <c r="BB26">
        <f t="shared" si="20"/>
        <v>0</v>
      </c>
      <c r="BC26">
        <f t="shared" si="21"/>
        <v>0</v>
      </c>
      <c r="BD26">
        <f t="shared" si="22"/>
        <v>0</v>
      </c>
      <c r="BF26">
        <f>VLOOKUP($O26,'Table 3 EV2020 Wind_2020'!$B$10:$K$36,10,FALSE)</f>
        <v>136.88999999999999</v>
      </c>
      <c r="BG26">
        <f>VLOOKUP($O26,'Table 3 EV2020 Wind_2021'!$B$10:$K$36,10,FALSE)</f>
        <v>134.5</v>
      </c>
      <c r="BH26">
        <f>VLOOKUP($O26,'Table 3 DJ Wind 2030'!$B$10:$J$36,9,FALSE)</f>
        <v>152.69</v>
      </c>
      <c r="BI26">
        <f>VLOOKUP($O26,'Table 3 ID Wind 2030'!$B$10:$J$36,9,FALSE)</f>
        <v>153.56</v>
      </c>
      <c r="BJ26">
        <f>VLOOKUP($O26,'Table 3 ID Wind 2033'!$B$10:$J$36,9,FALSE)</f>
        <v>51.31</v>
      </c>
      <c r="BK26">
        <f>VLOOKUP($O26,'Table 3 WW Wind 2035'!$B$10:$J$36,9,FALSE)</f>
        <v>51.31</v>
      </c>
      <c r="BL26">
        <f>VLOOKUP($O26,'Table 3 YK Wind 2035'!$B$10:$J$36,9,FALSE)</f>
        <v>51.31</v>
      </c>
      <c r="BM26">
        <f>VLOOKUP($O26,'Table 3 OR Wind 2035'!$B$10:$J$36,9,FALSE)</f>
        <v>51.31</v>
      </c>
      <c r="BN26">
        <f>VLOOKUP($O26,'Table 3 UT Wind 2030'!$B$10:$J$36,9,FALSE)</f>
        <v>145.37</v>
      </c>
      <c r="BO26">
        <f>VLOOKUP($O26,'Table 3 UT Wind 2036'!$B$10:$J$36,9,FALSE)</f>
        <v>51.31</v>
      </c>
      <c r="BP26">
        <f>VLOOKUP($O26,'Table 3 YK Solar 2030'!$B$10:$J$36,9,FALSE)</f>
        <v>119.5</v>
      </c>
      <c r="BQ26">
        <f>VLOOKUP($O26,'Table 3 YK Solar 2032'!$B$10:$J$36,9,FALSE)</f>
        <v>25.6</v>
      </c>
      <c r="BR26">
        <f>VLOOKUP($O26,'Table 3 YK Solar 2033'!$B$10:$J$36,9,FALSE)</f>
        <v>25.6</v>
      </c>
      <c r="BS26">
        <f>VLOOKUP($O26,'Table 3 UT Solar 2033 ST'!$B$10:$J$36,9,FALSE)</f>
        <v>26.87</v>
      </c>
      <c r="BT26">
        <f>VLOOKUP($O26,'Table 3 UT Solar 2035 ST'!$B$10:$J$36,9,FALSE)</f>
        <v>26.87</v>
      </c>
      <c r="BU26">
        <f>VLOOKUP($O26,'Table 3 UT Solar 2035 FT'!$B$10:$J$36,9,FALSE)</f>
        <v>25.57</v>
      </c>
      <c r="BV26">
        <f>VLOOKUP($O26,'Table 3 OR Solar 2030'!$B$10:$J$36,9,FALSE)</f>
        <v>122.62</v>
      </c>
      <c r="BW26">
        <f>VLOOKUP($O26,'Table 3 OR Solar 2031'!$B$10:$J$36,9,FALSE)</f>
        <v>120.21</v>
      </c>
      <c r="BX26">
        <f>VLOOKUP($O26,'Table 3 OR Solar 2032'!$B$10:$J$36,9,FALSE)</f>
        <v>26.92</v>
      </c>
      <c r="BY26">
        <f>VLOOKUP($O26,'Table 3 OR Solar 2033'!$B$10:$J$36,9,FALSE)</f>
        <v>26.92</v>
      </c>
      <c r="CA26">
        <f>SUM(AK$13:AK26)*BF26/1000</f>
        <v>0</v>
      </c>
      <c r="CB26">
        <f>SUM(AL$13:AL26)*BG26/1000</f>
        <v>0</v>
      </c>
      <c r="CC26">
        <f>SUM(AM$13:AM26)*BH26/1000</f>
        <v>0</v>
      </c>
      <c r="CD26">
        <f>SUM(AN$13:AN26)*BI26/1000</f>
        <v>0</v>
      </c>
      <c r="CE26">
        <f>SUM(AO$13:AO26)*BJ26/1000</f>
        <v>0</v>
      </c>
      <c r="CF26">
        <f>SUM(AP$13:AP26)*BK26/1000</f>
        <v>0</v>
      </c>
      <c r="CG26">
        <f>SUM(AQ$13:AQ26)*BL26/1000</f>
        <v>0</v>
      </c>
      <c r="CH26">
        <f>SUM(AR$13:AR26)*BM26/1000</f>
        <v>0</v>
      </c>
      <c r="CI26">
        <f>SUM(AS$13:AS26)*BN26/1000</f>
        <v>0</v>
      </c>
      <c r="CJ26">
        <f>SUM(AT$13:AT26)*BO26/1000</f>
        <v>0</v>
      </c>
      <c r="CK26">
        <f>SUM(AU$13:AU26)*BP26/1000</f>
        <v>0</v>
      </c>
      <c r="CL26">
        <f>SUM(AV$13:AV26)*BQ26/1000</f>
        <v>0</v>
      </c>
      <c r="CM26">
        <f>SUM(AW$13:AW26)*BR26/1000</f>
        <v>0</v>
      </c>
      <c r="CN26">
        <f>SUM(AX$13:AX26)*BS26/1000</f>
        <v>0</v>
      </c>
      <c r="CO26">
        <f>SUM(AY$13:AY26)*BT26/1000</f>
        <v>0</v>
      </c>
      <c r="CP26">
        <f>SUM(AZ$13:AZ26)*BU26/1000</f>
        <v>0</v>
      </c>
      <c r="CQ26">
        <f>SUM(BA$13:BA26)*BV26/1000</f>
        <v>0</v>
      </c>
      <c r="CR26">
        <f>SUM(BB$13:BB26)*BW26/1000</f>
        <v>0</v>
      </c>
      <c r="CS26">
        <f>SUM(BC$13:BC26)*BX26/1000</f>
        <v>0</v>
      </c>
      <c r="CT26">
        <f>SUM(BD$13:BD26)*BY26/1000</f>
        <v>0</v>
      </c>
      <c r="CU26">
        <f t="shared" si="29"/>
        <v>0</v>
      </c>
      <c r="CW26">
        <f t="shared" si="24"/>
        <v>2031</v>
      </c>
      <c r="CX26" s="90">
        <f>IFERROR(VLOOKUP($CW26,'Table 3 TransCost D2 '!$B$10:$E$34,4,FALSE),0)</f>
        <v>60.47</v>
      </c>
      <c r="CY26" s="194">
        <f t="shared" si="27"/>
        <v>0</v>
      </c>
    </row>
    <row r="27" spans="2:103">
      <c r="B27" s="15">
        <f t="shared" si="25"/>
        <v>2032</v>
      </c>
      <c r="C27" s="9">
        <f t="shared" si="3"/>
        <v>0</v>
      </c>
      <c r="D27" s="45"/>
      <c r="E27" s="9">
        <f t="shared" ca="1" si="26"/>
        <v>40.445811037895758</v>
      </c>
      <c r="F27" s="37"/>
      <c r="G27" s="14">
        <f t="shared" ca="1" si="28"/>
        <v>40.445811037895758</v>
      </c>
      <c r="H27" s="36"/>
      <c r="I27" s="194"/>
      <c r="J27" s="194"/>
      <c r="M27" s="117"/>
      <c r="O27">
        <f t="shared" si="4"/>
        <v>2032</v>
      </c>
      <c r="P27">
        <v>0</v>
      </c>
      <c r="Q27">
        <v>0</v>
      </c>
      <c r="R27">
        <v>0</v>
      </c>
      <c r="S27" s="194">
        <v>0</v>
      </c>
      <c r="T27" s="194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K27">
        <f t="shared" si="5"/>
        <v>0</v>
      </c>
      <c r="AL27">
        <f t="shared" si="6"/>
        <v>0</v>
      </c>
      <c r="AM27">
        <f t="shared" si="7"/>
        <v>0</v>
      </c>
      <c r="AN27">
        <f t="shared" si="8"/>
        <v>0</v>
      </c>
      <c r="AO27">
        <f t="shared" si="8"/>
        <v>0</v>
      </c>
      <c r="AP27">
        <f t="shared" si="9"/>
        <v>0</v>
      </c>
      <c r="AQ27">
        <f t="shared" si="10"/>
        <v>0</v>
      </c>
      <c r="AR27">
        <f t="shared" si="11"/>
        <v>0</v>
      </c>
      <c r="AS27">
        <f t="shared" si="12"/>
        <v>0</v>
      </c>
      <c r="AT27">
        <f t="shared" si="12"/>
        <v>0</v>
      </c>
      <c r="AU27">
        <f t="shared" si="13"/>
        <v>0</v>
      </c>
      <c r="AV27">
        <f t="shared" si="14"/>
        <v>0</v>
      </c>
      <c r="AW27">
        <f t="shared" si="15"/>
        <v>0</v>
      </c>
      <c r="AX27">
        <f t="shared" si="16"/>
        <v>0</v>
      </c>
      <c r="AY27">
        <f t="shared" si="17"/>
        <v>0</v>
      </c>
      <c r="AZ27">
        <f t="shared" si="18"/>
        <v>0</v>
      </c>
      <c r="BA27">
        <f t="shared" si="19"/>
        <v>0</v>
      </c>
      <c r="BB27">
        <f t="shared" si="20"/>
        <v>0</v>
      </c>
      <c r="BC27">
        <f t="shared" si="21"/>
        <v>0</v>
      </c>
      <c r="BD27">
        <f t="shared" si="22"/>
        <v>0</v>
      </c>
      <c r="BF27">
        <f>VLOOKUP($O27,'Table 3 EV2020 Wind_2020'!$B$10:$K$36,10,FALSE)</f>
        <v>139.62</v>
      </c>
      <c r="BG27">
        <f>VLOOKUP($O27,'Table 3 EV2020 Wind_2021'!$B$10:$K$36,10,FALSE)</f>
        <v>137.18</v>
      </c>
      <c r="BH27">
        <f>VLOOKUP($O27,'Table 3 DJ Wind 2030'!$B$10:$J$36,9,FALSE)</f>
        <v>155.75</v>
      </c>
      <c r="BI27">
        <f>VLOOKUP($O27,'Table 3 ID Wind 2030'!$B$10:$J$36,9,FALSE)</f>
        <v>156.63999999999999</v>
      </c>
      <c r="BJ27">
        <f>VLOOKUP($O27,'Table 3 ID Wind 2033'!$B$10:$J$36,9,FALSE)</f>
        <v>52.34</v>
      </c>
      <c r="BK27">
        <f>VLOOKUP($O27,'Table 3 WW Wind 2035'!$B$10:$J$36,9,FALSE)</f>
        <v>52.34</v>
      </c>
      <c r="BL27">
        <f>VLOOKUP($O27,'Table 3 YK Wind 2035'!$B$10:$J$36,9,FALSE)</f>
        <v>52.34</v>
      </c>
      <c r="BM27">
        <f>VLOOKUP($O27,'Table 3 OR Wind 2035'!$B$10:$J$36,9,FALSE)</f>
        <v>52.34</v>
      </c>
      <c r="BN27">
        <f>VLOOKUP($O27,'Table 3 UT Wind 2030'!$B$10:$J$36,9,FALSE)</f>
        <v>145.37</v>
      </c>
      <c r="BO27">
        <f>VLOOKUP($O27,'Table 3 UT Wind 2036'!$B$10:$J$36,9,FALSE)</f>
        <v>52.34</v>
      </c>
      <c r="BP27">
        <f>VLOOKUP($O27,'Table 3 YK Solar 2030'!$B$10:$J$36,9,FALSE)</f>
        <v>121.89</v>
      </c>
      <c r="BQ27">
        <f>VLOOKUP($O27,'Table 3 YK Solar 2032'!$B$10:$J$36,9,FALSE)</f>
        <v>117.12</v>
      </c>
      <c r="BR27">
        <f>VLOOKUP($O27,'Table 3 YK Solar 2033'!$B$10:$J$36,9,FALSE)</f>
        <v>26.11</v>
      </c>
      <c r="BS27">
        <f>VLOOKUP($O27,'Table 3 UT Solar 2033 ST'!$B$10:$J$36,9,FALSE)</f>
        <v>27.41</v>
      </c>
      <c r="BT27">
        <f>VLOOKUP($O27,'Table 3 UT Solar 2035 ST'!$B$10:$J$36,9,FALSE)</f>
        <v>27.41</v>
      </c>
      <c r="BU27">
        <f>VLOOKUP($O27,'Table 3 UT Solar 2035 FT'!$B$10:$J$36,9,FALSE)</f>
        <v>26.08</v>
      </c>
      <c r="BV27">
        <f>VLOOKUP($O27,'Table 3 OR Solar 2030'!$B$10:$J$36,9,FALSE)</f>
        <v>125.07</v>
      </c>
      <c r="BW27">
        <f>VLOOKUP($O27,'Table 3 OR Solar 2031'!$B$10:$J$36,9,FALSE)</f>
        <v>122.62</v>
      </c>
      <c r="BX27">
        <f>VLOOKUP($O27,'Table 3 OR Solar 2032'!$B$10:$J$36,9,FALSE)</f>
        <v>120.22</v>
      </c>
      <c r="BY27">
        <f>VLOOKUP($O27,'Table 3 OR Solar 2033'!$B$10:$J$36,9,FALSE)</f>
        <v>27.46</v>
      </c>
      <c r="CA27">
        <f>SUM(AK$13:AK27)*BF27/1000</f>
        <v>0</v>
      </c>
      <c r="CB27">
        <f>SUM(AL$13:AL27)*BG27/1000</f>
        <v>0</v>
      </c>
      <c r="CC27">
        <f>SUM(AM$13:AM27)*BH27/1000</f>
        <v>0</v>
      </c>
      <c r="CD27">
        <f>SUM(AN$13:AN27)*BI27/1000</f>
        <v>0</v>
      </c>
      <c r="CE27">
        <f>SUM(AO$13:AO27)*BJ27/1000</f>
        <v>0</v>
      </c>
      <c r="CF27">
        <f>SUM(AP$13:AP27)*BK27/1000</f>
        <v>0</v>
      </c>
      <c r="CG27">
        <f>SUM(AQ$13:AQ27)*BL27/1000</f>
        <v>0</v>
      </c>
      <c r="CH27">
        <f>SUM(AR$13:AR27)*BM27/1000</f>
        <v>0</v>
      </c>
      <c r="CI27">
        <f>SUM(AS$13:AS27)*BN27/1000</f>
        <v>0</v>
      </c>
      <c r="CJ27">
        <f>SUM(AT$13:AT27)*BO27/1000</f>
        <v>0</v>
      </c>
      <c r="CK27">
        <f>SUM(AU$13:AU27)*BP27/1000</f>
        <v>0</v>
      </c>
      <c r="CL27">
        <f>SUM(AV$13:AV27)*BQ27/1000</f>
        <v>0</v>
      </c>
      <c r="CM27">
        <f>SUM(AW$13:AW27)*BR27/1000</f>
        <v>0</v>
      </c>
      <c r="CN27">
        <f>SUM(AX$13:AX27)*BS27/1000</f>
        <v>0</v>
      </c>
      <c r="CO27">
        <f>SUM(AY$13:AY27)*BT27/1000</f>
        <v>0</v>
      </c>
      <c r="CP27">
        <f>SUM(AZ$13:AZ27)*BU27/1000</f>
        <v>0</v>
      </c>
      <c r="CQ27">
        <f>SUM(BA$13:BA27)*BV27/1000</f>
        <v>0</v>
      </c>
      <c r="CR27">
        <f>SUM(BB$13:BB27)*BW27/1000</f>
        <v>0</v>
      </c>
      <c r="CS27">
        <f>SUM(BC$13:BC27)*BX27/1000</f>
        <v>0</v>
      </c>
      <c r="CT27">
        <f>SUM(BD$13:BD27)*BY27/1000</f>
        <v>0</v>
      </c>
      <c r="CU27">
        <f t="shared" si="29"/>
        <v>0</v>
      </c>
      <c r="CW27">
        <f t="shared" si="24"/>
        <v>2032</v>
      </c>
      <c r="CX27" s="90">
        <f>IFERROR(VLOOKUP($CW27,'Table 3 TransCost D2 '!$B$10:$E$34,4,FALSE),0)</f>
        <v>61.68</v>
      </c>
      <c r="CY27" s="194">
        <f t="shared" si="27"/>
        <v>0</v>
      </c>
    </row>
    <row r="28" spans="2:103">
      <c r="B28" s="15">
        <f t="shared" si="25"/>
        <v>2033</v>
      </c>
      <c r="C28" s="9">
        <f t="shared" si="3"/>
        <v>154.30000000000001</v>
      </c>
      <c r="D28" s="45"/>
      <c r="E28" s="9">
        <f t="shared" ca="1" si="26"/>
        <v>-6.5494072078602574</v>
      </c>
      <c r="F28" s="37"/>
      <c r="G28" s="14">
        <f t="shared" ca="1" si="28"/>
        <v>50.26402565269057</v>
      </c>
      <c r="H28" s="36"/>
      <c r="I28" s="194"/>
      <c r="J28" s="194"/>
      <c r="M28" s="117"/>
      <c r="O28">
        <f t="shared" si="4"/>
        <v>2033</v>
      </c>
      <c r="P28">
        <v>0</v>
      </c>
      <c r="Q28">
        <v>0</v>
      </c>
      <c r="R28">
        <v>0</v>
      </c>
      <c r="S28" s="194">
        <v>0</v>
      </c>
      <c r="T28" s="194">
        <v>12.64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K28">
        <f t="shared" si="5"/>
        <v>0</v>
      </c>
      <c r="AL28">
        <f t="shared" si="6"/>
        <v>0</v>
      </c>
      <c r="AM28">
        <f t="shared" si="7"/>
        <v>0</v>
      </c>
      <c r="AN28">
        <f t="shared" si="8"/>
        <v>0</v>
      </c>
      <c r="AO28">
        <f t="shared" si="8"/>
        <v>80</v>
      </c>
      <c r="AP28">
        <f t="shared" si="9"/>
        <v>0</v>
      </c>
      <c r="AQ28">
        <f t="shared" si="10"/>
        <v>0</v>
      </c>
      <c r="AR28">
        <f t="shared" si="11"/>
        <v>0</v>
      </c>
      <c r="AS28">
        <f t="shared" si="12"/>
        <v>0</v>
      </c>
      <c r="AT28">
        <f t="shared" si="12"/>
        <v>0</v>
      </c>
      <c r="AU28">
        <f t="shared" si="13"/>
        <v>0</v>
      </c>
      <c r="AV28">
        <f t="shared" si="14"/>
        <v>0</v>
      </c>
      <c r="AW28">
        <f t="shared" si="15"/>
        <v>0</v>
      </c>
      <c r="AX28">
        <f t="shared" si="16"/>
        <v>0</v>
      </c>
      <c r="AY28">
        <f t="shared" si="17"/>
        <v>0</v>
      </c>
      <c r="AZ28">
        <f t="shared" si="18"/>
        <v>0</v>
      </c>
      <c r="BA28">
        <f t="shared" si="19"/>
        <v>0</v>
      </c>
      <c r="BB28">
        <f t="shared" si="20"/>
        <v>0</v>
      </c>
      <c r="BC28">
        <f t="shared" si="21"/>
        <v>0</v>
      </c>
      <c r="BD28">
        <f t="shared" si="22"/>
        <v>0</v>
      </c>
      <c r="BF28">
        <f>VLOOKUP($O28,'Table 3 EV2020 Wind_2020'!$B$10:$K$36,10,FALSE)</f>
        <v>142.4</v>
      </c>
      <c r="BG28">
        <f>VLOOKUP($O28,'Table 3 EV2020 Wind_2021'!$B$10:$K$36,10,FALSE)</f>
        <v>139.91</v>
      </c>
      <c r="BH28">
        <f>VLOOKUP($O28,'Table 3 DJ Wind 2030'!$B$10:$J$36,9,FALSE)</f>
        <v>158.88</v>
      </c>
      <c r="BI28">
        <f>VLOOKUP($O28,'Table 3 ID Wind 2030'!$B$10:$J$36,9,FALSE)</f>
        <v>159.78</v>
      </c>
      <c r="BJ28">
        <f>VLOOKUP($O28,'Table 3 ID Wind 2033'!$B$10:$J$36,9,FALSE)</f>
        <v>154.30000000000001</v>
      </c>
      <c r="BK28">
        <f>VLOOKUP($O28,'Table 3 WW Wind 2035'!$B$10:$J$36,9,FALSE)</f>
        <v>53.39</v>
      </c>
      <c r="BL28">
        <f>VLOOKUP($O28,'Table 3 YK Wind 2035'!$B$10:$J$36,9,FALSE)</f>
        <v>53.39</v>
      </c>
      <c r="BM28">
        <f>VLOOKUP($O28,'Table 3 OR Wind 2035'!$B$10:$J$36,9,FALSE)</f>
        <v>53.39</v>
      </c>
      <c r="BN28">
        <f>VLOOKUP($O28,'Table 3 UT Wind 2030'!$B$10:$J$36,9,FALSE)</f>
        <v>145.37</v>
      </c>
      <c r="BO28">
        <f>VLOOKUP($O28,'Table 3 UT Wind 2036'!$B$10:$J$36,9,FALSE)</f>
        <v>53.39</v>
      </c>
      <c r="BP28">
        <f>VLOOKUP($O28,'Table 3 YK Solar 2030'!$B$10:$J$36,9,FALSE)</f>
        <v>124.33</v>
      </c>
      <c r="BQ28">
        <f>VLOOKUP($O28,'Table 3 YK Solar 2032'!$B$10:$J$36,9,FALSE)</f>
        <v>119.46</v>
      </c>
      <c r="BR28">
        <f>VLOOKUP($O28,'Table 3 YK Solar 2033'!$B$10:$J$36,9,FALSE)</f>
        <v>117.12</v>
      </c>
      <c r="BS28">
        <f>VLOOKUP($O28,'Table 3 UT Solar 2033 ST'!$B$10:$J$36,9,FALSE)</f>
        <v>117.96</v>
      </c>
      <c r="BT28">
        <f>VLOOKUP($O28,'Table 3 UT Solar 2035 ST'!$B$10:$J$36,9,FALSE)</f>
        <v>27.96</v>
      </c>
      <c r="BU28">
        <f>VLOOKUP($O28,'Table 3 UT Solar 2035 FT'!$B$10:$J$36,9,FALSE)</f>
        <v>26.6</v>
      </c>
      <c r="BV28">
        <f>VLOOKUP($O28,'Table 3 OR Solar 2030'!$B$10:$J$36,9,FALSE)</f>
        <v>127.57</v>
      </c>
      <c r="BW28">
        <f>VLOOKUP($O28,'Table 3 OR Solar 2031'!$B$10:$J$36,9,FALSE)</f>
        <v>125.07</v>
      </c>
      <c r="BX28">
        <f>VLOOKUP($O28,'Table 3 OR Solar 2032'!$B$10:$J$36,9,FALSE)</f>
        <v>122.62</v>
      </c>
      <c r="BY28">
        <f>VLOOKUP($O28,'Table 3 OR Solar 2033'!$B$10:$J$36,9,FALSE)</f>
        <v>120.24</v>
      </c>
      <c r="CA28">
        <f>SUM(AK$13:AK28)*BF28/1000</f>
        <v>0</v>
      </c>
      <c r="CB28">
        <f>SUM(AL$13:AL28)*BG28/1000</f>
        <v>0</v>
      </c>
      <c r="CC28">
        <f>SUM(AM$13:AM28)*BH28/1000</f>
        <v>0</v>
      </c>
      <c r="CD28">
        <f>SUM(AN$13:AN28)*BI28/1000</f>
        <v>0</v>
      </c>
      <c r="CE28">
        <f>SUM(AO$13:AO28)*BJ28/1000</f>
        <v>12.343999999999999</v>
      </c>
      <c r="CF28">
        <f>SUM(AP$13:AP28)*BK28/1000</f>
        <v>0</v>
      </c>
      <c r="CG28">
        <f>SUM(AQ$13:AQ28)*BL28/1000</f>
        <v>0</v>
      </c>
      <c r="CH28">
        <f>SUM(AR$13:AR28)*BM28/1000</f>
        <v>0</v>
      </c>
      <c r="CI28">
        <f>SUM(AS$13:AS28)*BN28/1000</f>
        <v>0</v>
      </c>
      <c r="CJ28">
        <f>SUM(AT$13:AT28)*BO28/1000</f>
        <v>0</v>
      </c>
      <c r="CK28">
        <f>SUM(AU$13:AU28)*BP28/1000</f>
        <v>0</v>
      </c>
      <c r="CL28">
        <f>SUM(AV$13:AV28)*BQ28/1000</f>
        <v>0</v>
      </c>
      <c r="CM28">
        <f>SUM(AW$13:AW28)*BR28/1000</f>
        <v>0</v>
      </c>
      <c r="CN28">
        <f>SUM(AX$13:AX28)*BS28/1000</f>
        <v>0</v>
      </c>
      <c r="CO28">
        <f>SUM(AY$13:AY28)*BT28/1000</f>
        <v>0</v>
      </c>
      <c r="CP28">
        <f>SUM(AZ$13:AZ28)*BU28/1000</f>
        <v>0</v>
      </c>
      <c r="CQ28">
        <f>SUM(BA$13:BA28)*BV28/1000</f>
        <v>0</v>
      </c>
      <c r="CR28">
        <f>SUM(BB$13:BB28)*BW28/1000</f>
        <v>0</v>
      </c>
      <c r="CS28">
        <f>SUM(BC$13:BC28)*BX28/1000</f>
        <v>0</v>
      </c>
      <c r="CT28">
        <f>SUM(BD$13:BD28)*BY28/1000</f>
        <v>0</v>
      </c>
      <c r="CU28">
        <f t="shared" si="29"/>
        <v>12.343999999999999</v>
      </c>
      <c r="CW28">
        <f t="shared" si="24"/>
        <v>2033</v>
      </c>
      <c r="CX28" s="90">
        <f>IFERROR(VLOOKUP($CW28,'Table 3 TransCost D2 '!$B$10:$E$34,4,FALSE),0)</f>
        <v>62.91</v>
      </c>
      <c r="CY28" s="194">
        <f t="shared" si="27"/>
        <v>0</v>
      </c>
    </row>
    <row r="29" spans="2:103">
      <c r="B29" s="15">
        <f t="shared" si="25"/>
        <v>2034</v>
      </c>
      <c r="C29" s="9">
        <f t="shared" si="3"/>
        <v>157.38999999999999</v>
      </c>
      <c r="D29" s="45"/>
      <c r="E29" s="9">
        <f t="shared" ca="1" si="26"/>
        <v>-6.7721936785844168</v>
      </c>
      <c r="F29" s="37"/>
      <c r="G29" s="14">
        <f t="shared" ca="1" si="28"/>
        <v>51.178980643658569</v>
      </c>
      <c r="H29" s="36"/>
      <c r="I29" s="194"/>
      <c r="J29" s="194"/>
      <c r="M29" s="117"/>
      <c r="O29">
        <f t="shared" si="4"/>
        <v>2034</v>
      </c>
      <c r="P29">
        <v>0</v>
      </c>
      <c r="Q29">
        <v>0</v>
      </c>
      <c r="R29">
        <v>0</v>
      </c>
      <c r="S29" s="194">
        <v>0</v>
      </c>
      <c r="T29" s="194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K29">
        <f t="shared" si="5"/>
        <v>0</v>
      </c>
      <c r="AL29">
        <f t="shared" si="6"/>
        <v>0</v>
      </c>
      <c r="AM29">
        <f t="shared" si="7"/>
        <v>0</v>
      </c>
      <c r="AN29">
        <f t="shared" si="8"/>
        <v>0</v>
      </c>
      <c r="AO29">
        <f t="shared" si="8"/>
        <v>0</v>
      </c>
      <c r="AP29">
        <f t="shared" si="9"/>
        <v>0</v>
      </c>
      <c r="AQ29">
        <f t="shared" si="10"/>
        <v>0</v>
      </c>
      <c r="AR29">
        <f t="shared" si="11"/>
        <v>0</v>
      </c>
      <c r="AS29">
        <f t="shared" si="12"/>
        <v>0</v>
      </c>
      <c r="AT29">
        <f t="shared" si="12"/>
        <v>0</v>
      </c>
      <c r="AU29">
        <f t="shared" si="13"/>
        <v>0</v>
      </c>
      <c r="AV29">
        <f t="shared" si="14"/>
        <v>0</v>
      </c>
      <c r="AW29">
        <f t="shared" si="15"/>
        <v>0</v>
      </c>
      <c r="AX29">
        <f t="shared" si="16"/>
        <v>0</v>
      </c>
      <c r="AY29">
        <f t="shared" si="17"/>
        <v>0</v>
      </c>
      <c r="AZ29">
        <f t="shared" si="18"/>
        <v>0</v>
      </c>
      <c r="BA29">
        <f t="shared" si="19"/>
        <v>0</v>
      </c>
      <c r="BB29">
        <f t="shared" si="20"/>
        <v>0</v>
      </c>
      <c r="BC29">
        <f t="shared" si="21"/>
        <v>0</v>
      </c>
      <c r="BD29">
        <f t="shared" si="22"/>
        <v>0</v>
      </c>
      <c r="BF29">
        <f>VLOOKUP($O29,'Table 3 EV2020 Wind_2020'!$B$10:$K$36,10,FALSE)</f>
        <v>145.22999999999999</v>
      </c>
      <c r="BG29">
        <f>VLOOKUP($O29,'Table 3 EV2020 Wind_2021'!$B$10:$K$36,10,FALSE)</f>
        <v>142.69</v>
      </c>
      <c r="BH29">
        <f>VLOOKUP($O29,'Table 3 DJ Wind 2030'!$B$10:$J$36,9,FALSE)</f>
        <v>162.06</v>
      </c>
      <c r="BI29">
        <f>VLOOKUP($O29,'Table 3 ID Wind 2030'!$B$10:$J$36,9,FALSE)</f>
        <v>162.97999999999999</v>
      </c>
      <c r="BJ29">
        <f>VLOOKUP($O29,'Table 3 ID Wind 2033'!$B$10:$J$36,9,FALSE)</f>
        <v>157.38999999999999</v>
      </c>
      <c r="BK29">
        <f>VLOOKUP($O29,'Table 3 WW Wind 2035'!$B$10:$J$36,9,FALSE)</f>
        <v>54.46</v>
      </c>
      <c r="BL29">
        <f>VLOOKUP($O29,'Table 3 YK Wind 2035'!$B$10:$J$36,9,FALSE)</f>
        <v>54.46</v>
      </c>
      <c r="BM29">
        <f>VLOOKUP($O29,'Table 3 OR Wind 2035'!$B$10:$J$36,9,FALSE)</f>
        <v>54.46</v>
      </c>
      <c r="BN29">
        <f>VLOOKUP($O29,'Table 3 UT Wind 2030'!$B$10:$J$36,9,FALSE)</f>
        <v>145.37</v>
      </c>
      <c r="BO29">
        <f>VLOOKUP($O29,'Table 3 UT Wind 2036'!$B$10:$J$36,9,FALSE)</f>
        <v>54.46</v>
      </c>
      <c r="BP29">
        <f>VLOOKUP($O29,'Table 3 YK Solar 2030'!$B$10:$J$36,9,FALSE)</f>
        <v>126.81</v>
      </c>
      <c r="BQ29">
        <f>VLOOKUP($O29,'Table 3 YK Solar 2032'!$B$10:$J$36,9,FALSE)</f>
        <v>121.85</v>
      </c>
      <c r="BR29">
        <f>VLOOKUP($O29,'Table 3 YK Solar 2033'!$B$10:$J$36,9,FALSE)</f>
        <v>119.46</v>
      </c>
      <c r="BS29">
        <f>VLOOKUP($O29,'Table 3 UT Solar 2033 ST'!$B$10:$J$36,9,FALSE)</f>
        <v>120.32</v>
      </c>
      <c r="BT29">
        <f>VLOOKUP($O29,'Table 3 UT Solar 2035 ST'!$B$10:$J$36,9,FALSE)</f>
        <v>28.52</v>
      </c>
      <c r="BU29">
        <f>VLOOKUP($O29,'Table 3 UT Solar 2035 FT'!$B$10:$J$36,9,FALSE)</f>
        <v>27.13</v>
      </c>
      <c r="BV29">
        <f>VLOOKUP($O29,'Table 3 OR Solar 2030'!$B$10:$J$36,9,FALSE)</f>
        <v>130.12</v>
      </c>
      <c r="BW29">
        <f>VLOOKUP($O29,'Table 3 OR Solar 2031'!$B$10:$J$36,9,FALSE)</f>
        <v>127.57</v>
      </c>
      <c r="BX29">
        <f>VLOOKUP($O29,'Table 3 OR Solar 2032'!$B$10:$J$36,9,FALSE)</f>
        <v>125.07</v>
      </c>
      <c r="BY29">
        <f>VLOOKUP($O29,'Table 3 OR Solar 2033'!$B$10:$J$36,9,FALSE)</f>
        <v>122.64</v>
      </c>
      <c r="CA29">
        <f>SUM(AK$13:AK29)*BF29/1000</f>
        <v>0</v>
      </c>
      <c r="CB29">
        <f>SUM(AL$13:AL29)*BG29/1000</f>
        <v>0</v>
      </c>
      <c r="CC29">
        <f>SUM(AM$13:AM29)*BH29/1000</f>
        <v>0</v>
      </c>
      <c r="CD29">
        <f>SUM(AN$13:AN29)*BI29/1000</f>
        <v>0</v>
      </c>
      <c r="CE29">
        <f>SUM(AO$13:AO29)*BJ29/1000</f>
        <v>12.591199999999999</v>
      </c>
      <c r="CF29">
        <f>SUM(AP$13:AP29)*BK29/1000</f>
        <v>0</v>
      </c>
      <c r="CG29">
        <f>SUM(AQ$13:AQ29)*BL29/1000</f>
        <v>0</v>
      </c>
      <c r="CH29">
        <f>SUM(AR$13:AR29)*BM29/1000</f>
        <v>0</v>
      </c>
      <c r="CI29">
        <f>SUM(AS$13:AS29)*BN29/1000</f>
        <v>0</v>
      </c>
      <c r="CJ29">
        <f>SUM(AT$13:AT29)*BO29/1000</f>
        <v>0</v>
      </c>
      <c r="CK29">
        <f>SUM(AU$13:AU29)*BP29/1000</f>
        <v>0</v>
      </c>
      <c r="CL29">
        <f>SUM(AV$13:AV29)*BQ29/1000</f>
        <v>0</v>
      </c>
      <c r="CM29">
        <f>SUM(AW$13:AW29)*BR29/1000</f>
        <v>0</v>
      </c>
      <c r="CN29">
        <f>SUM(AX$13:AX29)*BS29/1000</f>
        <v>0</v>
      </c>
      <c r="CO29">
        <f>SUM(AY$13:AY29)*BT29/1000</f>
        <v>0</v>
      </c>
      <c r="CP29">
        <f>SUM(AZ$13:AZ29)*BU29/1000</f>
        <v>0</v>
      </c>
      <c r="CQ29">
        <f>SUM(BA$13:BA29)*BV29/1000</f>
        <v>0</v>
      </c>
      <c r="CR29">
        <f>SUM(BB$13:BB29)*BW29/1000</f>
        <v>0</v>
      </c>
      <c r="CS29">
        <f>SUM(BC$13:BC29)*BX29/1000</f>
        <v>0</v>
      </c>
      <c r="CT29">
        <f>SUM(BD$13:BD29)*BY29/1000</f>
        <v>0</v>
      </c>
      <c r="CU29">
        <f t="shared" si="29"/>
        <v>12.591199999999999</v>
      </c>
      <c r="CW29">
        <f t="shared" si="24"/>
        <v>2034</v>
      </c>
      <c r="CX29" s="90">
        <f>IFERROR(VLOOKUP($CW29,'Table 3 TransCost D2 '!$B$10:$E$34,4,FALSE),0)</f>
        <v>64.17</v>
      </c>
      <c r="CY29" s="194">
        <f t="shared" si="27"/>
        <v>0</v>
      </c>
    </row>
    <row r="30" spans="2:103">
      <c r="B30" s="15">
        <f t="shared" si="25"/>
        <v>2035</v>
      </c>
      <c r="C30" s="9">
        <f t="shared" si="3"/>
        <v>160.54</v>
      </c>
      <c r="D30" s="45"/>
      <c r="E30" s="9">
        <f t="shared" ca="1" si="26"/>
        <v>-6.3550684710138485</v>
      </c>
      <c r="F30" s="37"/>
      <c r="G30" s="14">
        <f t="shared" ca="1" si="28"/>
        <v>52.755939380138628</v>
      </c>
      <c r="H30" s="36"/>
      <c r="I30" s="194"/>
      <c r="J30" s="194"/>
      <c r="M30" s="117"/>
      <c r="O30">
        <f t="shared" si="4"/>
        <v>2035</v>
      </c>
      <c r="P30">
        <v>0</v>
      </c>
      <c r="Q30">
        <v>0</v>
      </c>
      <c r="R30">
        <v>0</v>
      </c>
      <c r="S30" s="194">
        <v>0</v>
      </c>
      <c r="T30" s="194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K30">
        <f t="shared" si="5"/>
        <v>0</v>
      </c>
      <c r="AL30">
        <f t="shared" si="6"/>
        <v>0</v>
      </c>
      <c r="AM30">
        <f t="shared" si="7"/>
        <v>0</v>
      </c>
      <c r="AN30">
        <f t="shared" si="8"/>
        <v>0</v>
      </c>
      <c r="AO30">
        <f t="shared" si="8"/>
        <v>0</v>
      </c>
      <c r="AP30">
        <f t="shared" si="9"/>
        <v>0</v>
      </c>
      <c r="AQ30">
        <f t="shared" si="10"/>
        <v>0</v>
      </c>
      <c r="AR30">
        <f t="shared" si="11"/>
        <v>0</v>
      </c>
      <c r="AS30">
        <f t="shared" si="12"/>
        <v>0</v>
      </c>
      <c r="AT30">
        <f t="shared" si="12"/>
        <v>0</v>
      </c>
      <c r="AU30">
        <f t="shared" si="13"/>
        <v>0</v>
      </c>
      <c r="AV30">
        <f t="shared" si="14"/>
        <v>0</v>
      </c>
      <c r="AW30">
        <f t="shared" si="15"/>
        <v>0</v>
      </c>
      <c r="AX30">
        <f t="shared" si="16"/>
        <v>0</v>
      </c>
      <c r="AY30">
        <f t="shared" si="17"/>
        <v>0</v>
      </c>
      <c r="AZ30">
        <f t="shared" si="18"/>
        <v>0</v>
      </c>
      <c r="BA30">
        <f t="shared" si="19"/>
        <v>0</v>
      </c>
      <c r="BB30">
        <f t="shared" si="20"/>
        <v>0</v>
      </c>
      <c r="BC30">
        <f t="shared" si="21"/>
        <v>0</v>
      </c>
      <c r="BD30">
        <f t="shared" si="22"/>
        <v>0</v>
      </c>
      <c r="BF30">
        <f>VLOOKUP($O30,'Table 3 EV2020 Wind_2020'!$B$10:$K$36,10,FALSE)</f>
        <v>148.11000000000001</v>
      </c>
      <c r="BG30">
        <f>VLOOKUP($O30,'Table 3 EV2020 Wind_2021'!$B$10:$K$36,10,FALSE)</f>
        <v>145.52000000000001</v>
      </c>
      <c r="BH30">
        <f>VLOOKUP($O30,'Table 3 DJ Wind 2030'!$B$10:$J$36,9,FALSE)</f>
        <v>165.3</v>
      </c>
      <c r="BI30">
        <f>VLOOKUP($O30,'Table 3 ID Wind 2030'!$B$10:$J$36,9,FALSE)</f>
        <v>164.07</v>
      </c>
      <c r="BJ30">
        <f>VLOOKUP($O30,'Table 3 ID Wind 2033'!$B$10:$J$36,9,FALSE)</f>
        <v>160.54</v>
      </c>
      <c r="BK30">
        <f>VLOOKUP($O30,'Table 3 WW Wind 2035'!$B$10:$J$36,9,FALSE)</f>
        <v>156.27000000000001</v>
      </c>
      <c r="BL30">
        <f>VLOOKUP($O30,'Table 3 YK Wind 2035'!$B$10:$J$36,9,FALSE)</f>
        <v>156.27000000000001</v>
      </c>
      <c r="BM30">
        <f>VLOOKUP($O30,'Table 3 OR Wind 2035'!$B$10:$J$36,9,FALSE)</f>
        <v>154.83000000000001</v>
      </c>
      <c r="BN30">
        <f>VLOOKUP($O30,'Table 3 UT Wind 2030'!$B$10:$J$36,9,FALSE)</f>
        <v>148.28</v>
      </c>
      <c r="BO30">
        <f>VLOOKUP($O30,'Table 3 UT Wind 2036'!$B$10:$J$36,9,FALSE)</f>
        <v>55.55</v>
      </c>
      <c r="BP30">
        <f>VLOOKUP($O30,'Table 3 YK Solar 2030'!$B$10:$J$36,9,FALSE)</f>
        <v>129.34</v>
      </c>
      <c r="BQ30">
        <f>VLOOKUP($O30,'Table 3 YK Solar 2032'!$B$10:$J$36,9,FALSE)</f>
        <v>124.28</v>
      </c>
      <c r="BR30">
        <f>VLOOKUP($O30,'Table 3 YK Solar 2033'!$B$10:$J$36,9,FALSE)</f>
        <v>121.85</v>
      </c>
      <c r="BS30">
        <f>VLOOKUP($O30,'Table 3 UT Solar 2033 ST'!$B$10:$J$36,9,FALSE)</f>
        <v>122.73</v>
      </c>
      <c r="BT30">
        <f>VLOOKUP($O30,'Table 3 UT Solar 2035 ST'!$B$10:$J$36,9,FALSE)</f>
        <v>118.07</v>
      </c>
      <c r="BU30">
        <f>VLOOKUP($O30,'Table 3 UT Solar 2035 FT'!$B$10:$J$36,9,FALSE)</f>
        <v>114.83</v>
      </c>
      <c r="BV30">
        <f>VLOOKUP($O30,'Table 3 OR Solar 2030'!$B$10:$J$36,9,FALSE)</f>
        <v>132.72</v>
      </c>
      <c r="BW30">
        <f>VLOOKUP($O30,'Table 3 OR Solar 2031'!$B$10:$J$36,9,FALSE)</f>
        <v>130.12</v>
      </c>
      <c r="BX30">
        <f>VLOOKUP($O30,'Table 3 OR Solar 2032'!$B$10:$J$36,9,FALSE)</f>
        <v>127.57</v>
      </c>
      <c r="BY30">
        <f>VLOOKUP($O30,'Table 3 OR Solar 2033'!$B$10:$J$36,9,FALSE)</f>
        <v>125.09</v>
      </c>
      <c r="CA30">
        <f>SUM(AK$13:AK30)*BF30/1000</f>
        <v>0</v>
      </c>
      <c r="CB30">
        <f>SUM(AL$13:AL30)*BG30/1000</f>
        <v>0</v>
      </c>
      <c r="CC30">
        <f>SUM(AM$13:AM30)*BH30/1000</f>
        <v>0</v>
      </c>
      <c r="CD30">
        <f>SUM(AN$13:AN30)*BI30/1000</f>
        <v>0</v>
      </c>
      <c r="CE30">
        <f>SUM(AO$13:AO30)*BJ30/1000</f>
        <v>12.8432</v>
      </c>
      <c r="CF30">
        <f>SUM(AP$13:AP30)*BK30/1000</f>
        <v>0</v>
      </c>
      <c r="CG30">
        <f>SUM(AQ$13:AQ30)*BL30/1000</f>
        <v>0</v>
      </c>
      <c r="CH30">
        <f>SUM(AR$13:AR30)*BM30/1000</f>
        <v>0</v>
      </c>
      <c r="CI30">
        <f>SUM(AS$13:AS30)*BN30/1000</f>
        <v>0</v>
      </c>
      <c r="CJ30">
        <f>SUM(AT$13:AT30)*BO30/1000</f>
        <v>0</v>
      </c>
      <c r="CK30">
        <f>SUM(AU$13:AU30)*BP30/1000</f>
        <v>0</v>
      </c>
      <c r="CL30">
        <f>SUM(AV$13:AV30)*BQ30/1000</f>
        <v>0</v>
      </c>
      <c r="CM30">
        <f>SUM(AW$13:AW30)*BR30/1000</f>
        <v>0</v>
      </c>
      <c r="CN30">
        <f>SUM(AX$13:AX30)*BS30/1000</f>
        <v>0</v>
      </c>
      <c r="CO30">
        <f>SUM(AY$13:AY30)*BT30/1000</f>
        <v>0</v>
      </c>
      <c r="CP30">
        <f>SUM(AZ$13:AZ30)*BU30/1000</f>
        <v>0</v>
      </c>
      <c r="CQ30">
        <f>SUM(BA$13:BA30)*BV30/1000</f>
        <v>0</v>
      </c>
      <c r="CR30">
        <f>SUM(BB$13:BB30)*BW30/1000</f>
        <v>0</v>
      </c>
      <c r="CS30">
        <f>SUM(BC$13:BC30)*BX30/1000</f>
        <v>0</v>
      </c>
      <c r="CT30">
        <f>SUM(BD$13:BD30)*BY30/1000</f>
        <v>0</v>
      </c>
      <c r="CU30">
        <f t="shared" si="29"/>
        <v>12.8432</v>
      </c>
      <c r="CW30">
        <f t="shared" si="24"/>
        <v>2035</v>
      </c>
      <c r="CX30" s="90">
        <f>IFERROR(VLOOKUP($CW30,'Table 3 TransCost D2 '!$B$10:$E$34,4,FALSE),0)</f>
        <v>65.45</v>
      </c>
      <c r="CY30" s="194">
        <f t="shared" si="27"/>
        <v>0</v>
      </c>
    </row>
    <row r="31" spans="2:103">
      <c r="B31" s="15">
        <f t="shared" si="25"/>
        <v>2036</v>
      </c>
      <c r="C31" s="9">
        <f t="shared" si="3"/>
        <v>163.75</v>
      </c>
      <c r="D31" s="45"/>
      <c r="E31" s="9">
        <f t="shared" ca="1" si="26"/>
        <v>-7.9788447574096297</v>
      </c>
      <c r="F31" s="37"/>
      <c r="G31" s="14">
        <f t="shared" ca="1" si="28"/>
        <v>52.13696674730658</v>
      </c>
      <c r="H31" s="36"/>
      <c r="I31" s="194"/>
      <c r="J31" s="194"/>
      <c r="M31" s="117"/>
      <c r="O31">
        <f t="shared" si="4"/>
        <v>2036</v>
      </c>
      <c r="P31">
        <v>0</v>
      </c>
      <c r="Q31">
        <v>0</v>
      </c>
      <c r="R31">
        <v>0</v>
      </c>
      <c r="S31" s="194">
        <v>0</v>
      </c>
      <c r="T31" s="194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K31">
        <f t="shared" si="5"/>
        <v>0</v>
      </c>
      <c r="AL31">
        <f t="shared" si="6"/>
        <v>0</v>
      </c>
      <c r="AM31">
        <f t="shared" si="7"/>
        <v>0</v>
      </c>
      <c r="AN31">
        <f t="shared" si="8"/>
        <v>0</v>
      </c>
      <c r="AO31">
        <f t="shared" si="8"/>
        <v>0</v>
      </c>
      <c r="AP31">
        <f t="shared" si="9"/>
        <v>0</v>
      </c>
      <c r="AQ31">
        <f t="shared" si="10"/>
        <v>0</v>
      </c>
      <c r="AR31">
        <f t="shared" si="11"/>
        <v>0</v>
      </c>
      <c r="AS31">
        <f t="shared" si="12"/>
        <v>0</v>
      </c>
      <c r="AT31">
        <f t="shared" si="12"/>
        <v>0</v>
      </c>
      <c r="AU31">
        <f t="shared" si="13"/>
        <v>0</v>
      </c>
      <c r="AV31">
        <f t="shared" si="14"/>
        <v>0</v>
      </c>
      <c r="AW31">
        <f t="shared" si="15"/>
        <v>0</v>
      </c>
      <c r="AX31">
        <f t="shared" si="16"/>
        <v>0</v>
      </c>
      <c r="AY31">
        <f t="shared" si="17"/>
        <v>0</v>
      </c>
      <c r="AZ31">
        <f t="shared" si="18"/>
        <v>0</v>
      </c>
      <c r="BA31">
        <f t="shared" si="19"/>
        <v>0</v>
      </c>
      <c r="BB31">
        <f t="shared" si="20"/>
        <v>0</v>
      </c>
      <c r="BC31">
        <f t="shared" si="21"/>
        <v>0</v>
      </c>
      <c r="BD31">
        <f t="shared" si="22"/>
        <v>0</v>
      </c>
      <c r="BF31">
        <f>VLOOKUP($O31,'Table 3 EV2020 Wind_2020'!$B$10:$K$36,10,FALSE)</f>
        <v>151.06</v>
      </c>
      <c r="BG31">
        <f>VLOOKUP($O31,'Table 3 EV2020 Wind_2021'!$B$10:$K$36,10,FALSE)</f>
        <v>148.41</v>
      </c>
      <c r="BH31">
        <f>VLOOKUP($O31,'Table 3 DJ Wind 2030'!$B$10:$J$36,9,FALSE)</f>
        <v>168.6</v>
      </c>
      <c r="BI31">
        <f>VLOOKUP($O31,'Table 3 ID Wind 2030'!$B$10:$J$36,9,FALSE)</f>
        <v>165.18</v>
      </c>
      <c r="BJ31">
        <f>VLOOKUP($O31,'Table 3 ID Wind 2033'!$B$10:$J$36,9,FALSE)</f>
        <v>163.75</v>
      </c>
      <c r="BK31">
        <f>VLOOKUP($O31,'Table 3 WW Wind 2035'!$B$10:$J$36,9,FALSE)</f>
        <v>159.4</v>
      </c>
      <c r="BL31">
        <f>VLOOKUP($O31,'Table 3 YK Wind 2035'!$B$10:$J$36,9,FALSE)</f>
        <v>159.4</v>
      </c>
      <c r="BM31">
        <f>VLOOKUP($O31,'Table 3 OR Wind 2035'!$B$10:$J$36,9,FALSE)</f>
        <v>157.91999999999999</v>
      </c>
      <c r="BN31">
        <f>VLOOKUP($O31,'Table 3 UT Wind 2030'!$B$10:$J$36,9,FALSE)</f>
        <v>151.25</v>
      </c>
      <c r="BO31">
        <f>VLOOKUP($O31,'Table 3 UT Wind 2036'!$B$10:$J$36,9,FALSE)</f>
        <v>153.99</v>
      </c>
      <c r="BP31">
        <f>VLOOKUP($O31,'Table 3 YK Solar 2030'!$B$10:$J$36,9,FALSE)</f>
        <v>131.91999999999999</v>
      </c>
      <c r="BQ31">
        <f>VLOOKUP($O31,'Table 3 YK Solar 2032'!$B$10:$J$36,9,FALSE)</f>
        <v>126.76</v>
      </c>
      <c r="BR31">
        <f>VLOOKUP($O31,'Table 3 YK Solar 2033'!$B$10:$J$36,9,FALSE)</f>
        <v>124.28</v>
      </c>
      <c r="BS31">
        <f>VLOOKUP($O31,'Table 3 UT Solar 2033 ST'!$B$10:$J$36,9,FALSE)</f>
        <v>125.18</v>
      </c>
      <c r="BT31">
        <f>VLOOKUP($O31,'Table 3 UT Solar 2035 ST'!$B$10:$J$36,9,FALSE)</f>
        <v>120.43</v>
      </c>
      <c r="BU31">
        <f>VLOOKUP($O31,'Table 3 UT Solar 2035 FT'!$B$10:$J$36,9,FALSE)</f>
        <v>117.12</v>
      </c>
      <c r="BV31">
        <f>VLOOKUP($O31,'Table 3 OR Solar 2030'!$B$10:$J$36,9,FALSE)</f>
        <v>135.37</v>
      </c>
      <c r="BW31">
        <f>VLOOKUP($O31,'Table 3 OR Solar 2031'!$B$10:$J$36,9,FALSE)</f>
        <v>132.72</v>
      </c>
      <c r="BX31">
        <f>VLOOKUP($O31,'Table 3 OR Solar 2032'!$B$10:$J$36,9,FALSE)</f>
        <v>130.12</v>
      </c>
      <c r="BY31">
        <f>VLOOKUP($O31,'Table 3 OR Solar 2033'!$B$10:$J$36,9,FALSE)</f>
        <v>127.59</v>
      </c>
      <c r="CA31">
        <f>SUM(AK$13:AK31)*BF31/1000</f>
        <v>0</v>
      </c>
      <c r="CB31">
        <f>SUM(AL$13:AL31)*BG31/1000</f>
        <v>0</v>
      </c>
      <c r="CC31">
        <f>SUM(AM$13:AM31)*BH31/1000</f>
        <v>0</v>
      </c>
      <c r="CD31">
        <f>SUM(AN$13:AN31)*BI31/1000</f>
        <v>0</v>
      </c>
      <c r="CE31">
        <f>SUM(AO$13:AO31)*BJ31/1000</f>
        <v>13.1</v>
      </c>
      <c r="CF31">
        <f>SUM(AP$13:AP31)*BK31/1000</f>
        <v>0</v>
      </c>
      <c r="CG31">
        <f>SUM(AQ$13:AQ31)*BL31/1000</f>
        <v>0</v>
      </c>
      <c r="CH31">
        <f>SUM(AR$13:AR31)*BM31/1000</f>
        <v>0</v>
      </c>
      <c r="CI31">
        <f>SUM(AS$13:AS31)*BN31/1000</f>
        <v>0</v>
      </c>
      <c r="CJ31">
        <f>SUM(AT$13:AT31)*BO31/1000</f>
        <v>0</v>
      </c>
      <c r="CK31">
        <f>SUM(AU$13:AU31)*BP31/1000</f>
        <v>0</v>
      </c>
      <c r="CL31">
        <f>SUM(AV$13:AV31)*BQ31/1000</f>
        <v>0</v>
      </c>
      <c r="CM31">
        <f>SUM(AW$13:AW31)*BR31/1000</f>
        <v>0</v>
      </c>
      <c r="CN31">
        <f>SUM(AX$13:AX31)*BS31/1000</f>
        <v>0</v>
      </c>
      <c r="CO31">
        <f>SUM(AY$13:AY31)*BT31/1000</f>
        <v>0</v>
      </c>
      <c r="CP31">
        <f>SUM(AZ$13:AZ31)*BU31/1000</f>
        <v>0</v>
      </c>
      <c r="CQ31">
        <f>SUM(BA$13:BA31)*BV31/1000</f>
        <v>0</v>
      </c>
      <c r="CR31">
        <f>SUM(BB$13:BB31)*BW31/1000</f>
        <v>0</v>
      </c>
      <c r="CS31">
        <f>SUM(BC$13:BC31)*BX31/1000</f>
        <v>0</v>
      </c>
      <c r="CT31">
        <f>SUM(BD$13:BD31)*BY31/1000</f>
        <v>0</v>
      </c>
      <c r="CU31">
        <f t="shared" si="29"/>
        <v>13.1</v>
      </c>
      <c r="CW31">
        <f t="shared" si="24"/>
        <v>2036</v>
      </c>
      <c r="CX31" s="90">
        <f>IFERROR(VLOOKUP($CW31,'Table 3 TransCost D2 '!$B$10:$E$34,4,FALSE),0)</f>
        <v>66.760000000000005</v>
      </c>
      <c r="CY31" s="194">
        <f t="shared" si="27"/>
        <v>0</v>
      </c>
    </row>
    <row r="32" spans="2:103">
      <c r="B32" s="15">
        <f t="shared" si="25"/>
        <v>2037</v>
      </c>
      <c r="C32" s="9">
        <f t="shared" si="3"/>
        <v>167.19</v>
      </c>
      <c r="D32" s="45"/>
      <c r="E32" s="9">
        <f t="shared" ca="1" si="26"/>
        <v>-8.1081246487917049</v>
      </c>
      <c r="F32" s="37"/>
      <c r="G32" s="14">
        <f t="shared" ca="1" si="28"/>
        <v>53.411169765626965</v>
      </c>
      <c r="H32" s="36"/>
      <c r="I32" s="194"/>
      <c r="J32" s="194"/>
      <c r="M32" s="117"/>
      <c r="O32">
        <f t="shared" si="4"/>
        <v>2037</v>
      </c>
      <c r="P32">
        <v>0</v>
      </c>
      <c r="Q32">
        <v>0</v>
      </c>
      <c r="R32">
        <v>0</v>
      </c>
      <c r="S32" s="194">
        <v>0</v>
      </c>
      <c r="T32" s="194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K32">
        <f t="shared" si="5"/>
        <v>0</v>
      </c>
      <c r="AL32">
        <f t="shared" si="6"/>
        <v>0</v>
      </c>
      <c r="AM32">
        <f t="shared" si="7"/>
        <v>0</v>
      </c>
      <c r="AN32">
        <f t="shared" si="8"/>
        <v>0</v>
      </c>
      <c r="AO32">
        <f t="shared" si="8"/>
        <v>0</v>
      </c>
      <c r="AP32">
        <f t="shared" si="9"/>
        <v>0</v>
      </c>
      <c r="AQ32">
        <f t="shared" si="10"/>
        <v>0</v>
      </c>
      <c r="AR32">
        <f t="shared" si="11"/>
        <v>0</v>
      </c>
      <c r="AS32">
        <f t="shared" si="12"/>
        <v>0</v>
      </c>
      <c r="AT32">
        <f t="shared" si="12"/>
        <v>0</v>
      </c>
      <c r="AU32">
        <f t="shared" si="13"/>
        <v>0</v>
      </c>
      <c r="AV32">
        <f t="shared" si="14"/>
        <v>0</v>
      </c>
      <c r="AW32">
        <f t="shared" si="15"/>
        <v>0</v>
      </c>
      <c r="AX32">
        <f t="shared" si="16"/>
        <v>0</v>
      </c>
      <c r="AY32">
        <f t="shared" si="17"/>
        <v>0</v>
      </c>
      <c r="AZ32">
        <f t="shared" si="18"/>
        <v>0</v>
      </c>
      <c r="BA32">
        <f t="shared" si="19"/>
        <v>0</v>
      </c>
      <c r="BB32">
        <f t="shared" si="20"/>
        <v>0</v>
      </c>
      <c r="BC32">
        <f t="shared" si="21"/>
        <v>0</v>
      </c>
      <c r="BD32">
        <f t="shared" si="22"/>
        <v>0</v>
      </c>
      <c r="BF32">
        <f>VLOOKUP($O32,'Table 3 EV2020 Wind_2020'!$B$10:$K$36,10,FALSE)</f>
        <v>154.25</v>
      </c>
      <c r="BG32">
        <f>VLOOKUP($O32,'Table 3 EV2020 Wind_2021'!$B$10:$K$36,10,FALSE)</f>
        <v>151.54</v>
      </c>
      <c r="BH32">
        <f>VLOOKUP($O32,'Table 3 DJ Wind 2030'!$B$10:$J$36,9,FALSE)</f>
        <v>172.14</v>
      </c>
      <c r="BI32">
        <f>VLOOKUP($O32,'Table 3 ID Wind 2030'!$B$10:$J$36,9,FALSE)</f>
        <v>166.37</v>
      </c>
      <c r="BJ32">
        <f>VLOOKUP($O32,'Table 3 ID Wind 2033'!$B$10:$J$36,9,FALSE)</f>
        <v>167.19</v>
      </c>
      <c r="BK32">
        <f>VLOOKUP($O32,'Table 3 WW Wind 2035'!$B$10:$J$36,9,FALSE)</f>
        <v>162.75</v>
      </c>
      <c r="BL32">
        <f>VLOOKUP($O32,'Table 3 YK Wind 2035'!$B$10:$J$36,9,FALSE)</f>
        <v>162.75</v>
      </c>
      <c r="BM32">
        <f>VLOOKUP($O32,'Table 3 OR Wind 2035'!$B$10:$J$36,9,FALSE)</f>
        <v>161.24</v>
      </c>
      <c r="BN32">
        <f>VLOOKUP($O32,'Table 3 UT Wind 2030'!$B$10:$J$36,9,FALSE)</f>
        <v>154.43</v>
      </c>
      <c r="BO32">
        <f>VLOOKUP($O32,'Table 3 UT Wind 2036'!$B$10:$J$36,9,FALSE)</f>
        <v>157.22999999999999</v>
      </c>
      <c r="BP32">
        <f>VLOOKUP($O32,'Table 3 YK Solar 2030'!$B$10:$J$36,9,FALSE)</f>
        <v>134.69</v>
      </c>
      <c r="BQ32">
        <f>VLOOKUP($O32,'Table 3 YK Solar 2032'!$B$10:$J$36,9,FALSE)</f>
        <v>129.41999999999999</v>
      </c>
      <c r="BR32">
        <f>VLOOKUP($O32,'Table 3 YK Solar 2033'!$B$10:$J$36,9,FALSE)</f>
        <v>126.89</v>
      </c>
      <c r="BS32">
        <f>VLOOKUP($O32,'Table 3 UT Solar 2033 ST'!$B$10:$J$36,9,FALSE)</f>
        <v>127.81</v>
      </c>
      <c r="BT32">
        <f>VLOOKUP($O32,'Table 3 UT Solar 2035 ST'!$B$10:$J$36,9,FALSE)</f>
        <v>122.96</v>
      </c>
      <c r="BU32">
        <f>VLOOKUP($O32,'Table 3 UT Solar 2035 FT'!$B$10:$J$36,9,FALSE)</f>
        <v>119.58</v>
      </c>
      <c r="BV32">
        <f>VLOOKUP($O32,'Table 3 OR Solar 2030'!$B$10:$J$36,9,FALSE)</f>
        <v>138.21</v>
      </c>
      <c r="BW32">
        <f>VLOOKUP($O32,'Table 3 OR Solar 2031'!$B$10:$J$36,9,FALSE)</f>
        <v>135.5</v>
      </c>
      <c r="BX32">
        <f>VLOOKUP($O32,'Table 3 OR Solar 2032'!$B$10:$J$36,9,FALSE)</f>
        <v>132.85</v>
      </c>
      <c r="BY32">
        <f>VLOOKUP($O32,'Table 3 OR Solar 2033'!$B$10:$J$36,9,FALSE)</f>
        <v>130.27000000000001</v>
      </c>
      <c r="CA32">
        <f>SUM(AK$13:AK32)*BF32/1000</f>
        <v>0</v>
      </c>
      <c r="CB32">
        <f>SUM(AL$13:AL32)*BG32/1000</f>
        <v>0</v>
      </c>
      <c r="CC32">
        <f>SUM(AM$13:AM32)*BH32/1000</f>
        <v>0</v>
      </c>
      <c r="CD32">
        <f>SUM(AN$13:AN32)*BI32/1000</f>
        <v>0</v>
      </c>
      <c r="CE32">
        <f>SUM(AO$13:AO32)*BJ32/1000</f>
        <v>13.375200000000001</v>
      </c>
      <c r="CF32">
        <f>SUM(AP$13:AP32)*BK32/1000</f>
        <v>0</v>
      </c>
      <c r="CG32">
        <f>SUM(AQ$13:AQ32)*BL32/1000</f>
        <v>0</v>
      </c>
      <c r="CH32">
        <f>SUM(AR$13:AR32)*BM32/1000</f>
        <v>0</v>
      </c>
      <c r="CI32">
        <f>SUM(AS$13:AS32)*BN32/1000</f>
        <v>0</v>
      </c>
      <c r="CJ32">
        <f>SUM(AT$13:AT32)*BO32/1000</f>
        <v>0</v>
      </c>
      <c r="CK32">
        <f>SUM(AU$13:AU32)*BP32/1000</f>
        <v>0</v>
      </c>
      <c r="CL32">
        <f>SUM(AV$13:AV32)*BQ32/1000</f>
        <v>0</v>
      </c>
      <c r="CM32">
        <f>SUM(AW$13:AW32)*BR32/1000</f>
        <v>0</v>
      </c>
      <c r="CN32">
        <f>SUM(AX$13:AX32)*BS32/1000</f>
        <v>0</v>
      </c>
      <c r="CO32">
        <f>SUM(AY$13:AY32)*BT32/1000</f>
        <v>0</v>
      </c>
      <c r="CP32">
        <f>SUM(AZ$13:AZ32)*BU32/1000</f>
        <v>0</v>
      </c>
      <c r="CQ32">
        <f>SUM(BA$13:BA32)*BV32/1000</f>
        <v>0</v>
      </c>
      <c r="CR32">
        <f>SUM(BB$13:BB32)*BW32/1000</f>
        <v>0</v>
      </c>
      <c r="CS32">
        <f>SUM(BC$13:BC32)*BX32/1000</f>
        <v>0</v>
      </c>
      <c r="CT32">
        <f>SUM(BD$13:BD32)*BY32/1000</f>
        <v>0</v>
      </c>
      <c r="CU32" s="188">
        <f t="shared" si="29"/>
        <v>13.375200000000001</v>
      </c>
      <c r="CW32">
        <f t="shared" si="24"/>
        <v>2037</v>
      </c>
      <c r="CX32" s="90">
        <f>IFERROR(VLOOKUP($CW32,'Table 3 TransCost D2 '!$B$10:$E$34,4,FALSE),0)</f>
        <v>68.16</v>
      </c>
      <c r="CY32" s="194">
        <f t="shared" si="27"/>
        <v>0</v>
      </c>
    </row>
    <row r="33" spans="1:104" hidden="1">
      <c r="B33" s="15">
        <f t="shared" si="25"/>
        <v>2038</v>
      </c>
      <c r="C33" s="9">
        <f t="shared" si="3"/>
        <v>0</v>
      </c>
      <c r="D33" s="45"/>
      <c r="E33" s="9" t="e">
        <f t="shared" ref="E33" ca="1" si="30">SUMIF(INDIRECT("'Table 5'!$J$"&amp;$K$3&amp;":$J$"&amp;$K$4),B33,INDIRECT("'Table 5'!$c$"&amp;$K$3&amp;":$c$"&amp;$K$4))/SUMIF(INDIRECT("'Table 5'!$J$"&amp;$K$3&amp;":$J$"&amp;$K$4),B33,INDIRECT("'Table 5'!$f$"&amp;$K$3&amp;":$f$"&amp;$K$4))</f>
        <v>#DIV/0!</v>
      </c>
      <c r="F33" s="37"/>
      <c r="G33" s="14" t="e">
        <f t="shared" ref="G33" ca="1" si="31">SUMIF(INDIRECT("'Table 5'!$J$"&amp;$K$3&amp;":$J$"&amp;$K$4),B33,INDIRECT("'Table 5'!$e$"&amp;$K$3&amp;":$e$"&amp;$K$4))/SUMIF(INDIRECT("'Table 5'!$J$"&amp;$K$3&amp;":$J$"&amp;$K$4),B33,INDIRECT("'Table 5'!$f$"&amp;$K$3&amp;":$f$"&amp;$K$4))</f>
        <v>#DIV/0!</v>
      </c>
      <c r="H33" s="36"/>
      <c r="I33" s="194"/>
      <c r="J33" s="194"/>
      <c r="M33" s="117"/>
      <c r="O33">
        <f t="shared" ref="O33" si="32">B33</f>
        <v>2038</v>
      </c>
      <c r="P33">
        <v>0</v>
      </c>
      <c r="Q33">
        <v>0</v>
      </c>
      <c r="R33">
        <v>0</v>
      </c>
      <c r="S33" s="194">
        <v>0</v>
      </c>
      <c r="T33" s="194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K33">
        <f t="shared" si="5"/>
        <v>0</v>
      </c>
      <c r="AL33">
        <f t="shared" si="6"/>
        <v>0</v>
      </c>
      <c r="AM33">
        <f t="shared" si="7"/>
        <v>0</v>
      </c>
      <c r="AN33">
        <f t="shared" si="8"/>
        <v>0</v>
      </c>
      <c r="AO33">
        <f t="shared" si="8"/>
        <v>0</v>
      </c>
      <c r="AP33">
        <f t="shared" si="9"/>
        <v>0</v>
      </c>
      <c r="AQ33">
        <f t="shared" si="10"/>
        <v>0</v>
      </c>
      <c r="AR33">
        <f t="shared" si="11"/>
        <v>0</v>
      </c>
      <c r="AS33">
        <f t="shared" si="12"/>
        <v>0</v>
      </c>
      <c r="AT33">
        <f t="shared" si="12"/>
        <v>0</v>
      </c>
      <c r="AU33">
        <f t="shared" si="13"/>
        <v>0</v>
      </c>
      <c r="AV33">
        <f t="shared" si="14"/>
        <v>0</v>
      </c>
      <c r="AW33">
        <f t="shared" si="15"/>
        <v>0</v>
      </c>
      <c r="AX33">
        <f t="shared" si="16"/>
        <v>0</v>
      </c>
      <c r="AY33">
        <f t="shared" si="17"/>
        <v>0</v>
      </c>
      <c r="AZ33">
        <f t="shared" si="18"/>
        <v>0</v>
      </c>
      <c r="BA33">
        <f t="shared" si="19"/>
        <v>0</v>
      </c>
      <c r="BB33">
        <f t="shared" si="20"/>
        <v>0</v>
      </c>
      <c r="BC33">
        <f t="shared" si="21"/>
        <v>0</v>
      </c>
      <c r="BD33">
        <f t="shared" si="22"/>
        <v>0</v>
      </c>
      <c r="BF33">
        <f>VLOOKUP($O33,'Table 3 EV2020 Wind_2020'!$B$10:$K$36,10,FALSE)</f>
        <v>157.49</v>
      </c>
      <c r="BG33">
        <f>VLOOKUP($O33,'Table 3 EV2020 Wind_2021'!$B$10:$K$36,10,FALSE)</f>
        <v>154.72999999999999</v>
      </c>
      <c r="BH33">
        <f>VLOOKUP($O33,'Table 3 DJ Wind 2030'!$B$10:$J$36,9,FALSE)</f>
        <v>175.74</v>
      </c>
      <c r="BI33">
        <f>VLOOKUP($O33,'Table 3 ID Wind 2030'!$B$10:$J$36,9,FALSE)</f>
        <v>167.58</v>
      </c>
      <c r="BJ33">
        <f>VLOOKUP($O33,'Table 3 ID Wind 2033'!$B$10:$J$36,9,FALSE)</f>
        <v>170.7</v>
      </c>
      <c r="BK33">
        <f>VLOOKUP($O33,'Table 3 WW Wind 2035'!$B$10:$J$36,9,FALSE)</f>
        <v>166.16</v>
      </c>
      <c r="BL33">
        <f>VLOOKUP($O33,'Table 3 YK Wind 2035'!$B$10:$J$36,9,FALSE)</f>
        <v>166.16</v>
      </c>
      <c r="BM33">
        <f>VLOOKUP($O33,'Table 3 OR Wind 2035'!$B$10:$J$36,9,FALSE)</f>
        <v>164.62</v>
      </c>
      <c r="BN33">
        <f>VLOOKUP($O33,'Table 3 UT Wind 2030'!$B$10:$J$36,9,FALSE)</f>
        <v>157.66999999999999</v>
      </c>
      <c r="BO33">
        <f>VLOOKUP($O33,'Table 3 UT Wind 2036'!$B$10:$J$36,9,FALSE)</f>
        <v>160.53</v>
      </c>
      <c r="BP33">
        <f>VLOOKUP($O33,'Table 3 YK Solar 2030'!$B$10:$J$36,9,FALSE)</f>
        <v>137.52000000000001</v>
      </c>
      <c r="BQ33">
        <f>VLOOKUP($O33,'Table 3 YK Solar 2032'!$B$10:$J$36,9,FALSE)</f>
        <v>132.13999999999999</v>
      </c>
      <c r="BR33">
        <f>VLOOKUP($O33,'Table 3 YK Solar 2033'!$B$10:$J$36,9,FALSE)</f>
        <v>129.56</v>
      </c>
      <c r="BS33">
        <f>VLOOKUP($O33,'Table 3 UT Solar 2033 ST'!$B$10:$J$36,9,FALSE)</f>
        <v>130.5</v>
      </c>
      <c r="BT33">
        <f>VLOOKUP($O33,'Table 3 UT Solar 2035 ST'!$B$10:$J$36,9,FALSE)</f>
        <v>125.55</v>
      </c>
      <c r="BU33">
        <f>VLOOKUP($O33,'Table 3 UT Solar 2035 FT'!$B$10:$J$36,9,FALSE)</f>
        <v>122.1</v>
      </c>
      <c r="BV33">
        <f>VLOOKUP($O33,'Table 3 OR Solar 2030'!$B$10:$J$36,9,FALSE)</f>
        <v>141.12</v>
      </c>
      <c r="BW33">
        <f>VLOOKUP($O33,'Table 3 OR Solar 2031'!$B$10:$J$36,9,FALSE)</f>
        <v>138.35</v>
      </c>
      <c r="BX33">
        <f>VLOOKUP($O33,'Table 3 OR Solar 2032'!$B$10:$J$36,9,FALSE)</f>
        <v>135.63999999999999</v>
      </c>
      <c r="BY33">
        <f>VLOOKUP($O33,'Table 3 OR Solar 2033'!$B$10:$J$36,9,FALSE)</f>
        <v>133.01</v>
      </c>
      <c r="CA33">
        <f>SUM(AK$13:AK33)*BF33/1000</f>
        <v>0</v>
      </c>
      <c r="CB33">
        <f>SUM(AL$13:AL33)*BG33/1000</f>
        <v>0</v>
      </c>
      <c r="CC33">
        <f>SUM(AM$13:AM33)*BH33/1000</f>
        <v>0</v>
      </c>
      <c r="CD33">
        <f>SUM(AN$13:AN33)*BI33/1000</f>
        <v>0</v>
      </c>
      <c r="CF33">
        <f>SUM(AP$13:AP33)*BK33/1000</f>
        <v>0</v>
      </c>
      <c r="CG33">
        <f>SUM(AQ$13:AQ33)*BL33/1000</f>
        <v>0</v>
      </c>
      <c r="CH33">
        <f>SUM(AR$13:AR33)*BM33/1000</f>
        <v>0</v>
      </c>
      <c r="CI33">
        <f>SUM(AS$13:AS33)*BN33/1000</f>
        <v>0</v>
      </c>
      <c r="CJ33">
        <f>SUM(AT$13:AT33)*BO33/1000</f>
        <v>0</v>
      </c>
      <c r="CK33">
        <f>SUM(AU$13:AU33)*BP33/1000</f>
        <v>0</v>
      </c>
      <c r="CL33">
        <f>SUM(AV$13:AV33)*BQ33/1000</f>
        <v>0</v>
      </c>
      <c r="CM33">
        <f>SUM(AW$13:AW33)*BR33/1000</f>
        <v>0</v>
      </c>
      <c r="CN33">
        <f>SUM(AX$13:AX33)*BS33/1000</f>
        <v>0</v>
      </c>
      <c r="CO33">
        <f>SUM(AY$13:AY33)*BT33/1000</f>
        <v>0</v>
      </c>
      <c r="CP33">
        <f>SUM(AZ$13:AZ33)*BU33/1000</f>
        <v>0</v>
      </c>
      <c r="CQ33">
        <f>SUM(BA$13:BA33)*BV33/1000</f>
        <v>0</v>
      </c>
      <c r="CR33">
        <f>SUM(BB$13:BB33)*BW33/1000</f>
        <v>0</v>
      </c>
      <c r="CS33">
        <f>SUM(BC$13:BC33)*BX33/1000</f>
        <v>0</v>
      </c>
      <c r="CT33">
        <f>SUM(BD$13:BD33)*BY33/1000</f>
        <v>0</v>
      </c>
      <c r="CU33" s="188">
        <f t="shared" ref="CU33" si="33">SUM(CA33:CT33)</f>
        <v>0</v>
      </c>
      <c r="CW33">
        <f t="shared" si="24"/>
        <v>2038</v>
      </c>
      <c r="CX33" s="90">
        <f>IFERROR(VLOOKUP($CW33,'Table 3 TransCost D2 '!$B$10:$E$34,4,FALSE),0)</f>
        <v>69.59</v>
      </c>
      <c r="CY33" s="194">
        <f t="shared" si="27"/>
        <v>0</v>
      </c>
    </row>
    <row r="34" spans="1:104">
      <c r="B34" s="182"/>
      <c r="C34" s="9"/>
      <c r="D34" s="45"/>
      <c r="E34" s="9"/>
      <c r="F34" s="37"/>
      <c r="G34" s="9"/>
      <c r="H34" s="36"/>
      <c r="I34" s="49"/>
      <c r="M34" s="117"/>
      <c r="CU34" s="188"/>
      <c r="CY34" s="90"/>
      <c r="CZ34" s="194"/>
    </row>
    <row r="35" spans="1:104">
      <c r="B35" s="182"/>
      <c r="C35" s="9"/>
      <c r="D35" s="45"/>
      <c r="E35" s="9"/>
      <c r="F35" s="37"/>
      <c r="G35" s="9"/>
      <c r="H35" s="36"/>
      <c r="I35" s="49"/>
      <c r="M35" s="117"/>
    </row>
    <row r="36" spans="1:104" ht="12" customHeight="1">
      <c r="B36" s="182"/>
      <c r="C36" s="9"/>
      <c r="D36" s="45"/>
      <c r="E36" s="9"/>
      <c r="F36" s="37"/>
      <c r="G36" s="9"/>
      <c r="H36" s="36"/>
      <c r="I36" s="49"/>
      <c r="M36" s="117"/>
      <c r="N36" t="s">
        <v>148</v>
      </c>
      <c r="S36">
        <v>2030</v>
      </c>
      <c r="T36">
        <v>2033</v>
      </c>
      <c r="X36">
        <v>2030</v>
      </c>
      <c r="Y36">
        <v>2036</v>
      </c>
      <c r="Z36">
        <v>2030</v>
      </c>
      <c r="AA36">
        <v>2032</v>
      </c>
      <c r="AB36">
        <v>2033</v>
      </c>
      <c r="AC36">
        <v>2033</v>
      </c>
      <c r="AD36">
        <v>2035</v>
      </c>
      <c r="AE36">
        <v>2035</v>
      </c>
      <c r="AF36">
        <v>2030</v>
      </c>
      <c r="AG36">
        <v>2031</v>
      </c>
      <c r="AH36">
        <v>2032</v>
      </c>
      <c r="AI36">
        <v>2033</v>
      </c>
    </row>
    <row r="37" spans="1:104">
      <c r="A37" s="334" t="str">
        <f>'Table 5'!$A$9</f>
        <v>15 Year Starting 2018</v>
      </c>
      <c r="B37" s="334"/>
      <c r="D37" s="9"/>
      <c r="F37" s="37"/>
      <c r="H37" s="36"/>
      <c r="I37"/>
      <c r="N37" t="s">
        <v>160</v>
      </c>
      <c r="S37" s="242">
        <v>0</v>
      </c>
      <c r="T37" s="242">
        <v>1</v>
      </c>
      <c r="X37" s="242">
        <v>0</v>
      </c>
      <c r="Y37" s="242">
        <v>0</v>
      </c>
      <c r="Z37" s="242">
        <v>0</v>
      </c>
      <c r="AA37" s="242">
        <v>0</v>
      </c>
      <c r="AB37" s="242">
        <v>0</v>
      </c>
      <c r="AC37" s="242">
        <v>0</v>
      </c>
      <c r="AD37" s="242">
        <v>0</v>
      </c>
      <c r="AE37" s="242">
        <v>0</v>
      </c>
      <c r="AF37" s="242">
        <v>0</v>
      </c>
      <c r="AG37" s="242">
        <v>0</v>
      </c>
      <c r="AH37" s="242">
        <v>0</v>
      </c>
      <c r="AI37" s="242">
        <v>0</v>
      </c>
    </row>
    <row r="38" spans="1:104">
      <c r="A38" s="215"/>
      <c r="B38" s="55" t="str">
        <f>"15 year Levelized Prices (Nominal) @ "&amp;TEXT(I39,"0.00%")&amp;" Discount Rate (1) (3) "</f>
        <v xml:space="preserve">15 year Levelized Prices (Nominal) @ 6.91% Discount Rate (1) (3) </v>
      </c>
      <c r="E38" s="5"/>
      <c r="I38" s="49" t="s">
        <v>165</v>
      </c>
      <c r="P38" s="184"/>
      <c r="Q38" s="184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</row>
    <row r="39" spans="1:104">
      <c r="B39" s="47" t="s">
        <v>8</v>
      </c>
      <c r="C39" s="9">
        <f ca="1">'Table 5'!$D$9*(Study_CF*8.76)/'Table 5'!$F$9</f>
        <v>0</v>
      </c>
      <c r="D39" s="9"/>
      <c r="H39" s="36"/>
      <c r="I39" s="110">
        <v>6.9099999999999995E-2</v>
      </c>
    </row>
    <row r="40" spans="1:104">
      <c r="B40" s="48" t="s">
        <v>33</v>
      </c>
      <c r="E40" s="9">
        <f ca="1">'Table 5'!$C$9/'Table 5'!$F$9</f>
        <v>21.135094454380347</v>
      </c>
      <c r="G40" s="217">
        <f ca="1">'Table 5'!$G$9</f>
        <v>21.135094454380347</v>
      </c>
      <c r="H40" s="36"/>
    </row>
    <row r="41" spans="1:104" ht="21" customHeight="1">
      <c r="A41" s="335" t="str">
        <f>'Table 5'!A7</f>
        <v>15 Year Starting 2019</v>
      </c>
      <c r="B41" s="335"/>
      <c r="E41" s="9"/>
      <c r="G41" s="109"/>
      <c r="H41" s="36"/>
    </row>
    <row r="42" spans="1:104">
      <c r="B42" s="55" t="str">
        <f>"15 year Levelized Prices (Nominal) @ "&amp;TEXT(I43,"0.00%")&amp;" Discount Rate (1) (3) "</f>
        <v xml:space="preserve">15 year Levelized Prices (Nominal) @ 0.00% Discount Rate (1) (3) </v>
      </c>
      <c r="E42" s="5"/>
      <c r="H42" s="36"/>
      <c r="I42"/>
      <c r="M42" s="117"/>
    </row>
    <row r="43" spans="1:104">
      <c r="B43" s="47" t="s">
        <v>8</v>
      </c>
      <c r="C43" s="9">
        <f ca="1">'Table 5'!$D$7*(Study_CF*8.76)/'Table 5'!$F$7</f>
        <v>6.1918595467871036</v>
      </c>
      <c r="D43" s="9"/>
      <c r="H43" s="36"/>
      <c r="I43"/>
    </row>
    <row r="44" spans="1:104">
      <c r="B44" s="48" t="s">
        <v>33</v>
      </c>
      <c r="E44" s="9">
        <f ca="1">'Table 5'!$C$7/'Table 5'!$F$7</f>
        <v>20.276737953773416</v>
      </c>
      <c r="G44" s="217">
        <f ca="1">'Table 5'!$G$7</f>
        <v>22.556587575570887</v>
      </c>
      <c r="H44" s="36"/>
      <c r="I44" s="250"/>
      <c r="R44" s="194"/>
    </row>
    <row r="45" spans="1:104" hidden="1">
      <c r="B45" s="55"/>
      <c r="E45" s="5"/>
      <c r="H45" s="36"/>
    </row>
    <row r="46" spans="1:104" hidden="1">
      <c r="B46" s="47"/>
      <c r="C46" s="9"/>
      <c r="D46" s="9"/>
      <c r="H46" s="36"/>
    </row>
    <row r="47" spans="1:104" hidden="1">
      <c r="B47" s="48"/>
      <c r="E47" s="9"/>
      <c r="G47" s="109"/>
      <c r="H47" s="36"/>
    </row>
    <row r="48" spans="1:104" hidden="1">
      <c r="B48" s="47"/>
      <c r="C48" s="9"/>
      <c r="D48" s="9"/>
      <c r="H48" s="36"/>
    </row>
    <row r="49" spans="1:18" hidden="1">
      <c r="B49" s="55"/>
      <c r="E49" s="5"/>
      <c r="H49" s="36"/>
    </row>
    <row r="50" spans="1:18" hidden="1">
      <c r="B50" s="47"/>
      <c r="C50" s="9"/>
      <c r="D50" s="9"/>
      <c r="H50" s="36"/>
    </row>
    <row r="51" spans="1:18" hidden="1">
      <c r="A51" s="335" t="str">
        <f>'Table 5'!A10</f>
        <v>20 Year Starting 2019</v>
      </c>
      <c r="B51" s="335"/>
      <c r="E51" s="9"/>
      <c r="G51" s="109"/>
      <c r="H51" s="36"/>
    </row>
    <row r="52" spans="1:18" hidden="1">
      <c r="B52" s="55" t="str">
        <f>"15 year Levelized Prices (Nominal) @ "&amp;TEXT(I53,"0.00%")&amp;" Discount Rate (1) (3) "</f>
        <v xml:space="preserve">15 year Levelized Prices (Nominal) @ 0.00% Discount Rate (1) (3) </v>
      </c>
      <c r="E52" s="5"/>
      <c r="H52" s="36"/>
    </row>
    <row r="53" spans="1:18" hidden="1">
      <c r="B53" s="47" t="s">
        <v>8</v>
      </c>
      <c r="C53" s="9">
        <f ca="1">'Table 5'!$D$10*(Study_CF*8.76)/'Table 5'!$F$10</f>
        <v>24.3073608346265</v>
      </c>
      <c r="D53" s="9"/>
      <c r="H53" s="36"/>
    </row>
    <row r="54" spans="1:18" hidden="1">
      <c r="B54" s="48" t="s">
        <v>33</v>
      </c>
      <c r="E54" s="9">
        <f ca="1">'Table 5'!$C$10/'Table 5'!$F$10</f>
        <v>16.408875136098288</v>
      </c>
      <c r="G54" s="217">
        <f ca="1">'Table 5'!$G$10</f>
        <v>25.358872626670134</v>
      </c>
      <c r="H54" s="36"/>
      <c r="I54" s="250"/>
    </row>
    <row r="55" spans="1:18" ht="21" customHeight="1">
      <c r="A55" s="335"/>
      <c r="B55" s="335"/>
      <c r="E55" s="9"/>
      <c r="G55" s="109"/>
      <c r="H55" s="36"/>
    </row>
    <row r="56" spans="1:18" hidden="1">
      <c r="B56" s="55" t="str">
        <f>"15 year Levelized Prices (Nominal) @ "&amp;TEXT(I57,"0.00%")&amp;" Discount Rate (1) (3) "</f>
        <v xml:space="preserve">15 year Levelized Prices (Nominal) @ 0.00% Discount Rate (1) (3) </v>
      </c>
      <c r="E56" s="5"/>
      <c r="H56" s="36"/>
      <c r="I56"/>
      <c r="M56" s="117"/>
    </row>
    <row r="57" spans="1:18" hidden="1">
      <c r="B57" s="47" t="s">
        <v>8</v>
      </c>
      <c r="C57" s="9">
        <f ca="1">'Table 5'!$D$7*(Study_CF*8.76)/'Table 5'!$F$7</f>
        <v>6.1918595467871036</v>
      </c>
      <c r="D57" s="9"/>
      <c r="H57" s="36"/>
      <c r="I57"/>
    </row>
    <row r="58" spans="1:18" hidden="1">
      <c r="B58" s="48" t="s">
        <v>33</v>
      </c>
      <c r="E58" s="9">
        <f ca="1">'Table 5'!$C$7/'Table 5'!$F$7</f>
        <v>20.276737953773416</v>
      </c>
      <c r="G58" s="217">
        <f ca="1">'Table 5'!$G$7</f>
        <v>22.556587575570887</v>
      </c>
      <c r="H58" s="36"/>
      <c r="I58"/>
      <c r="R58" s="194"/>
    </row>
    <row r="59" spans="1:18" hidden="1">
      <c r="B59" s="55"/>
      <c r="E59" s="5"/>
      <c r="H59" s="36"/>
    </row>
    <row r="60" spans="1:18" hidden="1">
      <c r="B60" s="47"/>
      <c r="C60" s="9"/>
      <c r="D60" s="9"/>
      <c r="H60" s="36"/>
    </row>
    <row r="61" spans="1:18" hidden="1">
      <c r="B61" s="48"/>
      <c r="E61" s="9"/>
      <c r="G61" s="109"/>
      <c r="H61" s="36"/>
    </row>
    <row r="62" spans="1:18" hidden="1">
      <c r="B62" s="47"/>
      <c r="C62" s="9"/>
      <c r="D62" s="9"/>
      <c r="H62" s="36"/>
    </row>
    <row r="63" spans="1:18" hidden="1">
      <c r="B63" s="55"/>
      <c r="E63" s="5"/>
      <c r="H63" s="36"/>
    </row>
    <row r="64" spans="1:18" hidden="1">
      <c r="B64" s="47"/>
      <c r="C64" s="9"/>
      <c r="D64" s="9"/>
      <c r="H64" s="36"/>
    </row>
    <row r="65" spans="1:13" hidden="1">
      <c r="A65" s="335" t="str">
        <f>'Table 5'!A10</f>
        <v>20 Year Starting 2019</v>
      </c>
      <c r="B65" s="335"/>
      <c r="E65" s="9"/>
      <c r="G65" s="109"/>
      <c r="H65" s="36"/>
    </row>
    <row r="66" spans="1:13" hidden="1">
      <c r="B66" s="55" t="str">
        <f>"15 year Levelized Prices (Nominal) @ "&amp;TEXT(I67,"0.00%")&amp;" Discount Rate (1) (3) "</f>
        <v xml:space="preserve">15 year Levelized Prices (Nominal) @ 0.00% Discount Rate (1) (3) </v>
      </c>
      <c r="E66" s="5"/>
      <c r="H66" s="36"/>
    </row>
    <row r="67" spans="1:13" hidden="1">
      <c r="B67" s="47" t="s">
        <v>8</v>
      </c>
      <c r="C67" s="9">
        <f ca="1">'Table 5'!$D$10*(Study_CF*8.76)/'Table 5'!$F$10</f>
        <v>24.3073608346265</v>
      </c>
      <c r="D67" s="9"/>
      <c r="H67" s="36"/>
    </row>
    <row r="68" spans="1:13" hidden="1">
      <c r="B68" s="48" t="s">
        <v>33</v>
      </c>
      <c r="E68" s="9">
        <f ca="1">'Table 5'!$C$10/'Table 5'!$F$10</f>
        <v>16.408875136098288</v>
      </c>
      <c r="G68" s="217">
        <f ca="1">'Table 5'!$G$10</f>
        <v>25.358872626670134</v>
      </c>
      <c r="H68" s="36"/>
    </row>
    <row r="69" spans="1:13">
      <c r="B69" s="3" t="s">
        <v>16</v>
      </c>
      <c r="E69" s="38"/>
      <c r="G69" s="38"/>
      <c r="H69" s="36"/>
      <c r="I69" s="109"/>
    </row>
    <row r="70" spans="1:13">
      <c r="B70" s="50" t="str">
        <f>"(1)   "&amp;I38</f>
        <v>(1)   Discount Rate - 2017 IRP Update</v>
      </c>
      <c r="E70" s="36"/>
      <c r="F70" s="38"/>
      <c r="G70" s="36"/>
      <c r="H70" s="36"/>
      <c r="I70" s="109"/>
    </row>
    <row r="71" spans="1:13">
      <c r="B71" s="3" t="s">
        <v>22</v>
      </c>
      <c r="F71" s="38"/>
      <c r="H71" s="36"/>
      <c r="I71" s="109"/>
    </row>
    <row r="72" spans="1:13">
      <c r="B72" s="54" t="str">
        <f>"(3)   Levelized monthly"</f>
        <v>(3)   Levelized monthly</v>
      </c>
      <c r="G72" s="5"/>
    </row>
    <row r="73" spans="1:13">
      <c r="B73" s="3" t="str">
        <f>IF(Study_Cap_Adj&gt;0,"(4)  The capacity payment is derived from:","")</f>
        <v/>
      </c>
    </row>
    <row r="74" spans="1:13" hidden="1">
      <c r="B74" s="95" t="str">
        <f>IF(AND(Study_Cap_Adj&gt;0,_30_Geo_West&lt;&gt;0),"       2028 - "&amp;#REF!&amp;"   ("&amp;TEXT(_30_Geo_West," 0.0%")&amp;")","")</f>
        <v/>
      </c>
    </row>
    <row r="75" spans="1:13" ht="12.75" customHeight="1">
      <c r="B75" s="95"/>
    </row>
    <row r="76" spans="1:13" ht="12.75" customHeight="1">
      <c r="A76" s="3" t="b">
        <f>SUM(P13:AI28)&gt;0</f>
        <v>1</v>
      </c>
      <c r="B76" s="95"/>
    </row>
    <row r="77" spans="1:13">
      <c r="A77" s="3">
        <f>IF(SUM(P13:P28)&gt;0,1,IF(SUM(Q13:Q28)&gt;0,2,IF(SUM(R13:R28)&gt;0,3,IF(SUM(S13:S28)&gt;0,4,IF(SUM(T13:T28)&gt;0,5,IF(SUM(U13:U28)&gt;0,6,IF(SUM(V13:V28)&gt;0,7,IF(SUM(W13:W28)&gt;0,8,IF(SUM(X13:X28)&gt;0,9,IF(SUM(Z13:Z28)&gt;0,10,IF(SUM(Y13:Y28)&gt;0,11,IF(SUM(AA13:AA28)&gt;0,12,IF(SUM(AB13:AB28)&gt;0,13,IF(SUM(AC13:AC28)&gt;0,14,IF(SUM(AD13:AD28)&gt;0,15,IF(SUM(AE13:AE28)&gt;0,16,IF(SUM(AF13:AF28)&gt;0,17,IF(SUM(AG13:AG28)&gt;0,18))))))))))))))))))</f>
        <v>5</v>
      </c>
      <c r="B77" s="10"/>
      <c r="C77" s="7"/>
      <c r="D77" s="7"/>
      <c r="E77" s="7"/>
      <c r="G77" s="7"/>
    </row>
    <row r="78" spans="1:13">
      <c r="A78">
        <f>INDEX($O$13:$AI$33,IF(SUM($P$13:$AI$33)&gt;0,SUM($P$13:$AI$33),FALSE)-1,1)</f>
        <v>2028</v>
      </c>
      <c r="I78" t="s">
        <v>60</v>
      </c>
    </row>
    <row r="79" spans="1:13" s="53" customFormat="1">
      <c r="A79" s="54"/>
      <c r="B79" s="10"/>
      <c r="C79" s="54"/>
      <c r="D79" s="54"/>
      <c r="E79" s="54"/>
      <c r="F79" s="54"/>
      <c r="G79" s="54"/>
      <c r="I79" t="str">
        <f ca="1">"       Avoided Costs calculated annually are  "&amp;TEXT(PMT(Discount_Rate,COUNT($G$13:$G$27),-NPV(Discount_Rate,$G$13:$G$27)),"$0.00")&amp;"/MWH"</f>
        <v xml:space="preserve">       Avoided Costs calculated annually are  $21.14/MWH</v>
      </c>
      <c r="J79"/>
      <c r="K79"/>
      <c r="L79"/>
      <c r="M79"/>
    </row>
    <row r="80" spans="1:13" s="53" customFormat="1">
      <c r="A80" s="54"/>
      <c r="B80" s="10"/>
      <c r="C80" s="54"/>
      <c r="D80" s="54"/>
      <c r="E80" s="54"/>
      <c r="F80" s="54"/>
      <c r="G80" s="54"/>
      <c r="I80" s="10" t="str">
        <f ca="1">"       Avoided Costs calculated monthly are  "&amp;TEXT($G$40,"$0.00")&amp;"/MWH"</f>
        <v xml:space="preserve">       Avoided Costs calculated monthly are  $21.14/MWH</v>
      </c>
      <c r="J80"/>
      <c r="K80"/>
    </row>
    <row r="81" spans="1:13">
      <c r="A81"/>
      <c r="B81" s="51"/>
      <c r="I81" s="53"/>
      <c r="L81" s="53"/>
      <c r="M81" s="53"/>
    </row>
    <row r="82" spans="1:13">
      <c r="A82"/>
      <c r="F82" s="7"/>
    </row>
    <row r="85" spans="1:13">
      <c r="A85"/>
      <c r="J85" s="53"/>
      <c r="K85" s="53"/>
    </row>
    <row r="86" spans="1:13">
      <c r="A86"/>
      <c r="J86" s="53"/>
      <c r="K86" s="53"/>
    </row>
  </sheetData>
  <mergeCells count="5">
    <mergeCell ref="A37:B37"/>
    <mergeCell ref="A55:B55"/>
    <mergeCell ref="A65:B65"/>
    <mergeCell ref="A41:B41"/>
    <mergeCell ref="A51:B51"/>
  </mergeCells>
  <phoneticPr fontId="8" type="noConversion"/>
  <printOptions horizontalCentered="1"/>
  <pageMargins left="0.25" right="0.25" top="0.75" bottom="0.75" header="0.3" footer="0.3"/>
  <pageSetup scale="98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135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27%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  <c r="P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7" t="s">
        <v>55</v>
      </c>
      <c r="J5" s="17" t="s">
        <v>55</v>
      </c>
      <c r="K5" s="126" t="s">
        <v>72</v>
      </c>
      <c r="P5" s="180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Utah Solar Resource-2035 - 27%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>
        <f>ROUND(D10*(1+$D66),2)</f>
        <v>0</v>
      </c>
      <c r="E11" s="133">
        <f>$C$56</f>
        <v>18.718009285501743</v>
      </c>
      <c r="F11" s="134">
        <f t="shared" ref="F11:F36" si="1">(D11+E11)/(8.76*$C$63)</f>
        <v>7.9729815330461324</v>
      </c>
      <c r="G11" s="134">
        <f>$C$58</f>
        <v>0</v>
      </c>
      <c r="H11" s="143">
        <f>$C$59</f>
        <v>0</v>
      </c>
      <c r="I11" s="135">
        <f t="shared" ref="I11:I36" si="2">F11+H11+G11</f>
        <v>7.9729815330461324</v>
      </c>
      <c r="J11" s="135">
        <f t="shared" ref="J11:J36" si="3">ROUND(I11*$C$63*8.76,2)</f>
        <v>18.72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>
        <f t="shared" ref="D12:H19" si="4">ROUND(D11*(1+$D67),2)</f>
        <v>0</v>
      </c>
      <c r="E12" s="133">
        <f t="shared" si="4"/>
        <v>19.149999999999999</v>
      </c>
      <c r="F12" s="135">
        <f t="shared" si="1"/>
        <v>8.1569890274654124</v>
      </c>
      <c r="G12" s="133">
        <f t="shared" si="4"/>
        <v>0</v>
      </c>
      <c r="H12" s="143">
        <f t="shared" si="4"/>
        <v>0</v>
      </c>
      <c r="I12" s="135">
        <f t="shared" si="2"/>
        <v>8.1569890274654124</v>
      </c>
      <c r="J12" s="135">
        <f t="shared" si="3"/>
        <v>19.149999999999999</v>
      </c>
      <c r="K12" s="133">
        <f t="shared" ref="K12:K19" si="5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>
        <f t="shared" si="4"/>
        <v>0</v>
      </c>
      <c r="E13" s="133">
        <f t="shared" si="4"/>
        <v>19.57</v>
      </c>
      <c r="F13" s="135">
        <f t="shared" si="1"/>
        <v>8.3358890479111292</v>
      </c>
      <c r="G13" s="133">
        <f t="shared" si="4"/>
        <v>0</v>
      </c>
      <c r="H13" s="143">
        <f t="shared" si="4"/>
        <v>0</v>
      </c>
      <c r="I13" s="135">
        <f t="shared" si="2"/>
        <v>8.3358890479111292</v>
      </c>
      <c r="J13" s="135">
        <f t="shared" si="3"/>
        <v>19.57</v>
      </c>
      <c r="K13" s="133">
        <f t="shared" si="5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>
        <f t="shared" si="4"/>
        <v>0</v>
      </c>
      <c r="E14" s="133">
        <f t="shared" si="4"/>
        <v>20.059999999999999</v>
      </c>
      <c r="F14" s="135">
        <f t="shared" si="1"/>
        <v>8.544605738431132</v>
      </c>
      <c r="G14" s="133">
        <f t="shared" si="4"/>
        <v>0</v>
      </c>
      <c r="H14" s="143">
        <f t="shared" si="4"/>
        <v>0</v>
      </c>
      <c r="I14" s="135">
        <f t="shared" si="2"/>
        <v>8.544605738431132</v>
      </c>
      <c r="J14" s="135">
        <f t="shared" si="3"/>
        <v>20.059999999999999</v>
      </c>
      <c r="K14" s="133">
        <f t="shared" si="5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>
        <f t="shared" si="4"/>
        <v>0</v>
      </c>
      <c r="E15" s="133">
        <f t="shared" si="4"/>
        <v>20.54</v>
      </c>
      <c r="F15" s="135">
        <f t="shared" si="1"/>
        <v>8.7490629046548083</v>
      </c>
      <c r="G15" s="133">
        <f t="shared" si="4"/>
        <v>0</v>
      </c>
      <c r="H15" s="143">
        <f t="shared" si="4"/>
        <v>0</v>
      </c>
      <c r="I15" s="135">
        <f t="shared" si="2"/>
        <v>8.7490629046548083</v>
      </c>
      <c r="J15" s="135">
        <f t="shared" si="3"/>
        <v>20.54</v>
      </c>
      <c r="K15" s="133">
        <f t="shared" si="5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>
        <f t="shared" si="4"/>
        <v>0</v>
      </c>
      <c r="E16" s="133">
        <f t="shared" si="4"/>
        <v>21.03</v>
      </c>
      <c r="F16" s="135">
        <f t="shared" si="1"/>
        <v>8.9577795951748111</v>
      </c>
      <c r="G16" s="133">
        <f t="shared" si="4"/>
        <v>0</v>
      </c>
      <c r="H16" s="143">
        <f t="shared" si="4"/>
        <v>0</v>
      </c>
      <c r="I16" s="135">
        <f t="shared" si="2"/>
        <v>8.9577795951748111</v>
      </c>
      <c r="J16" s="135">
        <f t="shared" si="3"/>
        <v>21.03</v>
      </c>
      <c r="K16" s="133">
        <f t="shared" si="5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>
        <f t="shared" si="4"/>
        <v>0</v>
      </c>
      <c r="E17" s="133">
        <f t="shared" si="4"/>
        <v>21.53</v>
      </c>
      <c r="F17" s="135">
        <f t="shared" si="1"/>
        <v>9.1707558099911406</v>
      </c>
      <c r="G17" s="133">
        <f t="shared" si="4"/>
        <v>0</v>
      </c>
      <c r="H17" s="143">
        <f t="shared" si="4"/>
        <v>0</v>
      </c>
      <c r="I17" s="135">
        <f t="shared" si="2"/>
        <v>9.1707558099911406</v>
      </c>
      <c r="J17" s="135">
        <f t="shared" si="3"/>
        <v>21.53</v>
      </c>
      <c r="K17" s="133">
        <f t="shared" si="5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>
        <f t="shared" si="4"/>
        <v>0</v>
      </c>
      <c r="E18" s="133">
        <f t="shared" si="4"/>
        <v>22.03</v>
      </c>
      <c r="F18" s="135">
        <f t="shared" si="1"/>
        <v>9.38373202480747</v>
      </c>
      <c r="G18" s="133">
        <f t="shared" si="4"/>
        <v>0</v>
      </c>
      <c r="H18" s="143">
        <f t="shared" si="4"/>
        <v>0</v>
      </c>
      <c r="I18" s="135">
        <f t="shared" si="2"/>
        <v>9.38373202480747</v>
      </c>
      <c r="J18" s="135">
        <f t="shared" si="3"/>
        <v>22.03</v>
      </c>
      <c r="K18" s="133">
        <f t="shared" si="5"/>
        <v>0.74</v>
      </c>
      <c r="L18" s="124"/>
      <c r="P18" s="170"/>
    </row>
    <row r="19" spans="2:17">
      <c r="B19" s="141">
        <f t="shared" si="0"/>
        <v>2025</v>
      </c>
      <c r="C19" s="142"/>
      <c r="D19" s="133">
        <f t="shared" si="4"/>
        <v>0</v>
      </c>
      <c r="E19" s="133">
        <f t="shared" si="4"/>
        <v>22.54</v>
      </c>
      <c r="F19" s="135">
        <f t="shared" si="1"/>
        <v>9.6009677639201243</v>
      </c>
      <c r="G19" s="133">
        <f t="shared" si="4"/>
        <v>0</v>
      </c>
      <c r="H19" s="143">
        <f t="shared" si="4"/>
        <v>0</v>
      </c>
      <c r="I19" s="135">
        <f t="shared" si="2"/>
        <v>9.6009677639201243</v>
      </c>
      <c r="J19" s="135">
        <f t="shared" si="3"/>
        <v>22.54</v>
      </c>
      <c r="K19" s="133">
        <f t="shared" si="5"/>
        <v>0.76</v>
      </c>
      <c r="L19" s="124"/>
      <c r="P19" s="170"/>
    </row>
    <row r="20" spans="2:17">
      <c r="B20" s="141">
        <f t="shared" si="0"/>
        <v>2026</v>
      </c>
      <c r="C20" s="142"/>
      <c r="D20" s="133">
        <f>ROUND(D19*(1+$G66),2)</f>
        <v>0</v>
      </c>
      <c r="E20" s="133">
        <f>ROUND(E19*(1+$G66),2)</f>
        <v>23.04</v>
      </c>
      <c r="F20" s="135">
        <f t="shared" si="1"/>
        <v>9.8139439787364537</v>
      </c>
      <c r="G20" s="133">
        <f>ROUND(G19*(1+$G66),2)</f>
        <v>0</v>
      </c>
      <c r="H20" s="143">
        <f>ROUND(H19*(1+$G66),2)</f>
        <v>0</v>
      </c>
      <c r="I20" s="135">
        <f t="shared" si="2"/>
        <v>9.8139439787364537</v>
      </c>
      <c r="J20" s="135">
        <f t="shared" si="3"/>
        <v>23.04</v>
      </c>
      <c r="K20" s="133">
        <f t="shared" ref="K20:K28" si="6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>
        <f t="shared" ref="D21:H28" si="7">ROUND(D20*(1+$G67),2)</f>
        <v>0</v>
      </c>
      <c r="E21" s="133">
        <f t="shared" si="7"/>
        <v>23.55</v>
      </c>
      <c r="F21" s="135">
        <f t="shared" si="1"/>
        <v>10.031179717849112</v>
      </c>
      <c r="G21" s="133">
        <f t="shared" si="7"/>
        <v>0</v>
      </c>
      <c r="H21" s="143">
        <f t="shared" si="7"/>
        <v>0</v>
      </c>
      <c r="I21" s="135">
        <f t="shared" si="2"/>
        <v>10.031179717849112</v>
      </c>
      <c r="J21" s="135">
        <f t="shared" si="3"/>
        <v>23.55</v>
      </c>
      <c r="K21" s="133">
        <f t="shared" si="6"/>
        <v>0.8</v>
      </c>
      <c r="L21" s="124"/>
      <c r="P21" s="170"/>
    </row>
    <row r="22" spans="2:17">
      <c r="B22" s="141">
        <f t="shared" si="0"/>
        <v>2028</v>
      </c>
      <c r="C22" s="142"/>
      <c r="D22" s="133">
        <f t="shared" si="7"/>
        <v>0</v>
      </c>
      <c r="E22" s="133">
        <f t="shared" si="7"/>
        <v>24.07</v>
      </c>
      <c r="F22" s="135">
        <f t="shared" si="1"/>
        <v>10.252674981258092</v>
      </c>
      <c r="G22" s="133">
        <f t="shared" si="7"/>
        <v>0</v>
      </c>
      <c r="H22" s="143">
        <f t="shared" si="7"/>
        <v>0</v>
      </c>
      <c r="I22" s="135">
        <f t="shared" si="2"/>
        <v>10.252674981258092</v>
      </c>
      <c r="J22" s="135">
        <f t="shared" si="3"/>
        <v>24.07</v>
      </c>
      <c r="K22" s="133">
        <f t="shared" si="6"/>
        <v>0.82</v>
      </c>
      <c r="L22" s="124"/>
      <c r="P22" s="170"/>
    </row>
    <row r="23" spans="2:17">
      <c r="B23" s="141">
        <f t="shared" si="0"/>
        <v>2029</v>
      </c>
      <c r="C23" s="142"/>
      <c r="D23" s="133">
        <f t="shared" si="7"/>
        <v>0</v>
      </c>
      <c r="E23" s="133">
        <f t="shared" si="7"/>
        <v>24.58</v>
      </c>
      <c r="F23" s="135">
        <f t="shared" si="1"/>
        <v>10.469910720370748</v>
      </c>
      <c r="G23" s="133">
        <f t="shared" si="7"/>
        <v>0</v>
      </c>
      <c r="H23" s="143">
        <f t="shared" si="7"/>
        <v>0</v>
      </c>
      <c r="I23" s="135">
        <f t="shared" si="2"/>
        <v>10.469910720370748</v>
      </c>
      <c r="J23" s="135">
        <f t="shared" si="3"/>
        <v>24.58</v>
      </c>
      <c r="K23" s="133">
        <f t="shared" si="6"/>
        <v>0.84</v>
      </c>
      <c r="L23" s="124"/>
      <c r="P23" s="170"/>
    </row>
    <row r="24" spans="2:17">
      <c r="B24" s="141">
        <f t="shared" si="0"/>
        <v>2030</v>
      </c>
      <c r="C24" s="142"/>
      <c r="D24" s="133">
        <f t="shared" si="7"/>
        <v>0</v>
      </c>
      <c r="E24" s="133">
        <f t="shared" si="7"/>
        <v>25.07</v>
      </c>
      <c r="F24" s="135">
        <f t="shared" si="1"/>
        <v>10.678627410890751</v>
      </c>
      <c r="G24" s="133">
        <f t="shared" si="7"/>
        <v>0</v>
      </c>
      <c r="H24" s="143">
        <f t="shared" si="7"/>
        <v>0</v>
      </c>
      <c r="I24" s="135">
        <f t="shared" si="2"/>
        <v>10.678627410890751</v>
      </c>
      <c r="J24" s="135">
        <f t="shared" si="3"/>
        <v>25.07</v>
      </c>
      <c r="K24" s="133">
        <f t="shared" si="6"/>
        <v>0.86</v>
      </c>
      <c r="L24" s="124"/>
      <c r="P24" s="170"/>
    </row>
    <row r="25" spans="2:17">
      <c r="B25" s="141">
        <f t="shared" si="0"/>
        <v>2031</v>
      </c>
      <c r="C25" s="142"/>
      <c r="D25" s="133">
        <f t="shared" si="7"/>
        <v>0</v>
      </c>
      <c r="E25" s="133">
        <f t="shared" si="7"/>
        <v>25.57</v>
      </c>
      <c r="F25" s="135">
        <f t="shared" si="1"/>
        <v>10.891603625707081</v>
      </c>
      <c r="G25" s="133">
        <f t="shared" si="7"/>
        <v>0</v>
      </c>
      <c r="H25" s="143">
        <f t="shared" si="7"/>
        <v>0</v>
      </c>
      <c r="I25" s="135">
        <f t="shared" si="2"/>
        <v>10.891603625707081</v>
      </c>
      <c r="J25" s="135">
        <f t="shared" si="3"/>
        <v>25.57</v>
      </c>
      <c r="K25" s="133">
        <f t="shared" si="6"/>
        <v>0.88</v>
      </c>
      <c r="L25" s="124"/>
      <c r="P25" s="170"/>
    </row>
    <row r="26" spans="2:17">
      <c r="B26" s="141">
        <f t="shared" si="0"/>
        <v>2032</v>
      </c>
      <c r="C26" s="142"/>
      <c r="D26" s="133">
        <f t="shared" si="7"/>
        <v>0</v>
      </c>
      <c r="E26" s="133">
        <f t="shared" si="7"/>
        <v>26.08</v>
      </c>
      <c r="F26" s="135">
        <f t="shared" si="1"/>
        <v>11.108839364819737</v>
      </c>
      <c r="G26" s="133">
        <f t="shared" si="7"/>
        <v>0</v>
      </c>
      <c r="H26" s="143">
        <f t="shared" si="7"/>
        <v>0</v>
      </c>
      <c r="I26" s="135">
        <f t="shared" si="2"/>
        <v>11.108839364819737</v>
      </c>
      <c r="J26" s="135">
        <f t="shared" si="3"/>
        <v>26.08</v>
      </c>
      <c r="K26" s="133">
        <f t="shared" si="6"/>
        <v>0.9</v>
      </c>
      <c r="L26" s="124"/>
      <c r="P26" s="170"/>
    </row>
    <row r="27" spans="2:17">
      <c r="B27" s="141">
        <f t="shared" si="0"/>
        <v>2033</v>
      </c>
      <c r="C27" s="132"/>
      <c r="D27" s="133">
        <f t="shared" si="7"/>
        <v>0</v>
      </c>
      <c r="E27" s="133">
        <f t="shared" si="7"/>
        <v>26.6</v>
      </c>
      <c r="F27" s="135">
        <f t="shared" si="1"/>
        <v>11.330334628228719</v>
      </c>
      <c r="G27" s="133">
        <f t="shared" si="7"/>
        <v>0</v>
      </c>
      <c r="H27" s="143">
        <f t="shared" si="7"/>
        <v>0</v>
      </c>
      <c r="I27" s="135">
        <f t="shared" si="2"/>
        <v>11.330334628228719</v>
      </c>
      <c r="J27" s="135">
        <f t="shared" si="3"/>
        <v>26.6</v>
      </c>
      <c r="K27" s="133">
        <f t="shared" si="6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si="7"/>
        <v>0</v>
      </c>
      <c r="E28" s="133">
        <f t="shared" si="7"/>
        <v>27.13</v>
      </c>
      <c r="F28" s="135">
        <f t="shared" si="1"/>
        <v>11.556089415934029</v>
      </c>
      <c r="G28" s="133">
        <f t="shared" si="7"/>
        <v>0</v>
      </c>
      <c r="H28" s="143">
        <f t="shared" si="7"/>
        <v>0</v>
      </c>
      <c r="I28" s="135">
        <f t="shared" si="2"/>
        <v>11.556089415934029</v>
      </c>
      <c r="J28" s="135">
        <f t="shared" si="3"/>
        <v>27.13</v>
      </c>
      <c r="K28" s="133">
        <f t="shared" si="6"/>
        <v>0.94</v>
      </c>
      <c r="L28" s="124"/>
      <c r="P28" s="170"/>
    </row>
    <row r="29" spans="2:17">
      <c r="B29" s="141">
        <f t="shared" si="0"/>
        <v>2035</v>
      </c>
      <c r="C29" s="132">
        <f>$C$55</f>
        <v>1129.0663267642597</v>
      </c>
      <c r="D29" s="133">
        <f>C29*$C$62</f>
        <v>87.160084318455105</v>
      </c>
      <c r="E29" s="133">
        <f t="shared" ref="D29:E36" si="8">ROUND(E28*(1+$K66),2)</f>
        <v>27.67</v>
      </c>
      <c r="F29" s="135">
        <f t="shared" si="1"/>
        <v>48.912153410369008</v>
      </c>
      <c r="G29" s="133">
        <f t="shared" ref="G29:H36" si="9">ROUND(G28*(1+$K66),2)</f>
        <v>0</v>
      </c>
      <c r="H29" s="143">
        <f t="shared" si="9"/>
        <v>0</v>
      </c>
      <c r="I29" s="135">
        <f t="shared" si="2"/>
        <v>48.912153410369008</v>
      </c>
      <c r="J29" s="135">
        <f t="shared" si="3"/>
        <v>114.83</v>
      </c>
      <c r="K29" s="133">
        <f t="shared" ref="K29:K36" si="10"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8"/>
        <v>88.9</v>
      </c>
      <c r="E30" s="133">
        <f t="shared" si="8"/>
        <v>28.22</v>
      </c>
      <c r="F30" s="135">
        <f t="shared" si="1"/>
        <v>49.887548558576981</v>
      </c>
      <c r="G30" s="133">
        <f t="shared" si="9"/>
        <v>0</v>
      </c>
      <c r="H30" s="143">
        <f t="shared" si="9"/>
        <v>0</v>
      </c>
      <c r="I30" s="135">
        <f t="shared" si="2"/>
        <v>49.887548558576981</v>
      </c>
      <c r="J30" s="135">
        <f t="shared" si="3"/>
        <v>117.12</v>
      </c>
      <c r="K30" s="133">
        <f t="shared" si="10"/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8"/>
        <v>90.77</v>
      </c>
      <c r="E31" s="133">
        <f t="shared" si="8"/>
        <v>28.81</v>
      </c>
      <c r="F31" s="135">
        <f t="shared" si="1"/>
        <v>50.935391535473315</v>
      </c>
      <c r="G31" s="133">
        <f t="shared" si="9"/>
        <v>0</v>
      </c>
      <c r="H31" s="143">
        <f t="shared" si="9"/>
        <v>0</v>
      </c>
      <c r="I31" s="135">
        <f t="shared" si="2"/>
        <v>50.935391535473315</v>
      </c>
      <c r="J31" s="135">
        <f t="shared" si="3"/>
        <v>119.58</v>
      </c>
      <c r="K31" s="133">
        <f t="shared" si="10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8"/>
        <v>92.68</v>
      </c>
      <c r="E32" s="133">
        <f t="shared" si="8"/>
        <v>29.42</v>
      </c>
      <c r="F32" s="135">
        <f t="shared" si="1"/>
        <v>52.008791658147622</v>
      </c>
      <c r="G32" s="133">
        <f t="shared" si="9"/>
        <v>0</v>
      </c>
      <c r="H32" s="143">
        <f t="shared" si="9"/>
        <v>0</v>
      </c>
      <c r="I32" s="135">
        <f t="shared" si="2"/>
        <v>52.008791658147622</v>
      </c>
      <c r="J32" s="135">
        <f t="shared" si="3"/>
        <v>122.1</v>
      </c>
      <c r="K32" s="133">
        <f t="shared" si="10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8"/>
        <v>94.63</v>
      </c>
      <c r="E33" s="133">
        <f t="shared" si="8"/>
        <v>30.04</v>
      </c>
      <c r="F33" s="135">
        <f t="shared" si="1"/>
        <v>53.103489402303545</v>
      </c>
      <c r="G33" s="133">
        <f t="shared" si="9"/>
        <v>0</v>
      </c>
      <c r="H33" s="143">
        <f t="shared" si="9"/>
        <v>0</v>
      </c>
      <c r="I33" s="135">
        <f t="shared" si="2"/>
        <v>53.103489402303545</v>
      </c>
      <c r="J33" s="135">
        <f t="shared" si="3"/>
        <v>124.67</v>
      </c>
      <c r="K33" s="133">
        <f t="shared" si="10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8"/>
        <v>96.62</v>
      </c>
      <c r="E34" s="133">
        <f t="shared" si="8"/>
        <v>30.67</v>
      </c>
      <c r="F34" s="135">
        <f t="shared" si="1"/>
        <v>54.219484767941118</v>
      </c>
      <c r="G34" s="133">
        <f t="shared" si="9"/>
        <v>0</v>
      </c>
      <c r="H34" s="143">
        <f t="shared" si="9"/>
        <v>0</v>
      </c>
      <c r="I34" s="135">
        <f t="shared" si="2"/>
        <v>54.219484767941118</v>
      </c>
      <c r="J34" s="135">
        <f t="shared" si="3"/>
        <v>127.29</v>
      </c>
      <c r="K34" s="133">
        <f t="shared" si="10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8"/>
        <v>98.75</v>
      </c>
      <c r="E35" s="133">
        <f t="shared" si="8"/>
        <v>31.34</v>
      </c>
      <c r="F35" s="135">
        <f t="shared" si="1"/>
        <v>55.412151570912563</v>
      </c>
      <c r="G35" s="133">
        <f t="shared" si="9"/>
        <v>0</v>
      </c>
      <c r="H35" s="143">
        <f t="shared" si="9"/>
        <v>0</v>
      </c>
      <c r="I35" s="135">
        <f t="shared" si="2"/>
        <v>55.412151570912563</v>
      </c>
      <c r="J35" s="135">
        <f t="shared" si="3"/>
        <v>130.09</v>
      </c>
      <c r="K35" s="133">
        <f t="shared" si="10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8"/>
        <v>100.92</v>
      </c>
      <c r="E36" s="133">
        <f t="shared" si="8"/>
        <v>32.03</v>
      </c>
      <c r="F36" s="135">
        <f t="shared" si="1"/>
        <v>56.63037551966196</v>
      </c>
      <c r="G36" s="133">
        <f t="shared" si="9"/>
        <v>0</v>
      </c>
      <c r="H36" s="143">
        <f t="shared" si="9"/>
        <v>0</v>
      </c>
      <c r="I36" s="135">
        <f t="shared" si="2"/>
        <v>56.63037551966196</v>
      </c>
      <c r="J36" s="135">
        <f t="shared" si="3"/>
        <v>132.94999999999999</v>
      </c>
      <c r="K36" s="133">
        <f t="shared" si="10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tr">
        <f>'Table 3 UT Solar 2035 ST'!D44</f>
        <v>Plant Costs  - 2017 IRP Update - Table 5.4 &amp; 5.5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26.8%)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Utah Solar Resource-2035 - 27%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76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127</v>
      </c>
      <c r="C55" s="186">
        <v>1129.0663267642597</v>
      </c>
      <c r="D55" s="122" t="s">
        <v>75</v>
      </c>
      <c r="H55" s="122" t="s">
        <v>9</v>
      </c>
    </row>
    <row r="56" spans="2:24">
      <c r="B56" s="86" t="s">
        <v>112</v>
      </c>
      <c r="C56" s="155">
        <v>18.718009285501743</v>
      </c>
      <c r="D56" s="122" t="s">
        <v>78</v>
      </c>
      <c r="H56" s="122" t="s">
        <v>9</v>
      </c>
    </row>
    <row r="57" spans="2:24">
      <c r="B57" s="86" t="s">
        <v>112</v>
      </c>
      <c r="C57" s="160">
        <v>0.61668809999999996</v>
      </c>
      <c r="D57" s="122" t="s">
        <v>83</v>
      </c>
      <c r="H57" s="122" t="s">
        <v>80</v>
      </c>
    </row>
    <row r="58" spans="2:24">
      <c r="B58" s="86" t="s">
        <v>112</v>
      </c>
      <c r="C58" s="155">
        <v>0</v>
      </c>
      <c r="D58" s="122" t="s">
        <v>79</v>
      </c>
      <c r="H58" s="122" t="s">
        <v>80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158"/>
      <c r="L59" s="158"/>
      <c r="M59" s="159"/>
      <c r="N59" s="227"/>
      <c r="O59" s="22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227"/>
      <c r="O60" s="22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L62" s="165"/>
      <c r="M62" s="165"/>
      <c r="N62" s="157"/>
      <c r="O62" s="52"/>
      <c r="P62" s="159"/>
    </row>
    <row r="63" spans="2:24">
      <c r="C63" s="169">
        <v>0.26800000000000002</v>
      </c>
      <c r="D63" s="122" t="s">
        <v>39</v>
      </c>
      <c r="N63" s="227"/>
      <c r="O63" s="228"/>
      <c r="P63" s="172"/>
    </row>
    <row r="64" spans="2:24" ht="13.5" thickBot="1">
      <c r="D64" s="161"/>
      <c r="N64" s="227"/>
      <c r="O64" s="22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1">C66+1</f>
        <v>2018</v>
      </c>
      <c r="D67" s="41">
        <v>2.3E-2</v>
      </c>
      <c r="E67" s="86"/>
      <c r="F67" s="88">
        <f t="shared" ref="F67:F74" si="12">F66+1</f>
        <v>2027</v>
      </c>
      <c r="G67" s="41">
        <v>2.1999999999999999E-2</v>
      </c>
      <c r="H67" s="86"/>
      <c r="I67" s="88">
        <f t="shared" ref="I67:I74" si="13">I66+1</f>
        <v>2036</v>
      </c>
      <c r="J67" s="88"/>
      <c r="K67" s="41">
        <v>0.02</v>
      </c>
    </row>
    <row r="68" spans="3:11">
      <c r="C68" s="88">
        <f t="shared" si="11"/>
        <v>2019</v>
      </c>
      <c r="D68" s="41">
        <v>2.1999999999999999E-2</v>
      </c>
      <c r="E68" s="86"/>
      <c r="F68" s="88">
        <f t="shared" si="12"/>
        <v>2028</v>
      </c>
      <c r="G68" s="41">
        <v>2.1999999999999999E-2</v>
      </c>
      <c r="H68" s="86"/>
      <c r="I68" s="88">
        <f t="shared" si="13"/>
        <v>2037</v>
      </c>
      <c r="J68" s="88"/>
      <c r="K68" s="41">
        <v>2.1000000000000001E-2</v>
      </c>
    </row>
    <row r="69" spans="3:11">
      <c r="C69" s="88">
        <f t="shared" si="11"/>
        <v>2020</v>
      </c>
      <c r="D69" s="41">
        <v>2.5000000000000001E-2</v>
      </c>
      <c r="E69" s="86"/>
      <c r="F69" s="88">
        <f t="shared" si="12"/>
        <v>2029</v>
      </c>
      <c r="G69" s="41">
        <v>2.1000000000000001E-2</v>
      </c>
      <c r="H69" s="86"/>
      <c r="I69" s="88">
        <f t="shared" si="13"/>
        <v>2038</v>
      </c>
      <c r="J69" s="88"/>
      <c r="K69" s="41">
        <v>2.1000000000000001E-2</v>
      </c>
    </row>
    <row r="70" spans="3:11">
      <c r="C70" s="88">
        <f t="shared" si="11"/>
        <v>2021</v>
      </c>
      <c r="D70" s="41">
        <v>2.4E-2</v>
      </c>
      <c r="E70" s="86"/>
      <c r="F70" s="88">
        <f t="shared" si="12"/>
        <v>2030</v>
      </c>
      <c r="G70" s="41">
        <v>0.02</v>
      </c>
      <c r="H70" s="86"/>
      <c r="I70" s="88">
        <f t="shared" si="13"/>
        <v>2039</v>
      </c>
      <c r="J70" s="88"/>
      <c r="K70" s="41">
        <v>2.1000000000000001E-2</v>
      </c>
    </row>
    <row r="71" spans="3:11">
      <c r="C71" s="88">
        <f t="shared" si="11"/>
        <v>2022</v>
      </c>
      <c r="D71" s="41">
        <v>2.4E-2</v>
      </c>
      <c r="E71" s="86"/>
      <c r="F71" s="88">
        <f t="shared" si="12"/>
        <v>2031</v>
      </c>
      <c r="G71" s="41">
        <v>0.02</v>
      </c>
      <c r="H71" s="86"/>
      <c r="I71" s="88">
        <f t="shared" si="13"/>
        <v>2040</v>
      </c>
      <c r="J71" s="88"/>
      <c r="K71" s="41">
        <v>2.1000000000000001E-2</v>
      </c>
    </row>
    <row r="72" spans="3:11" s="124" customFormat="1">
      <c r="C72" s="88">
        <f t="shared" si="11"/>
        <v>2023</v>
      </c>
      <c r="D72" s="41">
        <v>2.4E-2</v>
      </c>
      <c r="E72" s="87"/>
      <c r="F72" s="88">
        <f t="shared" si="12"/>
        <v>2032</v>
      </c>
      <c r="G72" s="41">
        <v>0.02</v>
      </c>
      <c r="H72" s="87"/>
      <c r="I72" s="88">
        <f t="shared" si="13"/>
        <v>2041</v>
      </c>
      <c r="J72" s="88"/>
      <c r="K72" s="41">
        <v>2.1999999999999999E-2</v>
      </c>
    </row>
    <row r="73" spans="3:11" s="124" customFormat="1">
      <c r="C73" s="88">
        <f t="shared" si="11"/>
        <v>2024</v>
      </c>
      <c r="D73" s="41">
        <v>2.3E-2</v>
      </c>
      <c r="E73" s="87"/>
      <c r="F73" s="88">
        <f t="shared" si="12"/>
        <v>2033</v>
      </c>
      <c r="G73" s="41">
        <v>0.02</v>
      </c>
      <c r="H73" s="87"/>
      <c r="I73" s="88">
        <f t="shared" si="13"/>
        <v>2042</v>
      </c>
      <c r="J73" s="88"/>
      <c r="K73" s="41">
        <v>2.1999999999999999E-2</v>
      </c>
    </row>
    <row r="74" spans="3:11" s="124" customFormat="1">
      <c r="C74" s="88">
        <f t="shared" si="11"/>
        <v>2025</v>
      </c>
      <c r="D74" s="41">
        <v>2.3E-2</v>
      </c>
      <c r="E74" s="87"/>
      <c r="F74" s="88">
        <f t="shared" si="12"/>
        <v>2034</v>
      </c>
      <c r="G74" s="41">
        <v>0.02</v>
      </c>
      <c r="H74" s="87"/>
      <c r="I74" s="88">
        <f t="shared" si="13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2" width="9.33203125" style="122"/>
    <col min="13" max="13" width="9.6640625" style="122" bestFit="1" customWidth="1"/>
    <col min="14" max="15" width="17" style="122" customWidth="1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137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29%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26" t="s">
        <v>84</v>
      </c>
      <c r="J5" s="17" t="s">
        <v>55</v>
      </c>
      <c r="K5" s="126" t="s">
        <v>72</v>
      </c>
      <c r="P5" s="126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Oregon Solar Resource-2030 - 29%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33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/>
      <c r="E11" s="133">
        <f>$C$56</f>
        <v>19.720289118454605</v>
      </c>
      <c r="F11" s="134">
        <f t="shared" ref="F11:F36" si="1">(D11+E11)/(8.76*$C$63)</f>
        <v>7.8165783225736485</v>
      </c>
      <c r="G11" s="134">
        <f>$C$58</f>
        <v>0</v>
      </c>
      <c r="H11" s="133">
        <f>$C$59</f>
        <v>0</v>
      </c>
      <c r="I11" s="135">
        <f t="shared" ref="I11:I36" si="2">F11+H11+G11</f>
        <v>7.8165783225736485</v>
      </c>
      <c r="J11" s="135">
        <f t="shared" ref="J11:J36" si="3">ROUND(I11*$C$63*8.76,2)</f>
        <v>19.72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20.170000000000002</v>
      </c>
      <c r="F12" s="135">
        <f t="shared" si="1"/>
        <v>7.9948313039066479</v>
      </c>
      <c r="G12" s="133">
        <f t="shared" ref="G12:H19" si="5">ROUND(G11*(1+$D67),2)</f>
        <v>0</v>
      </c>
      <c r="H12" s="143">
        <f t="shared" si="5"/>
        <v>0</v>
      </c>
      <c r="I12" s="135">
        <f t="shared" si="2"/>
        <v>7.9948313039066479</v>
      </c>
      <c r="J12" s="135">
        <f t="shared" si="3"/>
        <v>20.170000000000002</v>
      </c>
      <c r="K12" s="133">
        <f t="shared" ref="K12:K19" si="6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/>
      <c r="E13" s="133">
        <f t="shared" si="4"/>
        <v>20.61</v>
      </c>
      <c r="F13" s="135">
        <f t="shared" si="1"/>
        <v>8.1692351598173527</v>
      </c>
      <c r="G13" s="133">
        <f t="shared" si="5"/>
        <v>0</v>
      </c>
      <c r="H13" s="143">
        <f t="shared" si="5"/>
        <v>0</v>
      </c>
      <c r="I13" s="135">
        <f t="shared" si="2"/>
        <v>8.1692351598173527</v>
      </c>
      <c r="J13" s="135">
        <f t="shared" si="3"/>
        <v>20.61</v>
      </c>
      <c r="K13" s="133">
        <f t="shared" si="6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/>
      <c r="E14" s="133">
        <f t="shared" si="4"/>
        <v>21.13</v>
      </c>
      <c r="F14" s="135">
        <f t="shared" si="1"/>
        <v>8.3753488077118217</v>
      </c>
      <c r="G14" s="133">
        <f t="shared" si="5"/>
        <v>0</v>
      </c>
      <c r="H14" s="143">
        <f t="shared" si="5"/>
        <v>0</v>
      </c>
      <c r="I14" s="135">
        <f t="shared" si="2"/>
        <v>8.3753488077118217</v>
      </c>
      <c r="J14" s="135">
        <f t="shared" si="3"/>
        <v>21.13</v>
      </c>
      <c r="K14" s="133">
        <f t="shared" si="6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21.64</v>
      </c>
      <c r="F15" s="135">
        <f t="shared" si="1"/>
        <v>8.5774987316083209</v>
      </c>
      <c r="G15" s="133">
        <f t="shared" si="5"/>
        <v>0</v>
      </c>
      <c r="H15" s="143">
        <f t="shared" si="5"/>
        <v>0</v>
      </c>
      <c r="I15" s="135">
        <f t="shared" si="2"/>
        <v>8.5774987316083209</v>
      </c>
      <c r="J15" s="135">
        <f t="shared" si="3"/>
        <v>21.64</v>
      </c>
      <c r="K15" s="133">
        <f t="shared" si="6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22.16</v>
      </c>
      <c r="F16" s="135">
        <f t="shared" si="1"/>
        <v>8.7836123795027916</v>
      </c>
      <c r="G16" s="133">
        <f t="shared" si="5"/>
        <v>0</v>
      </c>
      <c r="H16" s="143">
        <f t="shared" si="5"/>
        <v>0</v>
      </c>
      <c r="I16" s="135">
        <f t="shared" si="2"/>
        <v>8.7836123795027916</v>
      </c>
      <c r="J16" s="135">
        <f t="shared" si="3"/>
        <v>22.16</v>
      </c>
      <c r="K16" s="133">
        <f t="shared" si="6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/>
      <c r="E17" s="133">
        <f t="shared" si="4"/>
        <v>22.69</v>
      </c>
      <c r="F17" s="135">
        <f t="shared" si="1"/>
        <v>8.9936897513952321</v>
      </c>
      <c r="G17" s="133">
        <f t="shared" si="5"/>
        <v>0</v>
      </c>
      <c r="H17" s="143">
        <f t="shared" si="5"/>
        <v>0</v>
      </c>
      <c r="I17" s="135">
        <f t="shared" si="2"/>
        <v>8.9936897513952321</v>
      </c>
      <c r="J17" s="135">
        <f t="shared" si="3"/>
        <v>22.69</v>
      </c>
      <c r="K17" s="133">
        <f t="shared" si="6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/>
      <c r="E18" s="133">
        <f t="shared" si="4"/>
        <v>23.21</v>
      </c>
      <c r="F18" s="135">
        <f t="shared" si="1"/>
        <v>9.199803399289701</v>
      </c>
      <c r="G18" s="133">
        <f t="shared" si="5"/>
        <v>0</v>
      </c>
      <c r="H18" s="143">
        <f t="shared" si="5"/>
        <v>0</v>
      </c>
      <c r="I18" s="135">
        <f t="shared" si="2"/>
        <v>9.199803399289701</v>
      </c>
      <c r="J18" s="135">
        <f t="shared" si="3"/>
        <v>23.21</v>
      </c>
      <c r="K18" s="133">
        <f t="shared" si="6"/>
        <v>0.74</v>
      </c>
      <c r="L18" s="124"/>
      <c r="P18" s="170"/>
    </row>
    <row r="19" spans="2:17">
      <c r="B19" s="141">
        <f t="shared" si="0"/>
        <v>2025</v>
      </c>
      <c r="C19" s="142"/>
      <c r="D19" s="133"/>
      <c r="E19" s="133">
        <f t="shared" si="4"/>
        <v>23.74</v>
      </c>
      <c r="F19" s="135">
        <f t="shared" si="1"/>
        <v>9.4098807711821415</v>
      </c>
      <c r="G19" s="133">
        <f t="shared" si="5"/>
        <v>0</v>
      </c>
      <c r="H19" s="143">
        <f t="shared" si="5"/>
        <v>0</v>
      </c>
      <c r="I19" s="135">
        <f t="shared" si="2"/>
        <v>9.4098807711821415</v>
      </c>
      <c r="J19" s="135">
        <f t="shared" si="3"/>
        <v>23.74</v>
      </c>
      <c r="K19" s="133">
        <f t="shared" si="6"/>
        <v>0.76</v>
      </c>
      <c r="L19" s="124"/>
      <c r="P19" s="170"/>
    </row>
    <row r="20" spans="2:17">
      <c r="B20" s="141">
        <f t="shared" si="0"/>
        <v>2026</v>
      </c>
      <c r="C20" s="142"/>
      <c r="D20" s="133"/>
      <c r="E20" s="133">
        <f t="shared" ref="E20:E28" si="7">ROUND(E19*(1+$G66),2)</f>
        <v>24.26</v>
      </c>
      <c r="F20" s="135">
        <f t="shared" si="1"/>
        <v>9.6159944190766122</v>
      </c>
      <c r="G20" s="133">
        <f t="shared" ref="G20:H28" si="8">ROUND(G19*(1+$G66),2)</f>
        <v>0</v>
      </c>
      <c r="H20" s="143">
        <f t="shared" si="8"/>
        <v>0</v>
      </c>
      <c r="I20" s="135">
        <f t="shared" si="2"/>
        <v>9.6159944190766122</v>
      </c>
      <c r="J20" s="135">
        <f t="shared" si="3"/>
        <v>24.26</v>
      </c>
      <c r="K20" s="133">
        <f t="shared" ref="K20:K28" si="9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/>
      <c r="E21" s="133">
        <f t="shared" si="7"/>
        <v>24.79</v>
      </c>
      <c r="F21" s="135">
        <f t="shared" si="1"/>
        <v>9.8260717909690509</v>
      </c>
      <c r="G21" s="133">
        <f t="shared" si="8"/>
        <v>0</v>
      </c>
      <c r="H21" s="143">
        <f t="shared" si="8"/>
        <v>0</v>
      </c>
      <c r="I21" s="135">
        <f t="shared" si="2"/>
        <v>9.8260717909690509</v>
      </c>
      <c r="J21" s="135">
        <f t="shared" si="3"/>
        <v>24.79</v>
      </c>
      <c r="K21" s="133">
        <f t="shared" si="9"/>
        <v>0.8</v>
      </c>
      <c r="L21" s="124"/>
      <c r="P21" s="170"/>
    </row>
    <row r="22" spans="2:17">
      <c r="B22" s="141">
        <f t="shared" si="0"/>
        <v>2028</v>
      </c>
      <c r="C22" s="142"/>
      <c r="D22" s="133"/>
      <c r="E22" s="133">
        <f t="shared" si="7"/>
        <v>25.34</v>
      </c>
      <c r="F22" s="135">
        <f t="shared" si="1"/>
        <v>10.044076610857434</v>
      </c>
      <c r="G22" s="133">
        <f t="shared" si="8"/>
        <v>0</v>
      </c>
      <c r="H22" s="143">
        <f t="shared" si="8"/>
        <v>0</v>
      </c>
      <c r="I22" s="135">
        <f t="shared" si="2"/>
        <v>10.044076610857434</v>
      </c>
      <c r="J22" s="135">
        <f t="shared" si="3"/>
        <v>25.34</v>
      </c>
      <c r="K22" s="133">
        <f t="shared" si="9"/>
        <v>0.82</v>
      </c>
      <c r="L22" s="124"/>
      <c r="P22" s="170"/>
    </row>
    <row r="23" spans="2:17">
      <c r="B23" s="141">
        <f t="shared" si="0"/>
        <v>2029</v>
      </c>
      <c r="C23" s="142"/>
      <c r="D23" s="133"/>
      <c r="E23" s="133">
        <f t="shared" si="7"/>
        <v>25.87</v>
      </c>
      <c r="F23" s="135">
        <f t="shared" si="1"/>
        <v>10.254153982749875</v>
      </c>
      <c r="G23" s="133">
        <f t="shared" si="8"/>
        <v>0</v>
      </c>
      <c r="H23" s="143">
        <f t="shared" si="8"/>
        <v>0</v>
      </c>
      <c r="I23" s="135">
        <f t="shared" si="2"/>
        <v>10.254153982749875</v>
      </c>
      <c r="J23" s="135">
        <f t="shared" si="3"/>
        <v>25.87</v>
      </c>
      <c r="K23" s="133">
        <f t="shared" si="9"/>
        <v>0.84</v>
      </c>
      <c r="L23" s="124"/>
      <c r="P23" s="170"/>
    </row>
    <row r="24" spans="2:17">
      <c r="B24" s="141">
        <f t="shared" si="0"/>
        <v>2030</v>
      </c>
      <c r="C24" s="132">
        <f>$C$55</f>
        <v>1215.4108609806308</v>
      </c>
      <c r="D24" s="133">
        <f>C24*$C$62</f>
        <v>93.825588996381754</v>
      </c>
      <c r="E24" s="133">
        <f t="shared" si="7"/>
        <v>26.39</v>
      </c>
      <c r="F24" s="135">
        <f t="shared" si="1"/>
        <v>47.650141503512558</v>
      </c>
      <c r="G24" s="133">
        <f t="shared" si="8"/>
        <v>0</v>
      </c>
      <c r="H24" s="143">
        <f t="shared" si="8"/>
        <v>0</v>
      </c>
      <c r="I24" s="135">
        <f t="shared" si="2"/>
        <v>47.650141503512558</v>
      </c>
      <c r="J24" s="135">
        <f t="shared" si="3"/>
        <v>120.22</v>
      </c>
      <c r="K24" s="133">
        <f t="shared" si="9"/>
        <v>0.86</v>
      </c>
      <c r="L24" s="124"/>
      <c r="P24" s="170"/>
    </row>
    <row r="25" spans="2:17">
      <c r="B25" s="141">
        <f t="shared" si="0"/>
        <v>2031</v>
      </c>
      <c r="C25" s="142"/>
      <c r="D25" s="133">
        <f t="shared" ref="D25:D28" si="10">ROUND(D24*(1+$G71),2)</f>
        <v>95.7</v>
      </c>
      <c r="E25" s="133">
        <f t="shared" si="7"/>
        <v>26.92</v>
      </c>
      <c r="F25" s="135">
        <f t="shared" si="1"/>
        <v>48.603183663115175</v>
      </c>
      <c r="G25" s="133">
        <f t="shared" si="8"/>
        <v>0</v>
      </c>
      <c r="H25" s="143">
        <f t="shared" si="8"/>
        <v>0</v>
      </c>
      <c r="I25" s="135">
        <f t="shared" si="2"/>
        <v>48.603183663115175</v>
      </c>
      <c r="J25" s="135">
        <f t="shared" si="3"/>
        <v>122.62</v>
      </c>
      <c r="K25" s="133">
        <f t="shared" si="9"/>
        <v>0.88</v>
      </c>
      <c r="L25" s="124"/>
      <c r="P25" s="170"/>
    </row>
    <row r="26" spans="2:17">
      <c r="B26" s="141">
        <f t="shared" si="0"/>
        <v>2032</v>
      </c>
      <c r="C26" s="142"/>
      <c r="D26" s="133">
        <f t="shared" si="10"/>
        <v>97.61</v>
      </c>
      <c r="E26" s="133">
        <f t="shared" si="7"/>
        <v>27.46</v>
      </c>
      <c r="F26" s="135">
        <f t="shared" si="1"/>
        <v>49.574296042617959</v>
      </c>
      <c r="G26" s="133">
        <f t="shared" si="8"/>
        <v>0</v>
      </c>
      <c r="H26" s="143">
        <f t="shared" si="8"/>
        <v>0</v>
      </c>
      <c r="I26" s="135">
        <f t="shared" si="2"/>
        <v>49.574296042617959</v>
      </c>
      <c r="J26" s="135">
        <f t="shared" si="3"/>
        <v>125.07</v>
      </c>
      <c r="K26" s="133">
        <f t="shared" si="9"/>
        <v>0.9</v>
      </c>
      <c r="L26" s="124"/>
      <c r="P26" s="170"/>
    </row>
    <row r="27" spans="2:17">
      <c r="B27" s="141">
        <f t="shared" si="0"/>
        <v>2033</v>
      </c>
      <c r="C27" s="142"/>
      <c r="D27" s="133">
        <f t="shared" si="10"/>
        <v>99.56</v>
      </c>
      <c r="E27" s="133">
        <f t="shared" si="7"/>
        <v>28.01</v>
      </c>
      <c r="F27" s="135">
        <f t="shared" si="1"/>
        <v>50.565227042110614</v>
      </c>
      <c r="G27" s="133">
        <f t="shared" si="8"/>
        <v>0</v>
      </c>
      <c r="H27" s="143">
        <f t="shared" si="8"/>
        <v>0</v>
      </c>
      <c r="I27" s="135">
        <f t="shared" si="2"/>
        <v>50.565227042110614</v>
      </c>
      <c r="J27" s="135">
        <f t="shared" si="3"/>
        <v>127.57</v>
      </c>
      <c r="K27" s="133">
        <f t="shared" si="9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si="10"/>
        <v>101.55</v>
      </c>
      <c r="E28" s="133">
        <f t="shared" si="7"/>
        <v>28.57</v>
      </c>
      <c r="F28" s="135">
        <f t="shared" si="1"/>
        <v>51.575976661593103</v>
      </c>
      <c r="G28" s="133">
        <f t="shared" si="8"/>
        <v>0</v>
      </c>
      <c r="H28" s="143">
        <f t="shared" si="8"/>
        <v>0</v>
      </c>
      <c r="I28" s="135">
        <f t="shared" si="2"/>
        <v>51.575976661593103</v>
      </c>
      <c r="J28" s="135">
        <f t="shared" si="3"/>
        <v>130.12</v>
      </c>
      <c r="K28" s="133">
        <f t="shared" si="9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11">ROUND(D28*(1+$K66),2)</f>
        <v>103.58</v>
      </c>
      <c r="E29" s="133">
        <f t="shared" si="11"/>
        <v>29.14</v>
      </c>
      <c r="F29" s="135">
        <f t="shared" si="1"/>
        <v>52.606544901065455</v>
      </c>
      <c r="G29" s="133">
        <f t="shared" ref="G29:H36" si="12">ROUND(G28*(1+$K66),2)</f>
        <v>0</v>
      </c>
      <c r="H29" s="143">
        <f t="shared" si="12"/>
        <v>0</v>
      </c>
      <c r="I29" s="135">
        <f t="shared" si="2"/>
        <v>52.606544901065455</v>
      </c>
      <c r="J29" s="135">
        <f t="shared" si="3"/>
        <v>132.72</v>
      </c>
      <c r="K29" s="133">
        <f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1"/>
        <v>105.65</v>
      </c>
      <c r="E30" s="133">
        <f t="shared" si="11"/>
        <v>29.72</v>
      </c>
      <c r="F30" s="135">
        <f t="shared" si="1"/>
        <v>53.656931760527655</v>
      </c>
      <c r="G30" s="133">
        <f t="shared" si="12"/>
        <v>0</v>
      </c>
      <c r="H30" s="143">
        <f t="shared" si="12"/>
        <v>0</v>
      </c>
      <c r="I30" s="135">
        <f t="shared" si="2"/>
        <v>53.656931760527655</v>
      </c>
      <c r="J30" s="135">
        <f t="shared" si="3"/>
        <v>135.37</v>
      </c>
      <c r="K30" s="133">
        <f t="shared" ref="K30:K36" si="13">ROUND(K29*(1+$K67),2)</f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1"/>
        <v>107.87</v>
      </c>
      <c r="E31" s="133">
        <f t="shared" si="11"/>
        <v>30.34</v>
      </c>
      <c r="F31" s="135">
        <f t="shared" si="1"/>
        <v>54.782629375951302</v>
      </c>
      <c r="G31" s="133">
        <f t="shared" si="12"/>
        <v>0</v>
      </c>
      <c r="H31" s="143">
        <f t="shared" si="12"/>
        <v>0</v>
      </c>
      <c r="I31" s="135">
        <f t="shared" si="2"/>
        <v>54.782629375951302</v>
      </c>
      <c r="J31" s="135">
        <f t="shared" si="3"/>
        <v>138.21</v>
      </c>
      <c r="K31" s="133">
        <f t="shared" si="13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1"/>
        <v>110.14</v>
      </c>
      <c r="E32" s="133">
        <f t="shared" si="11"/>
        <v>30.98</v>
      </c>
      <c r="F32" s="135">
        <f t="shared" si="1"/>
        <v>55.936073059360737</v>
      </c>
      <c r="G32" s="133">
        <f t="shared" si="12"/>
        <v>0</v>
      </c>
      <c r="H32" s="143">
        <f t="shared" si="12"/>
        <v>0</v>
      </c>
      <c r="I32" s="135">
        <f t="shared" si="2"/>
        <v>55.936073059360737</v>
      </c>
      <c r="J32" s="135">
        <f t="shared" si="3"/>
        <v>141.12</v>
      </c>
      <c r="K32" s="133">
        <f t="shared" si="13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1"/>
        <v>112.45</v>
      </c>
      <c r="E33" s="133">
        <f t="shared" si="11"/>
        <v>31.63</v>
      </c>
      <c r="F33" s="135">
        <f t="shared" si="1"/>
        <v>57.109335362760028</v>
      </c>
      <c r="G33" s="133">
        <f t="shared" si="12"/>
        <v>0</v>
      </c>
      <c r="H33" s="143">
        <f t="shared" si="12"/>
        <v>0</v>
      </c>
      <c r="I33" s="135">
        <f t="shared" si="2"/>
        <v>57.109335362760028</v>
      </c>
      <c r="J33" s="135">
        <f t="shared" si="3"/>
        <v>144.08000000000001</v>
      </c>
      <c r="K33" s="133">
        <f t="shared" si="13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1"/>
        <v>114.81</v>
      </c>
      <c r="E34" s="133">
        <f t="shared" si="11"/>
        <v>32.29</v>
      </c>
      <c r="F34" s="135">
        <f t="shared" si="1"/>
        <v>58.306380010147137</v>
      </c>
      <c r="G34" s="133">
        <f t="shared" si="12"/>
        <v>0</v>
      </c>
      <c r="H34" s="143">
        <f t="shared" si="12"/>
        <v>0</v>
      </c>
      <c r="I34" s="135">
        <f t="shared" si="2"/>
        <v>58.306380010147137</v>
      </c>
      <c r="J34" s="135">
        <f t="shared" si="3"/>
        <v>147.1</v>
      </c>
      <c r="K34" s="133">
        <f t="shared" si="13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1"/>
        <v>117.34</v>
      </c>
      <c r="E35" s="133">
        <f t="shared" si="11"/>
        <v>33</v>
      </c>
      <c r="F35" s="135">
        <f t="shared" si="1"/>
        <v>59.590626585489602</v>
      </c>
      <c r="G35" s="133">
        <f t="shared" si="12"/>
        <v>0</v>
      </c>
      <c r="H35" s="143">
        <f t="shared" si="12"/>
        <v>0</v>
      </c>
      <c r="I35" s="135">
        <f t="shared" si="2"/>
        <v>59.590626585489602</v>
      </c>
      <c r="J35" s="135">
        <f t="shared" si="3"/>
        <v>150.34</v>
      </c>
      <c r="K35" s="133">
        <f t="shared" si="13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1"/>
        <v>119.92</v>
      </c>
      <c r="E36" s="133">
        <f t="shared" si="11"/>
        <v>33.729999999999997</v>
      </c>
      <c r="F36" s="135">
        <f t="shared" si="1"/>
        <v>60.902619228817869</v>
      </c>
      <c r="G36" s="133">
        <f t="shared" si="12"/>
        <v>0</v>
      </c>
      <c r="H36" s="143">
        <f t="shared" si="12"/>
        <v>0</v>
      </c>
      <c r="I36" s="135">
        <f t="shared" si="2"/>
        <v>60.902619228817869</v>
      </c>
      <c r="J36" s="135">
        <f t="shared" si="3"/>
        <v>153.65</v>
      </c>
      <c r="K36" s="133">
        <f t="shared" si="13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tr">
        <f>'Table 3 YK Solar 2033'!D44</f>
        <v>Plant Costs  - 2017 IRP Update - Table 5.4 &amp; 5.5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28.8%)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Oregon Solar Resource-2030 - 29%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82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120</v>
      </c>
      <c r="C55" s="186">
        <v>1215.4108609806308</v>
      </c>
      <c r="D55" s="122" t="s">
        <v>75</v>
      </c>
      <c r="H55" s="122" t="s">
        <v>9</v>
      </c>
    </row>
    <row r="56" spans="2:24">
      <c r="B56" s="86" t="s">
        <v>112</v>
      </c>
      <c r="C56" s="155">
        <v>19.720289118454605</v>
      </c>
      <c r="D56" s="122" t="s">
        <v>78</v>
      </c>
      <c r="H56" s="122" t="s">
        <v>9</v>
      </c>
    </row>
    <row r="57" spans="2:24">
      <c r="B57" s="86" t="s">
        <v>112</v>
      </c>
      <c r="C57" s="160">
        <v>0.61668809999999996</v>
      </c>
      <c r="D57" s="122" t="s">
        <v>83</v>
      </c>
      <c r="H57" s="122" t="s">
        <v>80</v>
      </c>
    </row>
    <row r="58" spans="2:24">
      <c r="B58" s="86" t="s">
        <v>112</v>
      </c>
      <c r="C58" s="155">
        <v>0</v>
      </c>
      <c r="D58" s="122" t="s">
        <v>79</v>
      </c>
      <c r="H58" s="122" t="s">
        <v>80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158"/>
      <c r="L59" s="158"/>
      <c r="N59" s="158"/>
      <c r="O59" s="17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N60" s="158"/>
      <c r="O60" s="17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N62" s="157"/>
      <c r="O62" s="52"/>
      <c r="P62" s="159"/>
    </row>
    <row r="63" spans="2:24">
      <c r="C63" s="169">
        <v>0.28799999999999998</v>
      </c>
      <c r="D63" s="122" t="s">
        <v>39</v>
      </c>
      <c r="N63" s="158"/>
      <c r="O63" s="178"/>
      <c r="P63" s="172"/>
    </row>
    <row r="64" spans="2:24" ht="13.5" thickBot="1">
      <c r="D64" s="161"/>
      <c r="N64" s="158"/>
      <c r="O64" s="17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4">C66+1</f>
        <v>2018</v>
      </c>
      <c r="D67" s="41">
        <v>2.3E-2</v>
      </c>
      <c r="E67" s="86"/>
      <c r="F67" s="88">
        <f t="shared" ref="F67:F74" si="15">F66+1</f>
        <v>2027</v>
      </c>
      <c r="G67" s="41">
        <v>2.1999999999999999E-2</v>
      </c>
      <c r="H67" s="86"/>
      <c r="I67" s="88">
        <f t="shared" ref="I67:I74" si="16">I66+1</f>
        <v>2036</v>
      </c>
      <c r="J67" s="88"/>
      <c r="K67" s="41">
        <v>0.02</v>
      </c>
    </row>
    <row r="68" spans="3:11">
      <c r="C68" s="88">
        <f t="shared" si="14"/>
        <v>2019</v>
      </c>
      <c r="D68" s="41">
        <v>2.1999999999999999E-2</v>
      </c>
      <c r="E68" s="86"/>
      <c r="F68" s="88">
        <f t="shared" si="15"/>
        <v>2028</v>
      </c>
      <c r="G68" s="41">
        <v>2.1999999999999999E-2</v>
      </c>
      <c r="H68" s="86"/>
      <c r="I68" s="88">
        <f t="shared" si="16"/>
        <v>2037</v>
      </c>
      <c r="J68" s="88"/>
      <c r="K68" s="41">
        <v>2.1000000000000001E-2</v>
      </c>
    </row>
    <row r="69" spans="3:11">
      <c r="C69" s="88">
        <f t="shared" si="14"/>
        <v>2020</v>
      </c>
      <c r="D69" s="41">
        <v>2.5000000000000001E-2</v>
      </c>
      <c r="E69" s="86"/>
      <c r="F69" s="88">
        <f t="shared" si="15"/>
        <v>2029</v>
      </c>
      <c r="G69" s="41">
        <v>2.1000000000000001E-2</v>
      </c>
      <c r="H69" s="86"/>
      <c r="I69" s="88">
        <f t="shared" si="16"/>
        <v>2038</v>
      </c>
      <c r="J69" s="88"/>
      <c r="K69" s="41">
        <v>2.1000000000000001E-2</v>
      </c>
    </row>
    <row r="70" spans="3:11">
      <c r="C70" s="88">
        <f t="shared" si="14"/>
        <v>2021</v>
      </c>
      <c r="D70" s="41">
        <v>2.4E-2</v>
      </c>
      <c r="E70" s="86"/>
      <c r="F70" s="88">
        <f t="shared" si="15"/>
        <v>2030</v>
      </c>
      <c r="G70" s="41">
        <v>0.02</v>
      </c>
      <c r="H70" s="86"/>
      <c r="I70" s="88">
        <f t="shared" si="16"/>
        <v>2039</v>
      </c>
      <c r="J70" s="88"/>
      <c r="K70" s="41">
        <v>2.1000000000000001E-2</v>
      </c>
    </row>
    <row r="71" spans="3:11">
      <c r="C71" s="88">
        <f t="shared" si="14"/>
        <v>2022</v>
      </c>
      <c r="D71" s="41">
        <v>2.4E-2</v>
      </c>
      <c r="E71" s="86"/>
      <c r="F71" s="88">
        <f t="shared" si="15"/>
        <v>2031</v>
      </c>
      <c r="G71" s="41">
        <v>0.02</v>
      </c>
      <c r="H71" s="86"/>
      <c r="I71" s="88">
        <f t="shared" si="16"/>
        <v>2040</v>
      </c>
      <c r="J71" s="88"/>
      <c r="K71" s="41">
        <v>2.1000000000000001E-2</v>
      </c>
    </row>
    <row r="72" spans="3:11" s="124" customFormat="1">
      <c r="C72" s="88">
        <f t="shared" si="14"/>
        <v>2023</v>
      </c>
      <c r="D72" s="41">
        <v>2.4E-2</v>
      </c>
      <c r="E72" s="87"/>
      <c r="F72" s="88">
        <f t="shared" si="15"/>
        <v>2032</v>
      </c>
      <c r="G72" s="41">
        <v>0.02</v>
      </c>
      <c r="H72" s="87"/>
      <c r="I72" s="88">
        <f t="shared" si="16"/>
        <v>2041</v>
      </c>
      <c r="J72" s="88"/>
      <c r="K72" s="41">
        <v>2.1999999999999999E-2</v>
      </c>
    </row>
    <row r="73" spans="3:11" s="124" customFormat="1">
      <c r="C73" s="88">
        <f t="shared" si="14"/>
        <v>2024</v>
      </c>
      <c r="D73" s="41">
        <v>2.3E-2</v>
      </c>
      <c r="E73" s="87"/>
      <c r="F73" s="88">
        <f t="shared" si="15"/>
        <v>2033</v>
      </c>
      <c r="G73" s="41">
        <v>0.02</v>
      </c>
      <c r="H73" s="87"/>
      <c r="I73" s="88">
        <f t="shared" si="16"/>
        <v>2042</v>
      </c>
      <c r="J73" s="88"/>
      <c r="K73" s="41">
        <v>2.1999999999999999E-2</v>
      </c>
    </row>
    <row r="74" spans="3:11" s="124" customFormat="1">
      <c r="C74" s="88">
        <f t="shared" si="14"/>
        <v>2025</v>
      </c>
      <c r="D74" s="41">
        <v>2.3E-2</v>
      </c>
      <c r="E74" s="87"/>
      <c r="F74" s="88">
        <f t="shared" si="15"/>
        <v>2034</v>
      </c>
      <c r="G74" s="41">
        <v>0.02</v>
      </c>
      <c r="H74" s="87"/>
      <c r="I74" s="88">
        <f t="shared" si="16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2" width="9.33203125" style="122"/>
    <col min="13" max="13" width="9.6640625" style="122" bestFit="1" customWidth="1"/>
    <col min="14" max="15" width="17" style="122" customWidth="1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138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29%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26" t="s">
        <v>84</v>
      </c>
      <c r="J5" s="17" t="s">
        <v>55</v>
      </c>
      <c r="K5" s="126" t="s">
        <v>72</v>
      </c>
      <c r="P5" s="126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Oregon Solar Resource-2031 - 29%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33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/>
      <c r="E11" s="133">
        <f>$C$56</f>
        <v>19.720289118454605</v>
      </c>
      <c r="F11" s="134">
        <f t="shared" ref="F11:F36" si="1">(D11+E11)/(8.76*$C$63)</f>
        <v>7.8165783225736485</v>
      </c>
      <c r="G11" s="134">
        <f>$C$58</f>
        <v>0</v>
      </c>
      <c r="H11" s="133">
        <f>$C$59</f>
        <v>0</v>
      </c>
      <c r="I11" s="135">
        <f t="shared" ref="I11:I36" si="2">F11+H11+G11</f>
        <v>7.8165783225736485</v>
      </c>
      <c r="J11" s="135">
        <f t="shared" ref="J11:J36" si="3">ROUND(I11*$C$63*8.76,2)</f>
        <v>19.72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20.170000000000002</v>
      </c>
      <c r="F12" s="135">
        <f t="shared" si="1"/>
        <v>7.9948313039066479</v>
      </c>
      <c r="G12" s="133">
        <f t="shared" ref="G12:H19" si="5">ROUND(G11*(1+$D67),2)</f>
        <v>0</v>
      </c>
      <c r="H12" s="143">
        <f t="shared" si="5"/>
        <v>0</v>
      </c>
      <c r="I12" s="135">
        <f t="shared" si="2"/>
        <v>7.9948313039066479</v>
      </c>
      <c r="J12" s="135">
        <f t="shared" si="3"/>
        <v>20.170000000000002</v>
      </c>
      <c r="K12" s="133">
        <f t="shared" ref="K12:K19" si="6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/>
      <c r="E13" s="133">
        <f t="shared" si="4"/>
        <v>20.61</v>
      </c>
      <c r="F13" s="135">
        <f t="shared" si="1"/>
        <v>8.1692351598173527</v>
      </c>
      <c r="G13" s="133">
        <f t="shared" si="5"/>
        <v>0</v>
      </c>
      <c r="H13" s="143">
        <f t="shared" si="5"/>
        <v>0</v>
      </c>
      <c r="I13" s="135">
        <f t="shared" si="2"/>
        <v>8.1692351598173527</v>
      </c>
      <c r="J13" s="135">
        <f t="shared" si="3"/>
        <v>20.61</v>
      </c>
      <c r="K13" s="133">
        <f t="shared" si="6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/>
      <c r="E14" s="133">
        <f t="shared" si="4"/>
        <v>21.13</v>
      </c>
      <c r="F14" s="135">
        <f t="shared" si="1"/>
        <v>8.3753488077118217</v>
      </c>
      <c r="G14" s="133">
        <f t="shared" si="5"/>
        <v>0</v>
      </c>
      <c r="H14" s="143">
        <f t="shared" si="5"/>
        <v>0</v>
      </c>
      <c r="I14" s="135">
        <f t="shared" si="2"/>
        <v>8.3753488077118217</v>
      </c>
      <c r="J14" s="135">
        <f t="shared" si="3"/>
        <v>21.13</v>
      </c>
      <c r="K14" s="133">
        <f t="shared" si="6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21.64</v>
      </c>
      <c r="F15" s="135">
        <f t="shared" si="1"/>
        <v>8.5774987316083209</v>
      </c>
      <c r="G15" s="133">
        <f t="shared" si="5"/>
        <v>0</v>
      </c>
      <c r="H15" s="143">
        <f t="shared" si="5"/>
        <v>0</v>
      </c>
      <c r="I15" s="135">
        <f t="shared" si="2"/>
        <v>8.5774987316083209</v>
      </c>
      <c r="J15" s="135">
        <f t="shared" si="3"/>
        <v>21.64</v>
      </c>
      <c r="K15" s="133">
        <f t="shared" si="6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22.16</v>
      </c>
      <c r="F16" s="135">
        <f t="shared" si="1"/>
        <v>8.7836123795027916</v>
      </c>
      <c r="G16" s="133">
        <f t="shared" si="5"/>
        <v>0</v>
      </c>
      <c r="H16" s="143">
        <f t="shared" si="5"/>
        <v>0</v>
      </c>
      <c r="I16" s="135">
        <f t="shared" si="2"/>
        <v>8.7836123795027916</v>
      </c>
      <c r="J16" s="135">
        <f t="shared" si="3"/>
        <v>22.16</v>
      </c>
      <c r="K16" s="133">
        <f t="shared" si="6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/>
      <c r="E17" s="133">
        <f t="shared" si="4"/>
        <v>22.69</v>
      </c>
      <c r="F17" s="135">
        <f t="shared" si="1"/>
        <v>8.9936897513952321</v>
      </c>
      <c r="G17" s="133">
        <f t="shared" si="5"/>
        <v>0</v>
      </c>
      <c r="H17" s="143">
        <f t="shared" si="5"/>
        <v>0</v>
      </c>
      <c r="I17" s="135">
        <f t="shared" si="2"/>
        <v>8.9936897513952321</v>
      </c>
      <c r="J17" s="135">
        <f t="shared" si="3"/>
        <v>22.69</v>
      </c>
      <c r="K17" s="133">
        <f t="shared" si="6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/>
      <c r="E18" s="133">
        <f t="shared" si="4"/>
        <v>23.21</v>
      </c>
      <c r="F18" s="135">
        <f t="shared" si="1"/>
        <v>9.199803399289701</v>
      </c>
      <c r="G18" s="133">
        <f t="shared" si="5"/>
        <v>0</v>
      </c>
      <c r="H18" s="143">
        <f t="shared" si="5"/>
        <v>0</v>
      </c>
      <c r="I18" s="135">
        <f t="shared" si="2"/>
        <v>9.199803399289701</v>
      </c>
      <c r="J18" s="135">
        <f t="shared" si="3"/>
        <v>23.21</v>
      </c>
      <c r="K18" s="133">
        <f t="shared" si="6"/>
        <v>0.74</v>
      </c>
      <c r="L18" s="124"/>
      <c r="P18" s="170"/>
    </row>
    <row r="19" spans="2:17">
      <c r="B19" s="141">
        <f t="shared" si="0"/>
        <v>2025</v>
      </c>
      <c r="C19" s="142"/>
      <c r="D19" s="133"/>
      <c r="E19" s="133">
        <f t="shared" si="4"/>
        <v>23.74</v>
      </c>
      <c r="F19" s="135">
        <f t="shared" si="1"/>
        <v>9.4098807711821415</v>
      </c>
      <c r="G19" s="133">
        <f t="shared" si="5"/>
        <v>0</v>
      </c>
      <c r="H19" s="143">
        <f t="shared" si="5"/>
        <v>0</v>
      </c>
      <c r="I19" s="135">
        <f t="shared" si="2"/>
        <v>9.4098807711821415</v>
      </c>
      <c r="J19" s="135">
        <f t="shared" si="3"/>
        <v>23.74</v>
      </c>
      <c r="K19" s="133">
        <f t="shared" si="6"/>
        <v>0.76</v>
      </c>
      <c r="L19" s="124"/>
      <c r="P19" s="170"/>
    </row>
    <row r="20" spans="2:17">
      <c r="B20" s="141">
        <f t="shared" si="0"/>
        <v>2026</v>
      </c>
      <c r="C20" s="142"/>
      <c r="D20" s="133"/>
      <c r="E20" s="133">
        <f t="shared" ref="E20:E28" si="7">ROUND(E19*(1+$G66),2)</f>
        <v>24.26</v>
      </c>
      <c r="F20" s="135">
        <f t="shared" si="1"/>
        <v>9.6159944190766122</v>
      </c>
      <c r="G20" s="133">
        <f t="shared" ref="G20:H28" si="8">ROUND(G19*(1+$G66),2)</f>
        <v>0</v>
      </c>
      <c r="H20" s="143">
        <f t="shared" si="8"/>
        <v>0</v>
      </c>
      <c r="I20" s="135">
        <f t="shared" si="2"/>
        <v>9.6159944190766122</v>
      </c>
      <c r="J20" s="135">
        <f t="shared" si="3"/>
        <v>24.26</v>
      </c>
      <c r="K20" s="133">
        <f t="shared" ref="K20:K28" si="9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/>
      <c r="E21" s="133">
        <f t="shared" si="7"/>
        <v>24.79</v>
      </c>
      <c r="F21" s="135">
        <f t="shared" si="1"/>
        <v>9.8260717909690509</v>
      </c>
      <c r="G21" s="133">
        <f t="shared" si="8"/>
        <v>0</v>
      </c>
      <c r="H21" s="143">
        <f t="shared" si="8"/>
        <v>0</v>
      </c>
      <c r="I21" s="135">
        <f t="shared" si="2"/>
        <v>9.8260717909690509</v>
      </c>
      <c r="J21" s="135">
        <f t="shared" si="3"/>
        <v>24.79</v>
      </c>
      <c r="K21" s="133">
        <f t="shared" si="9"/>
        <v>0.8</v>
      </c>
      <c r="L21" s="124"/>
      <c r="P21" s="170"/>
    </row>
    <row r="22" spans="2:17">
      <c r="B22" s="141">
        <f t="shared" si="0"/>
        <v>2028</v>
      </c>
      <c r="C22" s="142"/>
      <c r="D22" s="133"/>
      <c r="E22" s="133">
        <f t="shared" si="7"/>
        <v>25.34</v>
      </c>
      <c r="F22" s="135">
        <f t="shared" si="1"/>
        <v>10.044076610857434</v>
      </c>
      <c r="G22" s="133">
        <f t="shared" si="8"/>
        <v>0</v>
      </c>
      <c r="H22" s="143">
        <f t="shared" si="8"/>
        <v>0</v>
      </c>
      <c r="I22" s="135">
        <f t="shared" si="2"/>
        <v>10.044076610857434</v>
      </c>
      <c r="J22" s="135">
        <f t="shared" si="3"/>
        <v>25.34</v>
      </c>
      <c r="K22" s="133">
        <f t="shared" si="9"/>
        <v>0.82</v>
      </c>
      <c r="L22" s="124"/>
      <c r="P22" s="170"/>
    </row>
    <row r="23" spans="2:17">
      <c r="B23" s="141">
        <f t="shared" si="0"/>
        <v>2029</v>
      </c>
      <c r="C23" s="142"/>
      <c r="D23" s="133"/>
      <c r="E23" s="133">
        <f t="shared" si="7"/>
        <v>25.87</v>
      </c>
      <c r="F23" s="135">
        <f t="shared" si="1"/>
        <v>10.254153982749875</v>
      </c>
      <c r="G23" s="133">
        <f t="shared" si="8"/>
        <v>0</v>
      </c>
      <c r="H23" s="143">
        <f t="shared" si="8"/>
        <v>0</v>
      </c>
      <c r="I23" s="135">
        <f t="shared" si="2"/>
        <v>10.254153982749875</v>
      </c>
      <c r="J23" s="135">
        <f t="shared" si="3"/>
        <v>25.87</v>
      </c>
      <c r="K23" s="133">
        <f t="shared" si="9"/>
        <v>0.84</v>
      </c>
      <c r="L23" s="124"/>
      <c r="P23" s="170"/>
    </row>
    <row r="24" spans="2:17">
      <c r="B24" s="141">
        <f t="shared" si="0"/>
        <v>2030</v>
      </c>
      <c r="C24" s="132"/>
      <c r="D24" s="133"/>
      <c r="E24" s="133">
        <f t="shared" si="7"/>
        <v>26.39</v>
      </c>
      <c r="F24" s="135">
        <f t="shared" si="1"/>
        <v>10.460267630644344</v>
      </c>
      <c r="G24" s="133">
        <f t="shared" si="8"/>
        <v>0</v>
      </c>
      <c r="H24" s="143">
        <f t="shared" si="8"/>
        <v>0</v>
      </c>
      <c r="I24" s="135">
        <f t="shared" si="2"/>
        <v>10.460267630644344</v>
      </c>
      <c r="J24" s="135">
        <f t="shared" si="3"/>
        <v>26.39</v>
      </c>
      <c r="K24" s="133">
        <f t="shared" si="9"/>
        <v>0.86</v>
      </c>
      <c r="L24" s="124"/>
      <c r="P24" s="170"/>
    </row>
    <row r="25" spans="2:17">
      <c r="B25" s="141">
        <f t="shared" si="0"/>
        <v>2031</v>
      </c>
      <c r="C25" s="132">
        <f>$C$55</f>
        <v>1208.4830190730411</v>
      </c>
      <c r="D25" s="133">
        <f>C25*$C$62</f>
        <v>93.290783139102373</v>
      </c>
      <c r="E25" s="133">
        <f t="shared" si="7"/>
        <v>26.92</v>
      </c>
      <c r="F25" s="135">
        <f t="shared" si="1"/>
        <v>47.648236594329646</v>
      </c>
      <c r="G25" s="133">
        <f t="shared" si="8"/>
        <v>0</v>
      </c>
      <c r="H25" s="143">
        <f t="shared" si="8"/>
        <v>0</v>
      </c>
      <c r="I25" s="135">
        <f t="shared" si="2"/>
        <v>47.648236594329646</v>
      </c>
      <c r="J25" s="135">
        <f t="shared" si="3"/>
        <v>120.21</v>
      </c>
      <c r="K25" s="133">
        <f t="shared" si="9"/>
        <v>0.88</v>
      </c>
      <c r="L25" s="124"/>
      <c r="P25" s="170"/>
    </row>
    <row r="26" spans="2:17">
      <c r="B26" s="141">
        <f t="shared" si="0"/>
        <v>2032</v>
      </c>
      <c r="C26" s="142"/>
      <c r="D26" s="133">
        <f t="shared" ref="D26:D28" si="10">ROUND(D25*(1+$G72),2)</f>
        <v>95.16</v>
      </c>
      <c r="E26" s="133">
        <f t="shared" si="7"/>
        <v>27.46</v>
      </c>
      <c r="F26" s="135">
        <f t="shared" si="1"/>
        <v>48.603183663115175</v>
      </c>
      <c r="G26" s="133">
        <f t="shared" si="8"/>
        <v>0</v>
      </c>
      <c r="H26" s="143">
        <f t="shared" si="8"/>
        <v>0</v>
      </c>
      <c r="I26" s="135">
        <f t="shared" si="2"/>
        <v>48.603183663115175</v>
      </c>
      <c r="J26" s="135">
        <f t="shared" si="3"/>
        <v>122.62</v>
      </c>
      <c r="K26" s="133">
        <f t="shared" si="9"/>
        <v>0.9</v>
      </c>
      <c r="L26" s="124"/>
      <c r="P26" s="170"/>
    </row>
    <row r="27" spans="2:17">
      <c r="B27" s="141">
        <f t="shared" si="0"/>
        <v>2033</v>
      </c>
      <c r="C27" s="142"/>
      <c r="D27" s="133">
        <f t="shared" si="10"/>
        <v>97.06</v>
      </c>
      <c r="E27" s="133">
        <f t="shared" si="7"/>
        <v>28.01</v>
      </c>
      <c r="F27" s="135">
        <f t="shared" si="1"/>
        <v>49.574296042617966</v>
      </c>
      <c r="G27" s="133">
        <f t="shared" si="8"/>
        <v>0</v>
      </c>
      <c r="H27" s="143">
        <f t="shared" si="8"/>
        <v>0</v>
      </c>
      <c r="I27" s="135">
        <f t="shared" si="2"/>
        <v>49.574296042617966</v>
      </c>
      <c r="J27" s="135">
        <f t="shared" si="3"/>
        <v>125.07</v>
      </c>
      <c r="K27" s="133">
        <f t="shared" si="9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si="10"/>
        <v>99</v>
      </c>
      <c r="E28" s="133">
        <f t="shared" si="7"/>
        <v>28.57</v>
      </c>
      <c r="F28" s="135">
        <f t="shared" si="1"/>
        <v>50.565227042110607</v>
      </c>
      <c r="G28" s="133">
        <f t="shared" si="8"/>
        <v>0</v>
      </c>
      <c r="H28" s="143">
        <f t="shared" si="8"/>
        <v>0</v>
      </c>
      <c r="I28" s="135">
        <f t="shared" si="2"/>
        <v>50.565227042110607</v>
      </c>
      <c r="J28" s="135">
        <f t="shared" si="3"/>
        <v>127.57</v>
      </c>
      <c r="K28" s="133">
        <f t="shared" si="9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11">ROUND(D28*(1+$K66),2)</f>
        <v>100.98</v>
      </c>
      <c r="E29" s="133">
        <f t="shared" si="11"/>
        <v>29.14</v>
      </c>
      <c r="F29" s="135">
        <f t="shared" si="1"/>
        <v>51.575976661593103</v>
      </c>
      <c r="G29" s="133">
        <f t="shared" ref="G29:H36" si="12">ROUND(G28*(1+$K66),2)</f>
        <v>0</v>
      </c>
      <c r="H29" s="143">
        <f t="shared" si="12"/>
        <v>0</v>
      </c>
      <c r="I29" s="135">
        <f t="shared" si="2"/>
        <v>51.575976661593103</v>
      </c>
      <c r="J29" s="135">
        <f t="shared" si="3"/>
        <v>130.12</v>
      </c>
      <c r="K29" s="133">
        <f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1"/>
        <v>103</v>
      </c>
      <c r="E30" s="133">
        <f t="shared" si="11"/>
        <v>29.72</v>
      </c>
      <c r="F30" s="135">
        <f t="shared" si="1"/>
        <v>52.606544901065455</v>
      </c>
      <c r="G30" s="133">
        <f t="shared" si="12"/>
        <v>0</v>
      </c>
      <c r="H30" s="143">
        <f t="shared" si="12"/>
        <v>0</v>
      </c>
      <c r="I30" s="135">
        <f t="shared" si="2"/>
        <v>52.606544901065455</v>
      </c>
      <c r="J30" s="135">
        <f t="shared" si="3"/>
        <v>132.72</v>
      </c>
      <c r="K30" s="133">
        <f t="shared" ref="K30:K36" si="13">ROUND(K29*(1+$K67),2)</f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1"/>
        <v>105.16</v>
      </c>
      <c r="E31" s="133">
        <f t="shared" si="11"/>
        <v>30.34</v>
      </c>
      <c r="F31" s="135">
        <f t="shared" si="1"/>
        <v>53.708460172501276</v>
      </c>
      <c r="G31" s="133">
        <f t="shared" si="12"/>
        <v>0</v>
      </c>
      <c r="H31" s="143">
        <f t="shared" si="12"/>
        <v>0</v>
      </c>
      <c r="I31" s="135">
        <f t="shared" si="2"/>
        <v>53.708460172501276</v>
      </c>
      <c r="J31" s="135">
        <f t="shared" si="3"/>
        <v>135.5</v>
      </c>
      <c r="K31" s="133">
        <f t="shared" si="13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1"/>
        <v>107.37</v>
      </c>
      <c r="E32" s="133">
        <f t="shared" si="11"/>
        <v>30.98</v>
      </c>
      <c r="F32" s="135">
        <f t="shared" si="1"/>
        <v>54.838121511922886</v>
      </c>
      <c r="G32" s="133">
        <f t="shared" si="12"/>
        <v>0</v>
      </c>
      <c r="H32" s="143">
        <f t="shared" si="12"/>
        <v>0</v>
      </c>
      <c r="I32" s="135">
        <f t="shared" si="2"/>
        <v>54.838121511922886</v>
      </c>
      <c r="J32" s="135">
        <f t="shared" si="3"/>
        <v>138.35</v>
      </c>
      <c r="K32" s="133">
        <f t="shared" si="13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1"/>
        <v>109.62</v>
      </c>
      <c r="E33" s="133">
        <f t="shared" si="11"/>
        <v>31.63</v>
      </c>
      <c r="F33" s="135">
        <f t="shared" si="1"/>
        <v>55.987601471334351</v>
      </c>
      <c r="G33" s="133">
        <f t="shared" si="12"/>
        <v>0</v>
      </c>
      <c r="H33" s="143">
        <f t="shared" si="12"/>
        <v>0</v>
      </c>
      <c r="I33" s="135">
        <f t="shared" si="2"/>
        <v>55.987601471334351</v>
      </c>
      <c r="J33" s="135">
        <f t="shared" si="3"/>
        <v>141.25</v>
      </c>
      <c r="K33" s="133">
        <f t="shared" si="13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1"/>
        <v>111.92</v>
      </c>
      <c r="E34" s="133">
        <f t="shared" si="11"/>
        <v>32.29</v>
      </c>
      <c r="F34" s="135">
        <f t="shared" si="1"/>
        <v>57.160863774733649</v>
      </c>
      <c r="G34" s="133">
        <f t="shared" si="12"/>
        <v>0</v>
      </c>
      <c r="H34" s="143">
        <f t="shared" si="12"/>
        <v>0</v>
      </c>
      <c r="I34" s="135">
        <f t="shared" si="2"/>
        <v>57.160863774733649</v>
      </c>
      <c r="J34" s="135">
        <f t="shared" si="3"/>
        <v>144.21</v>
      </c>
      <c r="K34" s="133">
        <f t="shared" si="13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1"/>
        <v>114.38</v>
      </c>
      <c r="E35" s="133">
        <f t="shared" si="11"/>
        <v>33</v>
      </c>
      <c r="F35" s="135">
        <f t="shared" si="1"/>
        <v>58.417364282090311</v>
      </c>
      <c r="G35" s="133">
        <f t="shared" si="12"/>
        <v>0</v>
      </c>
      <c r="H35" s="143">
        <f t="shared" si="12"/>
        <v>0</v>
      </c>
      <c r="I35" s="135">
        <f t="shared" si="2"/>
        <v>58.417364282090311</v>
      </c>
      <c r="J35" s="135">
        <f t="shared" si="3"/>
        <v>147.38</v>
      </c>
      <c r="K35" s="133">
        <f t="shared" si="13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1"/>
        <v>116.9</v>
      </c>
      <c r="E36" s="133">
        <f t="shared" si="11"/>
        <v>33.729999999999997</v>
      </c>
      <c r="F36" s="135">
        <f t="shared" si="1"/>
        <v>59.705574581430746</v>
      </c>
      <c r="G36" s="133">
        <f t="shared" si="12"/>
        <v>0</v>
      </c>
      <c r="H36" s="143">
        <f t="shared" si="12"/>
        <v>0</v>
      </c>
      <c r="I36" s="135">
        <f t="shared" si="2"/>
        <v>59.705574581430746</v>
      </c>
      <c r="J36" s="135">
        <f t="shared" si="3"/>
        <v>150.63</v>
      </c>
      <c r="K36" s="133">
        <f t="shared" si="13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tr">
        <f>'Table 3 OR Solar 2030'!D44</f>
        <v>Plant Costs  - 2017 IRP Update - Table 5.4 &amp; 5.5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28.8%)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Oregon Solar Resource-2031 - 29%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82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139</v>
      </c>
      <c r="C55" s="186">
        <v>1208.4830190730411</v>
      </c>
      <c r="D55" s="122" t="s">
        <v>75</v>
      </c>
      <c r="H55" s="122" t="s">
        <v>9</v>
      </c>
    </row>
    <row r="56" spans="2:24">
      <c r="B56" s="86" t="s">
        <v>112</v>
      </c>
      <c r="C56" s="155">
        <v>19.720289118454605</v>
      </c>
      <c r="D56" s="122" t="s">
        <v>78</v>
      </c>
      <c r="H56" s="122" t="s">
        <v>9</v>
      </c>
    </row>
    <row r="57" spans="2:24">
      <c r="B57" s="86" t="s">
        <v>112</v>
      </c>
      <c r="C57" s="160">
        <v>0.61668809999999996</v>
      </c>
      <c r="D57" s="122" t="s">
        <v>83</v>
      </c>
      <c r="H57" s="122" t="s">
        <v>80</v>
      </c>
    </row>
    <row r="58" spans="2:24">
      <c r="B58" s="86" t="s">
        <v>112</v>
      </c>
      <c r="C58" s="155">
        <v>0</v>
      </c>
      <c r="D58" s="122" t="s">
        <v>79</v>
      </c>
      <c r="H58" s="122" t="s">
        <v>80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158"/>
      <c r="L59" s="158"/>
      <c r="N59" s="158"/>
      <c r="O59" s="17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N60" s="158"/>
      <c r="O60" s="17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N62" s="157"/>
      <c r="O62" s="52"/>
      <c r="P62" s="159"/>
    </row>
    <row r="63" spans="2:24">
      <c r="C63" s="169">
        <v>0.28799999999999998</v>
      </c>
      <c r="D63" s="122" t="s">
        <v>39</v>
      </c>
      <c r="N63" s="158"/>
      <c r="O63" s="178"/>
      <c r="P63" s="172"/>
    </row>
    <row r="64" spans="2:24" ht="13.5" thickBot="1">
      <c r="D64" s="161"/>
      <c r="N64" s="158"/>
      <c r="O64" s="17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4">C66+1</f>
        <v>2018</v>
      </c>
      <c r="D67" s="41">
        <v>2.3E-2</v>
      </c>
      <c r="E67" s="86"/>
      <c r="F67" s="88">
        <f t="shared" ref="F67:F74" si="15">F66+1</f>
        <v>2027</v>
      </c>
      <c r="G67" s="41">
        <v>2.1999999999999999E-2</v>
      </c>
      <c r="H67" s="86"/>
      <c r="I67" s="88">
        <f t="shared" ref="I67:I74" si="16">I66+1</f>
        <v>2036</v>
      </c>
      <c r="J67" s="88"/>
      <c r="K67" s="41">
        <v>0.02</v>
      </c>
    </row>
    <row r="68" spans="3:11">
      <c r="C68" s="88">
        <f t="shared" si="14"/>
        <v>2019</v>
      </c>
      <c r="D68" s="41">
        <v>2.1999999999999999E-2</v>
      </c>
      <c r="E68" s="86"/>
      <c r="F68" s="88">
        <f t="shared" si="15"/>
        <v>2028</v>
      </c>
      <c r="G68" s="41">
        <v>2.1999999999999999E-2</v>
      </c>
      <c r="H68" s="86"/>
      <c r="I68" s="88">
        <f t="shared" si="16"/>
        <v>2037</v>
      </c>
      <c r="J68" s="88"/>
      <c r="K68" s="41">
        <v>2.1000000000000001E-2</v>
      </c>
    </row>
    <row r="69" spans="3:11">
      <c r="C69" s="88">
        <f t="shared" si="14"/>
        <v>2020</v>
      </c>
      <c r="D69" s="41">
        <v>2.5000000000000001E-2</v>
      </c>
      <c r="E69" s="86"/>
      <c r="F69" s="88">
        <f t="shared" si="15"/>
        <v>2029</v>
      </c>
      <c r="G69" s="41">
        <v>2.1000000000000001E-2</v>
      </c>
      <c r="H69" s="86"/>
      <c r="I69" s="88">
        <f t="shared" si="16"/>
        <v>2038</v>
      </c>
      <c r="J69" s="88"/>
      <c r="K69" s="41">
        <v>2.1000000000000001E-2</v>
      </c>
    </row>
    <row r="70" spans="3:11">
      <c r="C70" s="88">
        <f t="shared" si="14"/>
        <v>2021</v>
      </c>
      <c r="D70" s="41">
        <v>2.4E-2</v>
      </c>
      <c r="E70" s="86"/>
      <c r="F70" s="88">
        <f t="shared" si="15"/>
        <v>2030</v>
      </c>
      <c r="G70" s="41">
        <v>0.02</v>
      </c>
      <c r="H70" s="86"/>
      <c r="I70" s="88">
        <f t="shared" si="16"/>
        <v>2039</v>
      </c>
      <c r="J70" s="88"/>
      <c r="K70" s="41">
        <v>2.1000000000000001E-2</v>
      </c>
    </row>
    <row r="71" spans="3:11">
      <c r="C71" s="88">
        <f t="shared" si="14"/>
        <v>2022</v>
      </c>
      <c r="D71" s="41">
        <v>2.4E-2</v>
      </c>
      <c r="E71" s="86"/>
      <c r="F71" s="88">
        <f t="shared" si="15"/>
        <v>2031</v>
      </c>
      <c r="G71" s="41">
        <v>0.02</v>
      </c>
      <c r="H71" s="86"/>
      <c r="I71" s="88">
        <f t="shared" si="16"/>
        <v>2040</v>
      </c>
      <c r="J71" s="88"/>
      <c r="K71" s="41">
        <v>2.1000000000000001E-2</v>
      </c>
    </row>
    <row r="72" spans="3:11" s="124" customFormat="1">
      <c r="C72" s="88">
        <f t="shared" si="14"/>
        <v>2023</v>
      </c>
      <c r="D72" s="41">
        <v>2.4E-2</v>
      </c>
      <c r="E72" s="87"/>
      <c r="F72" s="88">
        <f t="shared" si="15"/>
        <v>2032</v>
      </c>
      <c r="G72" s="41">
        <v>0.02</v>
      </c>
      <c r="H72" s="87"/>
      <c r="I72" s="88">
        <f t="shared" si="16"/>
        <v>2041</v>
      </c>
      <c r="J72" s="88"/>
      <c r="K72" s="41">
        <v>2.1999999999999999E-2</v>
      </c>
    </row>
    <row r="73" spans="3:11" s="124" customFormat="1">
      <c r="C73" s="88">
        <f t="shared" si="14"/>
        <v>2024</v>
      </c>
      <c r="D73" s="41">
        <v>2.3E-2</v>
      </c>
      <c r="E73" s="87"/>
      <c r="F73" s="88">
        <f t="shared" si="15"/>
        <v>2033</v>
      </c>
      <c r="G73" s="41">
        <v>0.02</v>
      </c>
      <c r="H73" s="87"/>
      <c r="I73" s="88">
        <f t="shared" si="16"/>
        <v>2042</v>
      </c>
      <c r="J73" s="88"/>
      <c r="K73" s="41">
        <v>2.1999999999999999E-2</v>
      </c>
    </row>
    <row r="74" spans="3:11" s="124" customFormat="1">
      <c r="C74" s="88">
        <f t="shared" si="14"/>
        <v>2025</v>
      </c>
      <c r="D74" s="41">
        <v>2.3E-2</v>
      </c>
      <c r="E74" s="87"/>
      <c r="F74" s="88">
        <f t="shared" si="15"/>
        <v>2034</v>
      </c>
      <c r="G74" s="41">
        <v>0.02</v>
      </c>
      <c r="H74" s="87"/>
      <c r="I74" s="88">
        <f t="shared" si="16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2" width="9.33203125" style="122"/>
    <col min="13" max="13" width="9.6640625" style="122" bestFit="1" customWidth="1"/>
    <col min="14" max="15" width="17" style="122" customWidth="1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138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29%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26" t="s">
        <v>84</v>
      </c>
      <c r="J5" s="17" t="s">
        <v>55</v>
      </c>
      <c r="K5" s="126" t="s">
        <v>72</v>
      </c>
      <c r="P5" s="126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Oregon Solar Resource-2031 - 29%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33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/>
      <c r="E11" s="133">
        <f>$C$56</f>
        <v>19.720289118454605</v>
      </c>
      <c r="F11" s="134">
        <f t="shared" ref="F11:F36" si="1">(D11+E11)/(8.76*$C$63)</f>
        <v>7.8165783225736485</v>
      </c>
      <c r="G11" s="134">
        <f>$C$58</f>
        <v>0</v>
      </c>
      <c r="H11" s="133">
        <f>$C$59</f>
        <v>0</v>
      </c>
      <c r="I11" s="135">
        <f t="shared" ref="I11:I36" si="2">F11+H11+G11</f>
        <v>7.8165783225736485</v>
      </c>
      <c r="J11" s="135">
        <f t="shared" ref="J11:J36" si="3">ROUND(I11*$C$63*8.76,2)</f>
        <v>19.72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20.170000000000002</v>
      </c>
      <c r="F12" s="135">
        <f t="shared" si="1"/>
        <v>7.9948313039066479</v>
      </c>
      <c r="G12" s="133">
        <f t="shared" ref="G12:H19" si="5">ROUND(G11*(1+$D67),2)</f>
        <v>0</v>
      </c>
      <c r="H12" s="143">
        <f t="shared" si="5"/>
        <v>0</v>
      </c>
      <c r="I12" s="135">
        <f t="shared" si="2"/>
        <v>7.9948313039066479</v>
      </c>
      <c r="J12" s="135">
        <f t="shared" si="3"/>
        <v>20.170000000000002</v>
      </c>
      <c r="K12" s="133">
        <f t="shared" ref="K12:K19" si="6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/>
      <c r="E13" s="133">
        <f t="shared" si="4"/>
        <v>20.61</v>
      </c>
      <c r="F13" s="135">
        <f t="shared" si="1"/>
        <v>8.1692351598173527</v>
      </c>
      <c r="G13" s="133">
        <f t="shared" si="5"/>
        <v>0</v>
      </c>
      <c r="H13" s="143">
        <f t="shared" si="5"/>
        <v>0</v>
      </c>
      <c r="I13" s="135">
        <f t="shared" si="2"/>
        <v>8.1692351598173527</v>
      </c>
      <c r="J13" s="135">
        <f t="shared" si="3"/>
        <v>20.61</v>
      </c>
      <c r="K13" s="133">
        <f t="shared" si="6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/>
      <c r="E14" s="133">
        <f t="shared" si="4"/>
        <v>21.13</v>
      </c>
      <c r="F14" s="135">
        <f t="shared" si="1"/>
        <v>8.3753488077118217</v>
      </c>
      <c r="G14" s="133">
        <f t="shared" si="5"/>
        <v>0</v>
      </c>
      <c r="H14" s="143">
        <f t="shared" si="5"/>
        <v>0</v>
      </c>
      <c r="I14" s="135">
        <f t="shared" si="2"/>
        <v>8.3753488077118217</v>
      </c>
      <c r="J14" s="135">
        <f t="shared" si="3"/>
        <v>21.13</v>
      </c>
      <c r="K14" s="133">
        <f t="shared" si="6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21.64</v>
      </c>
      <c r="F15" s="135">
        <f t="shared" si="1"/>
        <v>8.5774987316083209</v>
      </c>
      <c r="G15" s="133">
        <f t="shared" si="5"/>
        <v>0</v>
      </c>
      <c r="H15" s="143">
        <f t="shared" si="5"/>
        <v>0</v>
      </c>
      <c r="I15" s="135">
        <f t="shared" si="2"/>
        <v>8.5774987316083209</v>
      </c>
      <c r="J15" s="135">
        <f t="shared" si="3"/>
        <v>21.64</v>
      </c>
      <c r="K15" s="133">
        <f t="shared" si="6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22.16</v>
      </c>
      <c r="F16" s="135">
        <f t="shared" si="1"/>
        <v>8.7836123795027916</v>
      </c>
      <c r="G16" s="133">
        <f t="shared" si="5"/>
        <v>0</v>
      </c>
      <c r="H16" s="143">
        <f t="shared" si="5"/>
        <v>0</v>
      </c>
      <c r="I16" s="135">
        <f t="shared" si="2"/>
        <v>8.7836123795027916</v>
      </c>
      <c r="J16" s="135">
        <f t="shared" si="3"/>
        <v>22.16</v>
      </c>
      <c r="K16" s="133">
        <f t="shared" si="6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/>
      <c r="E17" s="133">
        <f t="shared" si="4"/>
        <v>22.69</v>
      </c>
      <c r="F17" s="135">
        <f t="shared" si="1"/>
        <v>8.9936897513952321</v>
      </c>
      <c r="G17" s="133">
        <f t="shared" si="5"/>
        <v>0</v>
      </c>
      <c r="H17" s="143">
        <f t="shared" si="5"/>
        <v>0</v>
      </c>
      <c r="I17" s="135">
        <f t="shared" si="2"/>
        <v>8.9936897513952321</v>
      </c>
      <c r="J17" s="135">
        <f t="shared" si="3"/>
        <v>22.69</v>
      </c>
      <c r="K17" s="133">
        <f t="shared" si="6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/>
      <c r="E18" s="133">
        <f t="shared" si="4"/>
        <v>23.21</v>
      </c>
      <c r="F18" s="135">
        <f t="shared" si="1"/>
        <v>9.199803399289701</v>
      </c>
      <c r="G18" s="133">
        <f t="shared" si="5"/>
        <v>0</v>
      </c>
      <c r="H18" s="143">
        <f t="shared" si="5"/>
        <v>0</v>
      </c>
      <c r="I18" s="135">
        <f t="shared" si="2"/>
        <v>9.199803399289701</v>
      </c>
      <c r="J18" s="135">
        <f t="shared" si="3"/>
        <v>23.21</v>
      </c>
      <c r="K18" s="133">
        <f t="shared" si="6"/>
        <v>0.74</v>
      </c>
      <c r="L18" s="124"/>
      <c r="P18" s="170"/>
    </row>
    <row r="19" spans="2:17">
      <c r="B19" s="141">
        <f t="shared" si="0"/>
        <v>2025</v>
      </c>
      <c r="C19" s="142"/>
      <c r="D19" s="133"/>
      <c r="E19" s="133">
        <f t="shared" si="4"/>
        <v>23.74</v>
      </c>
      <c r="F19" s="135">
        <f t="shared" si="1"/>
        <v>9.4098807711821415</v>
      </c>
      <c r="G19" s="133">
        <f t="shared" si="5"/>
        <v>0</v>
      </c>
      <c r="H19" s="143">
        <f t="shared" si="5"/>
        <v>0</v>
      </c>
      <c r="I19" s="135">
        <f t="shared" si="2"/>
        <v>9.4098807711821415</v>
      </c>
      <c r="J19" s="135">
        <f t="shared" si="3"/>
        <v>23.74</v>
      </c>
      <c r="K19" s="133">
        <f t="shared" si="6"/>
        <v>0.76</v>
      </c>
      <c r="L19" s="124"/>
      <c r="P19" s="170"/>
    </row>
    <row r="20" spans="2:17">
      <c r="B20" s="141">
        <f t="shared" si="0"/>
        <v>2026</v>
      </c>
      <c r="C20" s="142"/>
      <c r="D20" s="133"/>
      <c r="E20" s="133">
        <f t="shared" ref="E20:E28" si="7">ROUND(E19*(1+$G66),2)</f>
        <v>24.26</v>
      </c>
      <c r="F20" s="135">
        <f t="shared" si="1"/>
        <v>9.6159944190766122</v>
      </c>
      <c r="G20" s="133">
        <f t="shared" ref="G20:H28" si="8">ROUND(G19*(1+$G66),2)</f>
        <v>0</v>
      </c>
      <c r="H20" s="143">
        <f t="shared" si="8"/>
        <v>0</v>
      </c>
      <c r="I20" s="135">
        <f t="shared" si="2"/>
        <v>9.6159944190766122</v>
      </c>
      <c r="J20" s="135">
        <f t="shared" si="3"/>
        <v>24.26</v>
      </c>
      <c r="K20" s="133">
        <f t="shared" ref="K20:K28" si="9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/>
      <c r="E21" s="133">
        <f t="shared" si="7"/>
        <v>24.79</v>
      </c>
      <c r="F21" s="135">
        <f t="shared" si="1"/>
        <v>9.8260717909690509</v>
      </c>
      <c r="G21" s="133">
        <f t="shared" si="8"/>
        <v>0</v>
      </c>
      <c r="H21" s="143">
        <f t="shared" si="8"/>
        <v>0</v>
      </c>
      <c r="I21" s="135">
        <f t="shared" si="2"/>
        <v>9.8260717909690509</v>
      </c>
      <c r="J21" s="135">
        <f t="shared" si="3"/>
        <v>24.79</v>
      </c>
      <c r="K21" s="133">
        <f t="shared" si="9"/>
        <v>0.8</v>
      </c>
      <c r="L21" s="124"/>
      <c r="P21" s="170"/>
    </row>
    <row r="22" spans="2:17">
      <c r="B22" s="141">
        <f t="shared" si="0"/>
        <v>2028</v>
      </c>
      <c r="C22" s="142"/>
      <c r="D22" s="133"/>
      <c r="E22" s="133">
        <f t="shared" si="7"/>
        <v>25.34</v>
      </c>
      <c r="F22" s="135">
        <f t="shared" si="1"/>
        <v>10.044076610857434</v>
      </c>
      <c r="G22" s="133">
        <f t="shared" si="8"/>
        <v>0</v>
      </c>
      <c r="H22" s="143">
        <f t="shared" si="8"/>
        <v>0</v>
      </c>
      <c r="I22" s="135">
        <f t="shared" si="2"/>
        <v>10.044076610857434</v>
      </c>
      <c r="J22" s="135">
        <f t="shared" si="3"/>
        <v>25.34</v>
      </c>
      <c r="K22" s="133">
        <f t="shared" si="9"/>
        <v>0.82</v>
      </c>
      <c r="L22" s="124"/>
      <c r="P22" s="170"/>
    </row>
    <row r="23" spans="2:17">
      <c r="B23" s="141">
        <f t="shared" si="0"/>
        <v>2029</v>
      </c>
      <c r="C23" s="142"/>
      <c r="D23" s="133"/>
      <c r="E23" s="133">
        <f t="shared" si="7"/>
        <v>25.87</v>
      </c>
      <c r="F23" s="135">
        <f t="shared" si="1"/>
        <v>10.254153982749875</v>
      </c>
      <c r="G23" s="133">
        <f t="shared" si="8"/>
        <v>0</v>
      </c>
      <c r="H23" s="143">
        <f t="shared" si="8"/>
        <v>0</v>
      </c>
      <c r="I23" s="135">
        <f t="shared" si="2"/>
        <v>10.254153982749875</v>
      </c>
      <c r="J23" s="135">
        <f t="shared" si="3"/>
        <v>25.87</v>
      </c>
      <c r="K23" s="133">
        <f t="shared" si="9"/>
        <v>0.84</v>
      </c>
      <c r="L23" s="124"/>
      <c r="P23" s="170"/>
    </row>
    <row r="24" spans="2:17">
      <c r="B24" s="141">
        <f t="shared" si="0"/>
        <v>2030</v>
      </c>
      <c r="C24" s="132"/>
      <c r="D24" s="133"/>
      <c r="E24" s="133">
        <f t="shared" si="7"/>
        <v>26.39</v>
      </c>
      <c r="F24" s="135">
        <f t="shared" si="1"/>
        <v>10.460267630644344</v>
      </c>
      <c r="G24" s="133">
        <f t="shared" si="8"/>
        <v>0</v>
      </c>
      <c r="H24" s="143">
        <f t="shared" si="8"/>
        <v>0</v>
      </c>
      <c r="I24" s="135">
        <f t="shared" si="2"/>
        <v>10.460267630644344</v>
      </c>
      <c r="J24" s="135">
        <f t="shared" si="3"/>
        <v>26.39</v>
      </c>
      <c r="K24" s="133">
        <f t="shared" si="9"/>
        <v>0.86</v>
      </c>
      <c r="L24" s="124"/>
      <c r="P24" s="170"/>
    </row>
    <row r="25" spans="2:17">
      <c r="B25" s="141">
        <f t="shared" si="0"/>
        <v>2031</v>
      </c>
      <c r="C25" s="132"/>
      <c r="D25" s="133"/>
      <c r="E25" s="133">
        <f t="shared" si="7"/>
        <v>26.92</v>
      </c>
      <c r="F25" s="135">
        <f t="shared" si="1"/>
        <v>10.670345002536784</v>
      </c>
      <c r="G25" s="133">
        <f t="shared" si="8"/>
        <v>0</v>
      </c>
      <c r="H25" s="143">
        <f t="shared" si="8"/>
        <v>0</v>
      </c>
      <c r="I25" s="135">
        <f t="shared" si="2"/>
        <v>10.670345002536784</v>
      </c>
      <c r="J25" s="135">
        <f t="shared" si="3"/>
        <v>26.92</v>
      </c>
      <c r="K25" s="133">
        <f t="shared" si="9"/>
        <v>0.88</v>
      </c>
      <c r="L25" s="124"/>
      <c r="P25" s="170"/>
    </row>
    <row r="26" spans="2:17">
      <c r="B26" s="141">
        <f t="shared" si="0"/>
        <v>2032</v>
      </c>
      <c r="C26" s="132">
        <f>$C$55</f>
        <v>1201.5946658643247</v>
      </c>
      <c r="D26" s="133">
        <f>C26*$C$62</f>
        <v>92.759025675209486</v>
      </c>
      <c r="E26" s="133">
        <f t="shared" si="7"/>
        <v>27.46</v>
      </c>
      <c r="F26" s="135">
        <f t="shared" si="1"/>
        <v>47.651503708146834</v>
      </c>
      <c r="G26" s="133">
        <f t="shared" si="8"/>
        <v>0</v>
      </c>
      <c r="H26" s="143">
        <f t="shared" si="8"/>
        <v>0</v>
      </c>
      <c r="I26" s="135">
        <f t="shared" si="2"/>
        <v>47.651503708146834</v>
      </c>
      <c r="J26" s="135">
        <f t="shared" si="3"/>
        <v>120.22</v>
      </c>
      <c r="K26" s="133">
        <f t="shared" si="9"/>
        <v>0.9</v>
      </c>
      <c r="L26" s="124"/>
      <c r="P26" s="170"/>
    </row>
    <row r="27" spans="2:17">
      <c r="B27" s="141">
        <f t="shared" si="0"/>
        <v>2033</v>
      </c>
      <c r="C27" s="142"/>
      <c r="D27" s="133">
        <f t="shared" ref="D27:D28" si="10">ROUND(D26*(1+$G73),2)</f>
        <v>94.61</v>
      </c>
      <c r="E27" s="133">
        <f t="shared" si="7"/>
        <v>28.01</v>
      </c>
      <c r="F27" s="135">
        <f t="shared" si="1"/>
        <v>48.603183663115175</v>
      </c>
      <c r="G27" s="133">
        <f t="shared" si="8"/>
        <v>0</v>
      </c>
      <c r="H27" s="143">
        <f t="shared" si="8"/>
        <v>0</v>
      </c>
      <c r="I27" s="135">
        <f t="shared" si="2"/>
        <v>48.603183663115175</v>
      </c>
      <c r="J27" s="135">
        <f t="shared" si="3"/>
        <v>122.62</v>
      </c>
      <c r="K27" s="133">
        <f t="shared" si="9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si="10"/>
        <v>96.5</v>
      </c>
      <c r="E28" s="133">
        <f t="shared" si="7"/>
        <v>28.57</v>
      </c>
      <c r="F28" s="135">
        <f t="shared" si="1"/>
        <v>49.574296042617959</v>
      </c>
      <c r="G28" s="133">
        <f t="shared" si="8"/>
        <v>0</v>
      </c>
      <c r="H28" s="143">
        <f t="shared" si="8"/>
        <v>0</v>
      </c>
      <c r="I28" s="135">
        <f t="shared" si="2"/>
        <v>49.574296042617959</v>
      </c>
      <c r="J28" s="135">
        <f t="shared" si="3"/>
        <v>125.07</v>
      </c>
      <c r="K28" s="133">
        <f t="shared" si="9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11">ROUND(D28*(1+$K66),2)</f>
        <v>98.43</v>
      </c>
      <c r="E29" s="133">
        <f t="shared" si="11"/>
        <v>29.14</v>
      </c>
      <c r="F29" s="135">
        <f t="shared" si="1"/>
        <v>50.565227042110614</v>
      </c>
      <c r="G29" s="133">
        <f t="shared" ref="G29:H36" si="12">ROUND(G28*(1+$K66),2)</f>
        <v>0</v>
      </c>
      <c r="H29" s="143">
        <f t="shared" si="12"/>
        <v>0</v>
      </c>
      <c r="I29" s="135">
        <f t="shared" si="2"/>
        <v>50.565227042110614</v>
      </c>
      <c r="J29" s="135">
        <f t="shared" si="3"/>
        <v>127.57</v>
      </c>
      <c r="K29" s="133">
        <f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1"/>
        <v>100.4</v>
      </c>
      <c r="E30" s="133">
        <f t="shared" si="11"/>
        <v>29.72</v>
      </c>
      <c r="F30" s="135">
        <f t="shared" si="1"/>
        <v>51.575976661593103</v>
      </c>
      <c r="G30" s="133">
        <f t="shared" si="12"/>
        <v>0</v>
      </c>
      <c r="H30" s="143">
        <f t="shared" si="12"/>
        <v>0</v>
      </c>
      <c r="I30" s="135">
        <f t="shared" si="2"/>
        <v>51.575976661593103</v>
      </c>
      <c r="J30" s="135">
        <f t="shared" si="3"/>
        <v>130.12</v>
      </c>
      <c r="K30" s="133">
        <f t="shared" ref="K30:K36" si="13">ROUND(K29*(1+$K67),2)</f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1"/>
        <v>102.51</v>
      </c>
      <c r="E31" s="133">
        <f t="shared" si="11"/>
        <v>30.34</v>
      </c>
      <c r="F31" s="135">
        <f t="shared" si="1"/>
        <v>52.658073313039068</v>
      </c>
      <c r="G31" s="133">
        <f t="shared" si="12"/>
        <v>0</v>
      </c>
      <c r="H31" s="143">
        <f t="shared" si="12"/>
        <v>0</v>
      </c>
      <c r="I31" s="135">
        <f t="shared" si="2"/>
        <v>52.658073313039068</v>
      </c>
      <c r="J31" s="135">
        <f t="shared" si="3"/>
        <v>132.85</v>
      </c>
      <c r="K31" s="133">
        <f t="shared" si="13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1"/>
        <v>104.66</v>
      </c>
      <c r="E32" s="133">
        <f t="shared" si="11"/>
        <v>30.98</v>
      </c>
      <c r="F32" s="135">
        <f t="shared" si="1"/>
        <v>53.763952308472852</v>
      </c>
      <c r="G32" s="133">
        <f t="shared" si="12"/>
        <v>0</v>
      </c>
      <c r="H32" s="143">
        <f t="shared" si="12"/>
        <v>0</v>
      </c>
      <c r="I32" s="135">
        <f t="shared" si="2"/>
        <v>53.763952308472852</v>
      </c>
      <c r="J32" s="135">
        <f t="shared" si="3"/>
        <v>135.63999999999999</v>
      </c>
      <c r="K32" s="133">
        <f t="shared" si="13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1"/>
        <v>106.86</v>
      </c>
      <c r="E33" s="133">
        <f t="shared" si="11"/>
        <v>31.63</v>
      </c>
      <c r="F33" s="135">
        <f t="shared" si="1"/>
        <v>54.893613647894476</v>
      </c>
      <c r="G33" s="133">
        <f t="shared" si="12"/>
        <v>0</v>
      </c>
      <c r="H33" s="143">
        <f t="shared" si="12"/>
        <v>0</v>
      </c>
      <c r="I33" s="135">
        <f t="shared" si="2"/>
        <v>54.893613647894476</v>
      </c>
      <c r="J33" s="135">
        <f t="shared" si="3"/>
        <v>138.49</v>
      </c>
      <c r="K33" s="133">
        <f t="shared" si="13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1"/>
        <v>109.1</v>
      </c>
      <c r="E34" s="133">
        <f t="shared" si="11"/>
        <v>32.29</v>
      </c>
      <c r="F34" s="135">
        <f t="shared" si="1"/>
        <v>56.043093607305934</v>
      </c>
      <c r="G34" s="133">
        <f t="shared" si="12"/>
        <v>0</v>
      </c>
      <c r="H34" s="143">
        <f t="shared" si="12"/>
        <v>0</v>
      </c>
      <c r="I34" s="135">
        <f t="shared" si="2"/>
        <v>56.043093607305934</v>
      </c>
      <c r="J34" s="135">
        <f t="shared" si="3"/>
        <v>141.38999999999999</v>
      </c>
      <c r="K34" s="133">
        <f t="shared" si="13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1"/>
        <v>111.5</v>
      </c>
      <c r="E35" s="133">
        <f t="shared" si="11"/>
        <v>33</v>
      </c>
      <c r="F35" s="135">
        <f t="shared" si="1"/>
        <v>57.275811770674792</v>
      </c>
      <c r="G35" s="133">
        <f t="shared" si="12"/>
        <v>0</v>
      </c>
      <c r="H35" s="143">
        <f t="shared" si="12"/>
        <v>0</v>
      </c>
      <c r="I35" s="135">
        <f t="shared" si="2"/>
        <v>57.275811770674792</v>
      </c>
      <c r="J35" s="135">
        <f t="shared" si="3"/>
        <v>144.5</v>
      </c>
      <c r="K35" s="133">
        <f t="shared" si="13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1"/>
        <v>113.95</v>
      </c>
      <c r="E36" s="133">
        <f t="shared" si="11"/>
        <v>33.729999999999997</v>
      </c>
      <c r="F36" s="135">
        <f t="shared" si="1"/>
        <v>58.536276002029432</v>
      </c>
      <c r="G36" s="133">
        <f t="shared" si="12"/>
        <v>0</v>
      </c>
      <c r="H36" s="143">
        <f t="shared" si="12"/>
        <v>0</v>
      </c>
      <c r="I36" s="135">
        <f t="shared" si="2"/>
        <v>58.536276002029432</v>
      </c>
      <c r="J36" s="135">
        <f t="shared" si="3"/>
        <v>147.68</v>
      </c>
      <c r="K36" s="133">
        <f t="shared" si="13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tr">
        <f>'Table 3 OR Solar 2031'!D44</f>
        <v>Plant Costs  - 2017 IRP Update - Table 5.4 &amp; 5.5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28.8%)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Oregon Solar Resource-2031 - 29%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82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131</v>
      </c>
      <c r="C55" s="186">
        <v>1201.5946658643247</v>
      </c>
      <c r="D55" s="122" t="s">
        <v>75</v>
      </c>
      <c r="H55" s="122" t="s">
        <v>9</v>
      </c>
    </row>
    <row r="56" spans="2:24">
      <c r="B56" s="86" t="s">
        <v>112</v>
      </c>
      <c r="C56" s="155">
        <v>19.720289118454605</v>
      </c>
      <c r="D56" s="122" t="s">
        <v>78</v>
      </c>
      <c r="H56" s="122" t="s">
        <v>9</v>
      </c>
    </row>
    <row r="57" spans="2:24">
      <c r="B57" s="86" t="s">
        <v>112</v>
      </c>
      <c r="C57" s="160">
        <v>0.61668809999999996</v>
      </c>
      <c r="D57" s="122" t="s">
        <v>83</v>
      </c>
      <c r="H57" s="122" t="s">
        <v>80</v>
      </c>
    </row>
    <row r="58" spans="2:24">
      <c r="B58" s="86" t="s">
        <v>112</v>
      </c>
      <c r="C58" s="155">
        <v>0</v>
      </c>
      <c r="D58" s="122" t="s">
        <v>79</v>
      </c>
      <c r="H58" s="122" t="s">
        <v>80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158"/>
      <c r="L59" s="158"/>
      <c r="N59" s="158"/>
      <c r="O59" s="17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N60" s="158"/>
      <c r="O60" s="17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N62" s="157"/>
      <c r="O62" s="52"/>
      <c r="P62" s="159"/>
    </row>
    <row r="63" spans="2:24">
      <c r="C63" s="169">
        <v>0.28799999999999998</v>
      </c>
      <c r="D63" s="122" t="s">
        <v>39</v>
      </c>
      <c r="N63" s="158"/>
      <c r="O63" s="178"/>
      <c r="P63" s="172"/>
    </row>
    <row r="64" spans="2:24" ht="13.5" thickBot="1">
      <c r="D64" s="161"/>
      <c r="N64" s="158"/>
      <c r="O64" s="17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4">C66+1</f>
        <v>2018</v>
      </c>
      <c r="D67" s="41">
        <v>2.3E-2</v>
      </c>
      <c r="E67" s="86"/>
      <c r="F67" s="88">
        <f t="shared" ref="F67:F74" si="15">F66+1</f>
        <v>2027</v>
      </c>
      <c r="G67" s="41">
        <v>2.1999999999999999E-2</v>
      </c>
      <c r="H67" s="86"/>
      <c r="I67" s="88">
        <f t="shared" ref="I67:I74" si="16">I66+1</f>
        <v>2036</v>
      </c>
      <c r="J67" s="88"/>
      <c r="K67" s="41">
        <v>0.02</v>
      </c>
    </row>
    <row r="68" spans="3:11">
      <c r="C68" s="88">
        <f t="shared" si="14"/>
        <v>2019</v>
      </c>
      <c r="D68" s="41">
        <v>2.1999999999999999E-2</v>
      </c>
      <c r="E68" s="86"/>
      <c r="F68" s="88">
        <f t="shared" si="15"/>
        <v>2028</v>
      </c>
      <c r="G68" s="41">
        <v>2.1999999999999999E-2</v>
      </c>
      <c r="H68" s="86"/>
      <c r="I68" s="88">
        <f t="shared" si="16"/>
        <v>2037</v>
      </c>
      <c r="J68" s="88"/>
      <c r="K68" s="41">
        <v>2.1000000000000001E-2</v>
      </c>
    </row>
    <row r="69" spans="3:11">
      <c r="C69" s="88">
        <f t="shared" si="14"/>
        <v>2020</v>
      </c>
      <c r="D69" s="41">
        <v>2.5000000000000001E-2</v>
      </c>
      <c r="E69" s="86"/>
      <c r="F69" s="88">
        <f t="shared" si="15"/>
        <v>2029</v>
      </c>
      <c r="G69" s="41">
        <v>2.1000000000000001E-2</v>
      </c>
      <c r="H69" s="86"/>
      <c r="I69" s="88">
        <f t="shared" si="16"/>
        <v>2038</v>
      </c>
      <c r="J69" s="88"/>
      <c r="K69" s="41">
        <v>2.1000000000000001E-2</v>
      </c>
    </row>
    <row r="70" spans="3:11">
      <c r="C70" s="88">
        <f t="shared" si="14"/>
        <v>2021</v>
      </c>
      <c r="D70" s="41">
        <v>2.4E-2</v>
      </c>
      <c r="E70" s="86"/>
      <c r="F70" s="88">
        <f t="shared" si="15"/>
        <v>2030</v>
      </c>
      <c r="G70" s="41">
        <v>0.02</v>
      </c>
      <c r="H70" s="86"/>
      <c r="I70" s="88">
        <f t="shared" si="16"/>
        <v>2039</v>
      </c>
      <c r="J70" s="88"/>
      <c r="K70" s="41">
        <v>2.1000000000000001E-2</v>
      </c>
    </row>
    <row r="71" spans="3:11">
      <c r="C71" s="88">
        <f t="shared" si="14"/>
        <v>2022</v>
      </c>
      <c r="D71" s="41">
        <v>2.4E-2</v>
      </c>
      <c r="E71" s="86"/>
      <c r="F71" s="88">
        <f t="shared" si="15"/>
        <v>2031</v>
      </c>
      <c r="G71" s="41">
        <v>0.02</v>
      </c>
      <c r="H71" s="86"/>
      <c r="I71" s="88">
        <f t="shared" si="16"/>
        <v>2040</v>
      </c>
      <c r="J71" s="88"/>
      <c r="K71" s="41">
        <v>2.1000000000000001E-2</v>
      </c>
    </row>
    <row r="72" spans="3:11" s="124" customFormat="1">
      <c r="C72" s="88">
        <f t="shared" si="14"/>
        <v>2023</v>
      </c>
      <c r="D72" s="41">
        <v>2.4E-2</v>
      </c>
      <c r="E72" s="87"/>
      <c r="F72" s="88">
        <f t="shared" si="15"/>
        <v>2032</v>
      </c>
      <c r="G72" s="41">
        <v>0.02</v>
      </c>
      <c r="H72" s="87"/>
      <c r="I72" s="88">
        <f t="shared" si="16"/>
        <v>2041</v>
      </c>
      <c r="J72" s="88"/>
      <c r="K72" s="41">
        <v>2.1999999999999999E-2</v>
      </c>
    </row>
    <row r="73" spans="3:11" s="124" customFormat="1">
      <c r="C73" s="88">
        <f t="shared" si="14"/>
        <v>2024</v>
      </c>
      <c r="D73" s="41">
        <v>2.3E-2</v>
      </c>
      <c r="E73" s="87"/>
      <c r="F73" s="88">
        <f t="shared" si="15"/>
        <v>2033</v>
      </c>
      <c r="G73" s="41">
        <v>0.02</v>
      </c>
      <c r="H73" s="87"/>
      <c r="I73" s="88">
        <f t="shared" si="16"/>
        <v>2042</v>
      </c>
      <c r="J73" s="88"/>
      <c r="K73" s="41">
        <v>2.1999999999999999E-2</v>
      </c>
    </row>
    <row r="74" spans="3:11" s="124" customFormat="1">
      <c r="C74" s="88">
        <f t="shared" si="14"/>
        <v>2025</v>
      </c>
      <c r="D74" s="41">
        <v>2.3E-2</v>
      </c>
      <c r="E74" s="87"/>
      <c r="F74" s="88">
        <f t="shared" si="15"/>
        <v>2034</v>
      </c>
      <c r="G74" s="41">
        <v>0.02</v>
      </c>
      <c r="H74" s="87"/>
      <c r="I74" s="88">
        <f t="shared" si="16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2" width="9.33203125" style="122"/>
    <col min="13" max="13" width="9.6640625" style="122" bestFit="1" customWidth="1"/>
    <col min="14" max="15" width="17" style="122" customWidth="1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138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29%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26" t="s">
        <v>84</v>
      </c>
      <c r="J5" s="17" t="s">
        <v>55</v>
      </c>
      <c r="K5" s="126" t="s">
        <v>72</v>
      </c>
      <c r="P5" s="126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Oregon Solar Resource-2031 - 29%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33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/>
      <c r="E11" s="133">
        <f>$C$56</f>
        <v>19.720289118454605</v>
      </c>
      <c r="F11" s="134">
        <f t="shared" ref="F11:F36" si="1">(D11+E11)/(8.76*$C$63)</f>
        <v>7.8165783225736485</v>
      </c>
      <c r="G11" s="134">
        <f>$C$58</f>
        <v>0</v>
      </c>
      <c r="H11" s="133">
        <f>$C$59</f>
        <v>0</v>
      </c>
      <c r="I11" s="135">
        <f t="shared" ref="I11:I36" si="2">F11+H11+G11</f>
        <v>7.8165783225736485</v>
      </c>
      <c r="J11" s="135">
        <f t="shared" ref="J11:J36" si="3">ROUND(I11*$C$63*8.76,2)</f>
        <v>19.72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20.170000000000002</v>
      </c>
      <c r="F12" s="135">
        <f t="shared" si="1"/>
        <v>7.9948313039066479</v>
      </c>
      <c r="G12" s="133">
        <f t="shared" ref="G12:H19" si="5">ROUND(G11*(1+$D67),2)</f>
        <v>0</v>
      </c>
      <c r="H12" s="143">
        <f t="shared" si="5"/>
        <v>0</v>
      </c>
      <c r="I12" s="135">
        <f t="shared" si="2"/>
        <v>7.9948313039066479</v>
      </c>
      <c r="J12" s="135">
        <f t="shared" si="3"/>
        <v>20.170000000000002</v>
      </c>
      <c r="K12" s="133">
        <f t="shared" ref="K12:K19" si="6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/>
      <c r="E13" s="133">
        <f t="shared" si="4"/>
        <v>20.61</v>
      </c>
      <c r="F13" s="135">
        <f t="shared" si="1"/>
        <v>8.1692351598173527</v>
      </c>
      <c r="G13" s="133">
        <f t="shared" si="5"/>
        <v>0</v>
      </c>
      <c r="H13" s="143">
        <f t="shared" si="5"/>
        <v>0</v>
      </c>
      <c r="I13" s="135">
        <f t="shared" si="2"/>
        <v>8.1692351598173527</v>
      </c>
      <c r="J13" s="135">
        <f t="shared" si="3"/>
        <v>20.61</v>
      </c>
      <c r="K13" s="133">
        <f t="shared" si="6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/>
      <c r="E14" s="133">
        <f t="shared" si="4"/>
        <v>21.13</v>
      </c>
      <c r="F14" s="135">
        <f t="shared" si="1"/>
        <v>8.3753488077118217</v>
      </c>
      <c r="G14" s="133">
        <f t="shared" si="5"/>
        <v>0</v>
      </c>
      <c r="H14" s="143">
        <f t="shared" si="5"/>
        <v>0</v>
      </c>
      <c r="I14" s="135">
        <f t="shared" si="2"/>
        <v>8.3753488077118217</v>
      </c>
      <c r="J14" s="135">
        <f t="shared" si="3"/>
        <v>21.13</v>
      </c>
      <c r="K14" s="133">
        <f t="shared" si="6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21.64</v>
      </c>
      <c r="F15" s="135">
        <f t="shared" si="1"/>
        <v>8.5774987316083209</v>
      </c>
      <c r="G15" s="133">
        <f t="shared" si="5"/>
        <v>0</v>
      </c>
      <c r="H15" s="143">
        <f t="shared" si="5"/>
        <v>0</v>
      </c>
      <c r="I15" s="135">
        <f t="shared" si="2"/>
        <v>8.5774987316083209</v>
      </c>
      <c r="J15" s="135">
        <f t="shared" si="3"/>
        <v>21.64</v>
      </c>
      <c r="K15" s="133">
        <f t="shared" si="6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22.16</v>
      </c>
      <c r="F16" s="135">
        <f t="shared" si="1"/>
        <v>8.7836123795027916</v>
      </c>
      <c r="G16" s="133">
        <f t="shared" si="5"/>
        <v>0</v>
      </c>
      <c r="H16" s="143">
        <f t="shared" si="5"/>
        <v>0</v>
      </c>
      <c r="I16" s="135">
        <f t="shared" si="2"/>
        <v>8.7836123795027916</v>
      </c>
      <c r="J16" s="135">
        <f t="shared" si="3"/>
        <v>22.16</v>
      </c>
      <c r="K16" s="133">
        <f t="shared" si="6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/>
      <c r="E17" s="133">
        <f t="shared" si="4"/>
        <v>22.69</v>
      </c>
      <c r="F17" s="135">
        <f t="shared" si="1"/>
        <v>8.9936897513952321</v>
      </c>
      <c r="G17" s="133">
        <f t="shared" si="5"/>
        <v>0</v>
      </c>
      <c r="H17" s="143">
        <f t="shared" si="5"/>
        <v>0</v>
      </c>
      <c r="I17" s="135">
        <f t="shared" si="2"/>
        <v>8.9936897513952321</v>
      </c>
      <c r="J17" s="135">
        <f t="shared" si="3"/>
        <v>22.69</v>
      </c>
      <c r="K17" s="133">
        <f t="shared" si="6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/>
      <c r="E18" s="133">
        <f t="shared" si="4"/>
        <v>23.21</v>
      </c>
      <c r="F18" s="135">
        <f t="shared" si="1"/>
        <v>9.199803399289701</v>
      </c>
      <c r="G18" s="133">
        <f t="shared" si="5"/>
        <v>0</v>
      </c>
      <c r="H18" s="143">
        <f t="shared" si="5"/>
        <v>0</v>
      </c>
      <c r="I18" s="135">
        <f t="shared" si="2"/>
        <v>9.199803399289701</v>
      </c>
      <c r="J18" s="135">
        <f t="shared" si="3"/>
        <v>23.21</v>
      </c>
      <c r="K18" s="133">
        <f t="shared" si="6"/>
        <v>0.74</v>
      </c>
      <c r="L18" s="124"/>
      <c r="P18" s="170"/>
    </row>
    <row r="19" spans="2:17">
      <c r="B19" s="141">
        <f t="shared" si="0"/>
        <v>2025</v>
      </c>
      <c r="C19" s="142"/>
      <c r="D19" s="133"/>
      <c r="E19" s="133">
        <f t="shared" si="4"/>
        <v>23.74</v>
      </c>
      <c r="F19" s="135">
        <f t="shared" si="1"/>
        <v>9.4098807711821415</v>
      </c>
      <c r="G19" s="133">
        <f t="shared" si="5"/>
        <v>0</v>
      </c>
      <c r="H19" s="143">
        <f t="shared" si="5"/>
        <v>0</v>
      </c>
      <c r="I19" s="135">
        <f t="shared" si="2"/>
        <v>9.4098807711821415</v>
      </c>
      <c r="J19" s="135">
        <f t="shared" si="3"/>
        <v>23.74</v>
      </c>
      <c r="K19" s="133">
        <f t="shared" si="6"/>
        <v>0.76</v>
      </c>
      <c r="L19" s="124"/>
      <c r="P19" s="170"/>
    </row>
    <row r="20" spans="2:17">
      <c r="B20" s="141">
        <f t="shared" si="0"/>
        <v>2026</v>
      </c>
      <c r="C20" s="142"/>
      <c r="D20" s="133"/>
      <c r="E20" s="133">
        <f t="shared" ref="E20:E28" si="7">ROUND(E19*(1+$G66),2)</f>
        <v>24.26</v>
      </c>
      <c r="F20" s="135">
        <f t="shared" si="1"/>
        <v>9.6159944190766122</v>
      </c>
      <c r="G20" s="133">
        <f t="shared" ref="G20:H28" si="8">ROUND(G19*(1+$G66),2)</f>
        <v>0</v>
      </c>
      <c r="H20" s="143">
        <f t="shared" si="8"/>
        <v>0</v>
      </c>
      <c r="I20" s="135">
        <f t="shared" si="2"/>
        <v>9.6159944190766122</v>
      </c>
      <c r="J20" s="135">
        <f t="shared" si="3"/>
        <v>24.26</v>
      </c>
      <c r="K20" s="133">
        <f t="shared" ref="K20:K28" si="9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/>
      <c r="E21" s="133">
        <f t="shared" si="7"/>
        <v>24.79</v>
      </c>
      <c r="F21" s="135">
        <f t="shared" si="1"/>
        <v>9.8260717909690509</v>
      </c>
      <c r="G21" s="133">
        <f t="shared" si="8"/>
        <v>0</v>
      </c>
      <c r="H21" s="143">
        <f t="shared" si="8"/>
        <v>0</v>
      </c>
      <c r="I21" s="135">
        <f t="shared" si="2"/>
        <v>9.8260717909690509</v>
      </c>
      <c r="J21" s="135">
        <f t="shared" si="3"/>
        <v>24.79</v>
      </c>
      <c r="K21" s="133">
        <f t="shared" si="9"/>
        <v>0.8</v>
      </c>
      <c r="L21" s="124"/>
      <c r="P21" s="170"/>
    </row>
    <row r="22" spans="2:17">
      <c r="B22" s="141">
        <f t="shared" si="0"/>
        <v>2028</v>
      </c>
      <c r="C22" s="142"/>
      <c r="D22" s="133"/>
      <c r="E22" s="133">
        <f t="shared" si="7"/>
        <v>25.34</v>
      </c>
      <c r="F22" s="135">
        <f t="shared" si="1"/>
        <v>10.044076610857434</v>
      </c>
      <c r="G22" s="133">
        <f t="shared" si="8"/>
        <v>0</v>
      </c>
      <c r="H22" s="143">
        <f t="shared" si="8"/>
        <v>0</v>
      </c>
      <c r="I22" s="135">
        <f t="shared" si="2"/>
        <v>10.044076610857434</v>
      </c>
      <c r="J22" s="135">
        <f t="shared" si="3"/>
        <v>25.34</v>
      </c>
      <c r="K22" s="133">
        <f t="shared" si="9"/>
        <v>0.82</v>
      </c>
      <c r="L22" s="124"/>
      <c r="P22" s="170"/>
    </row>
    <row r="23" spans="2:17">
      <c r="B23" s="141">
        <f t="shared" si="0"/>
        <v>2029</v>
      </c>
      <c r="C23" s="142"/>
      <c r="D23" s="133"/>
      <c r="E23" s="133">
        <f t="shared" si="7"/>
        <v>25.87</v>
      </c>
      <c r="F23" s="135">
        <f t="shared" si="1"/>
        <v>10.254153982749875</v>
      </c>
      <c r="G23" s="133">
        <f t="shared" si="8"/>
        <v>0</v>
      </c>
      <c r="H23" s="143">
        <f t="shared" si="8"/>
        <v>0</v>
      </c>
      <c r="I23" s="135">
        <f t="shared" si="2"/>
        <v>10.254153982749875</v>
      </c>
      <c r="J23" s="135">
        <f t="shared" si="3"/>
        <v>25.87</v>
      </c>
      <c r="K23" s="133">
        <f t="shared" si="9"/>
        <v>0.84</v>
      </c>
      <c r="L23" s="124"/>
      <c r="P23" s="170"/>
    </row>
    <row r="24" spans="2:17">
      <c r="B24" s="141">
        <f t="shared" si="0"/>
        <v>2030</v>
      </c>
      <c r="C24" s="132"/>
      <c r="D24" s="133"/>
      <c r="E24" s="133">
        <f t="shared" si="7"/>
        <v>26.39</v>
      </c>
      <c r="F24" s="135">
        <f t="shared" si="1"/>
        <v>10.460267630644344</v>
      </c>
      <c r="G24" s="133">
        <f t="shared" si="8"/>
        <v>0</v>
      </c>
      <c r="H24" s="143">
        <f t="shared" si="8"/>
        <v>0</v>
      </c>
      <c r="I24" s="135">
        <f t="shared" si="2"/>
        <v>10.460267630644344</v>
      </c>
      <c r="J24" s="135">
        <f t="shared" si="3"/>
        <v>26.39</v>
      </c>
      <c r="K24" s="133">
        <f t="shared" si="9"/>
        <v>0.86</v>
      </c>
      <c r="L24" s="124"/>
      <c r="P24" s="170"/>
    </row>
    <row r="25" spans="2:17">
      <c r="B25" s="141">
        <f t="shared" si="0"/>
        <v>2031</v>
      </c>
      <c r="C25" s="132"/>
      <c r="D25" s="133"/>
      <c r="E25" s="133">
        <f t="shared" si="7"/>
        <v>26.92</v>
      </c>
      <c r="F25" s="135">
        <f t="shared" si="1"/>
        <v>10.670345002536784</v>
      </c>
      <c r="G25" s="133">
        <f t="shared" si="8"/>
        <v>0</v>
      </c>
      <c r="H25" s="143">
        <f t="shared" si="8"/>
        <v>0</v>
      </c>
      <c r="I25" s="135">
        <f t="shared" si="2"/>
        <v>10.670345002536784</v>
      </c>
      <c r="J25" s="135">
        <f t="shared" si="3"/>
        <v>26.92</v>
      </c>
      <c r="K25" s="133">
        <f t="shared" si="9"/>
        <v>0.88</v>
      </c>
      <c r="L25" s="124"/>
      <c r="P25" s="170"/>
    </row>
    <row r="26" spans="2:17">
      <c r="B26" s="141">
        <f t="shared" si="0"/>
        <v>2032</v>
      </c>
      <c r="C26" s="132"/>
      <c r="D26" s="133"/>
      <c r="E26" s="133">
        <f t="shared" si="7"/>
        <v>27.46</v>
      </c>
      <c r="F26" s="135">
        <f t="shared" si="1"/>
        <v>10.884386098427196</v>
      </c>
      <c r="G26" s="133">
        <f t="shared" si="8"/>
        <v>0</v>
      </c>
      <c r="H26" s="143">
        <f t="shared" si="8"/>
        <v>0</v>
      </c>
      <c r="I26" s="135">
        <f t="shared" si="2"/>
        <v>10.884386098427196</v>
      </c>
      <c r="J26" s="135">
        <f t="shared" si="3"/>
        <v>27.46</v>
      </c>
      <c r="K26" s="133">
        <f t="shared" si="9"/>
        <v>0.9</v>
      </c>
      <c r="L26" s="124"/>
      <c r="P26" s="170"/>
    </row>
    <row r="27" spans="2:17">
      <c r="B27" s="141">
        <f t="shared" si="0"/>
        <v>2033</v>
      </c>
      <c r="C27" s="132">
        <f>$C$55</f>
        <v>1194.745576268898</v>
      </c>
      <c r="D27" s="133">
        <f>C27*$C$62</f>
        <v>92.230299228860787</v>
      </c>
      <c r="E27" s="133">
        <f t="shared" si="7"/>
        <v>28.01</v>
      </c>
      <c r="F27" s="135">
        <f t="shared" si="1"/>
        <v>47.659935957659819</v>
      </c>
      <c r="G27" s="133">
        <f t="shared" si="8"/>
        <v>0</v>
      </c>
      <c r="H27" s="143">
        <f t="shared" si="8"/>
        <v>0</v>
      </c>
      <c r="I27" s="135">
        <f t="shared" si="2"/>
        <v>47.659935957659819</v>
      </c>
      <c r="J27" s="135">
        <f t="shared" si="3"/>
        <v>120.24</v>
      </c>
      <c r="K27" s="133">
        <f t="shared" si="9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ref="D28" si="10">ROUND(D27*(1+$G74),2)</f>
        <v>94.07</v>
      </c>
      <c r="E28" s="133">
        <f t="shared" si="7"/>
        <v>28.57</v>
      </c>
      <c r="F28" s="135">
        <f t="shared" si="1"/>
        <v>48.611111111111107</v>
      </c>
      <c r="G28" s="133">
        <f t="shared" si="8"/>
        <v>0</v>
      </c>
      <c r="H28" s="143">
        <f t="shared" si="8"/>
        <v>0</v>
      </c>
      <c r="I28" s="135">
        <f t="shared" si="2"/>
        <v>48.611111111111107</v>
      </c>
      <c r="J28" s="135">
        <f t="shared" si="3"/>
        <v>122.64</v>
      </c>
      <c r="K28" s="133">
        <f t="shared" si="9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11">ROUND(D28*(1+$K66),2)</f>
        <v>95.95</v>
      </c>
      <c r="E29" s="133">
        <f t="shared" si="11"/>
        <v>29.14</v>
      </c>
      <c r="F29" s="135">
        <f t="shared" si="1"/>
        <v>49.582223490613906</v>
      </c>
      <c r="G29" s="133">
        <f t="shared" ref="G29:H36" si="12">ROUND(G28*(1+$K66),2)</f>
        <v>0</v>
      </c>
      <c r="H29" s="143">
        <f t="shared" si="12"/>
        <v>0</v>
      </c>
      <c r="I29" s="135">
        <f t="shared" si="2"/>
        <v>49.582223490613906</v>
      </c>
      <c r="J29" s="135">
        <f t="shared" si="3"/>
        <v>125.09</v>
      </c>
      <c r="K29" s="133">
        <f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1"/>
        <v>97.87</v>
      </c>
      <c r="E30" s="133">
        <f t="shared" si="11"/>
        <v>29.72</v>
      </c>
      <c r="F30" s="135">
        <f t="shared" si="1"/>
        <v>50.573154490106553</v>
      </c>
      <c r="G30" s="133">
        <f t="shared" si="12"/>
        <v>0</v>
      </c>
      <c r="H30" s="143">
        <f t="shared" si="12"/>
        <v>0</v>
      </c>
      <c r="I30" s="135">
        <f t="shared" si="2"/>
        <v>50.573154490106553</v>
      </c>
      <c r="J30" s="135">
        <f t="shared" si="3"/>
        <v>127.59</v>
      </c>
      <c r="K30" s="133">
        <f t="shared" ref="K30:K36" si="13">ROUND(K29*(1+$K67),2)</f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1"/>
        <v>99.93</v>
      </c>
      <c r="E31" s="133">
        <f t="shared" si="11"/>
        <v>30.34</v>
      </c>
      <c r="F31" s="135">
        <f t="shared" si="1"/>
        <v>51.63543252156267</v>
      </c>
      <c r="G31" s="133">
        <f t="shared" si="12"/>
        <v>0</v>
      </c>
      <c r="H31" s="143">
        <f t="shared" si="12"/>
        <v>0</v>
      </c>
      <c r="I31" s="135">
        <f t="shared" si="2"/>
        <v>51.63543252156267</v>
      </c>
      <c r="J31" s="135">
        <f t="shared" si="3"/>
        <v>130.27000000000001</v>
      </c>
      <c r="K31" s="133">
        <f t="shared" si="13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1"/>
        <v>102.03</v>
      </c>
      <c r="E32" s="133">
        <f t="shared" si="11"/>
        <v>30.98</v>
      </c>
      <c r="F32" s="135">
        <f t="shared" si="1"/>
        <v>52.721492897006598</v>
      </c>
      <c r="G32" s="133">
        <f t="shared" si="12"/>
        <v>0</v>
      </c>
      <c r="H32" s="143">
        <f t="shared" si="12"/>
        <v>0</v>
      </c>
      <c r="I32" s="135">
        <f t="shared" si="2"/>
        <v>52.721492897006598</v>
      </c>
      <c r="J32" s="135">
        <f t="shared" si="3"/>
        <v>133.01</v>
      </c>
      <c r="K32" s="133">
        <f t="shared" si="13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1"/>
        <v>104.17</v>
      </c>
      <c r="E33" s="133">
        <f t="shared" si="11"/>
        <v>31.63</v>
      </c>
      <c r="F33" s="135">
        <f t="shared" si="1"/>
        <v>53.827371892440397</v>
      </c>
      <c r="G33" s="133">
        <f t="shared" si="12"/>
        <v>0</v>
      </c>
      <c r="H33" s="143">
        <f t="shared" si="12"/>
        <v>0</v>
      </c>
      <c r="I33" s="135">
        <f t="shared" si="2"/>
        <v>53.827371892440397</v>
      </c>
      <c r="J33" s="135">
        <f t="shared" si="3"/>
        <v>135.80000000000001</v>
      </c>
      <c r="K33" s="133">
        <f t="shared" si="13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1"/>
        <v>106.36</v>
      </c>
      <c r="E34" s="133">
        <f t="shared" si="11"/>
        <v>32.29</v>
      </c>
      <c r="F34" s="135">
        <f t="shared" si="1"/>
        <v>54.957033231862006</v>
      </c>
      <c r="G34" s="133">
        <f t="shared" si="12"/>
        <v>0</v>
      </c>
      <c r="H34" s="143">
        <f t="shared" si="12"/>
        <v>0</v>
      </c>
      <c r="I34" s="135">
        <f t="shared" si="2"/>
        <v>54.957033231862006</v>
      </c>
      <c r="J34" s="135">
        <f t="shared" si="3"/>
        <v>138.65</v>
      </c>
      <c r="K34" s="133">
        <f t="shared" si="13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1"/>
        <v>108.7</v>
      </c>
      <c r="E35" s="133">
        <f t="shared" si="11"/>
        <v>33</v>
      </c>
      <c r="F35" s="135">
        <f t="shared" si="1"/>
        <v>56.165969051243025</v>
      </c>
      <c r="G35" s="133">
        <f t="shared" si="12"/>
        <v>0</v>
      </c>
      <c r="H35" s="143">
        <f t="shared" si="12"/>
        <v>0</v>
      </c>
      <c r="I35" s="135">
        <f t="shared" si="2"/>
        <v>56.165969051243025</v>
      </c>
      <c r="J35" s="135">
        <f t="shared" si="3"/>
        <v>141.69999999999999</v>
      </c>
      <c r="K35" s="133">
        <f t="shared" si="13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1"/>
        <v>111.09</v>
      </c>
      <c r="E36" s="133">
        <f t="shared" si="11"/>
        <v>33.729999999999997</v>
      </c>
      <c r="F36" s="135">
        <f t="shared" si="1"/>
        <v>57.402650938609845</v>
      </c>
      <c r="G36" s="133">
        <f t="shared" si="12"/>
        <v>0</v>
      </c>
      <c r="H36" s="143">
        <f t="shared" si="12"/>
        <v>0</v>
      </c>
      <c r="I36" s="135">
        <f t="shared" si="2"/>
        <v>57.402650938609845</v>
      </c>
      <c r="J36" s="135">
        <f t="shared" si="3"/>
        <v>144.82</v>
      </c>
      <c r="K36" s="133">
        <f t="shared" si="13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tr">
        <f>'Table 3 OR Solar 2032'!D44</f>
        <v>Plant Costs  - 2017 IRP Update - Table 5.4 &amp; 5.5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28.8%)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Oregon Solar Resource-2031 - 29%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82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125</v>
      </c>
      <c r="C55" s="186">
        <v>1194.745576268898</v>
      </c>
      <c r="D55" s="122" t="s">
        <v>75</v>
      </c>
      <c r="H55" s="122" t="s">
        <v>9</v>
      </c>
    </row>
    <row r="56" spans="2:24">
      <c r="B56" s="86" t="s">
        <v>112</v>
      </c>
      <c r="C56" s="155">
        <v>19.720289118454605</v>
      </c>
      <c r="D56" s="122" t="s">
        <v>78</v>
      </c>
      <c r="H56" s="122" t="s">
        <v>9</v>
      </c>
    </row>
    <row r="57" spans="2:24">
      <c r="B57" s="86" t="s">
        <v>112</v>
      </c>
      <c r="C57" s="160">
        <v>0.61668809999999996</v>
      </c>
      <c r="D57" s="122" t="s">
        <v>83</v>
      </c>
      <c r="H57" s="122" t="s">
        <v>80</v>
      </c>
    </row>
    <row r="58" spans="2:24">
      <c r="B58" s="86" t="s">
        <v>112</v>
      </c>
      <c r="C58" s="155">
        <v>0</v>
      </c>
      <c r="D58" s="122" t="s">
        <v>79</v>
      </c>
      <c r="H58" s="122" t="s">
        <v>80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158"/>
      <c r="L59" s="158"/>
      <c r="N59" s="158"/>
      <c r="O59" s="17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N60" s="158"/>
      <c r="O60" s="17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N62" s="157"/>
      <c r="O62" s="52"/>
      <c r="P62" s="159"/>
    </row>
    <row r="63" spans="2:24">
      <c r="C63" s="169">
        <v>0.28799999999999998</v>
      </c>
      <c r="D63" s="122" t="s">
        <v>39</v>
      </c>
      <c r="N63" s="158"/>
      <c r="O63" s="178"/>
      <c r="P63" s="172"/>
    </row>
    <row r="64" spans="2:24" ht="13.5" thickBot="1">
      <c r="D64" s="161"/>
      <c r="N64" s="158"/>
      <c r="O64" s="17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14">C66+1</f>
        <v>2018</v>
      </c>
      <c r="D67" s="41">
        <v>2.3E-2</v>
      </c>
      <c r="E67" s="86"/>
      <c r="F67" s="88">
        <f t="shared" ref="F67:F74" si="15">F66+1</f>
        <v>2027</v>
      </c>
      <c r="G67" s="41">
        <v>2.1999999999999999E-2</v>
      </c>
      <c r="H67" s="86"/>
      <c r="I67" s="88">
        <f t="shared" ref="I67:I74" si="16">I66+1</f>
        <v>2036</v>
      </c>
      <c r="J67" s="88"/>
      <c r="K67" s="41">
        <v>0.02</v>
      </c>
    </row>
    <row r="68" spans="3:11">
      <c r="C68" s="88">
        <f t="shared" si="14"/>
        <v>2019</v>
      </c>
      <c r="D68" s="41">
        <v>2.1999999999999999E-2</v>
      </c>
      <c r="E68" s="86"/>
      <c r="F68" s="88">
        <f t="shared" si="15"/>
        <v>2028</v>
      </c>
      <c r="G68" s="41">
        <v>2.1999999999999999E-2</v>
      </c>
      <c r="H68" s="86"/>
      <c r="I68" s="88">
        <f t="shared" si="16"/>
        <v>2037</v>
      </c>
      <c r="J68" s="88"/>
      <c r="K68" s="41">
        <v>2.1000000000000001E-2</v>
      </c>
    </row>
    <row r="69" spans="3:11">
      <c r="C69" s="88">
        <f t="shared" si="14"/>
        <v>2020</v>
      </c>
      <c r="D69" s="41">
        <v>2.5000000000000001E-2</v>
      </c>
      <c r="E69" s="86"/>
      <c r="F69" s="88">
        <f t="shared" si="15"/>
        <v>2029</v>
      </c>
      <c r="G69" s="41">
        <v>2.1000000000000001E-2</v>
      </c>
      <c r="H69" s="86"/>
      <c r="I69" s="88">
        <f t="shared" si="16"/>
        <v>2038</v>
      </c>
      <c r="J69" s="88"/>
      <c r="K69" s="41">
        <v>2.1000000000000001E-2</v>
      </c>
    </row>
    <row r="70" spans="3:11">
      <c r="C70" s="88">
        <f t="shared" si="14"/>
        <v>2021</v>
      </c>
      <c r="D70" s="41">
        <v>2.4E-2</v>
      </c>
      <c r="E70" s="86"/>
      <c r="F70" s="88">
        <f t="shared" si="15"/>
        <v>2030</v>
      </c>
      <c r="G70" s="41">
        <v>0.02</v>
      </c>
      <c r="H70" s="86"/>
      <c r="I70" s="88">
        <f t="shared" si="16"/>
        <v>2039</v>
      </c>
      <c r="J70" s="88"/>
      <c r="K70" s="41">
        <v>2.1000000000000001E-2</v>
      </c>
    </row>
    <row r="71" spans="3:11">
      <c r="C71" s="88">
        <f t="shared" si="14"/>
        <v>2022</v>
      </c>
      <c r="D71" s="41">
        <v>2.4E-2</v>
      </c>
      <c r="E71" s="86"/>
      <c r="F71" s="88">
        <f t="shared" si="15"/>
        <v>2031</v>
      </c>
      <c r="G71" s="41">
        <v>0.02</v>
      </c>
      <c r="H71" s="86"/>
      <c r="I71" s="88">
        <f t="shared" si="16"/>
        <v>2040</v>
      </c>
      <c r="J71" s="88"/>
      <c r="K71" s="41">
        <v>2.1000000000000001E-2</v>
      </c>
    </row>
    <row r="72" spans="3:11" s="124" customFormat="1">
      <c r="C72" s="88">
        <f t="shared" si="14"/>
        <v>2023</v>
      </c>
      <c r="D72" s="41">
        <v>2.4E-2</v>
      </c>
      <c r="E72" s="87"/>
      <c r="F72" s="88">
        <f t="shared" si="15"/>
        <v>2032</v>
      </c>
      <c r="G72" s="41">
        <v>0.02</v>
      </c>
      <c r="H72" s="87"/>
      <c r="I72" s="88">
        <f t="shared" si="16"/>
        <v>2041</v>
      </c>
      <c r="J72" s="88"/>
      <c r="K72" s="41">
        <v>2.1999999999999999E-2</v>
      </c>
    </row>
    <row r="73" spans="3:11" s="124" customFormat="1">
      <c r="C73" s="88">
        <f t="shared" si="14"/>
        <v>2024</v>
      </c>
      <c r="D73" s="41">
        <v>2.3E-2</v>
      </c>
      <c r="E73" s="87"/>
      <c r="F73" s="88">
        <f t="shared" si="15"/>
        <v>2033</v>
      </c>
      <c r="G73" s="41">
        <v>0.02</v>
      </c>
      <c r="H73" s="87"/>
      <c r="I73" s="88">
        <f t="shared" si="16"/>
        <v>2042</v>
      </c>
      <c r="J73" s="88"/>
      <c r="K73" s="41">
        <v>2.1999999999999999E-2</v>
      </c>
    </row>
    <row r="74" spans="3:11" s="124" customFormat="1">
      <c r="C74" s="88">
        <f t="shared" si="14"/>
        <v>2025</v>
      </c>
      <c r="D74" s="41">
        <v>2.3E-2</v>
      </c>
      <c r="E74" s="87"/>
      <c r="F74" s="88">
        <f t="shared" si="15"/>
        <v>2034</v>
      </c>
      <c r="G74" s="41">
        <v>0.02</v>
      </c>
      <c r="H74" s="87"/>
      <c r="I74" s="88">
        <f t="shared" si="16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X102"/>
  <sheetViews>
    <sheetView workbookViewId="0">
      <selection activeCell="J34" sqref="J34"/>
    </sheetView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8" width="9.83203125" style="122" customWidth="1"/>
    <col min="9" max="9" width="10.5" style="122" customWidth="1"/>
    <col min="10" max="11" width="12.5" style="122" customWidth="1"/>
    <col min="12" max="12" width="13.83203125" style="122" customWidth="1"/>
    <col min="13" max="13" width="9.33203125" style="122"/>
    <col min="14" max="14" width="15.83203125" style="122" customWidth="1"/>
    <col min="15" max="15" width="14.83203125" style="173" customWidth="1"/>
    <col min="16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  <c r="K1" s="121"/>
    </row>
    <row r="2" spans="2:18" ht="15.75">
      <c r="B2" s="120" t="s">
        <v>117</v>
      </c>
      <c r="C2" s="121"/>
      <c r="D2" s="121"/>
      <c r="E2" s="121"/>
      <c r="F2" s="121"/>
      <c r="G2" s="121"/>
      <c r="H2" s="121"/>
      <c r="I2" s="121"/>
      <c r="J2" s="121"/>
      <c r="K2" s="121"/>
    </row>
    <row r="3" spans="2:18" ht="15.75">
      <c r="B3" s="120" t="str">
        <f>TEXT($C$63,"0%")&amp;" Capacity Factor"</f>
        <v>39% Capacity Factor</v>
      </c>
      <c r="C3" s="121"/>
      <c r="D3" s="121"/>
      <c r="E3" s="121"/>
      <c r="F3" s="121"/>
      <c r="G3" s="121"/>
      <c r="H3" s="121"/>
      <c r="I3" s="121"/>
      <c r="J3" s="121"/>
      <c r="K3" s="121"/>
    </row>
    <row r="4" spans="2:18">
      <c r="B4" s="123"/>
      <c r="C4" s="123"/>
      <c r="D4" s="123"/>
      <c r="E4" s="123"/>
      <c r="F4" s="123"/>
      <c r="G4" s="123"/>
      <c r="H4" s="123"/>
      <c r="I4" s="123"/>
      <c r="J4" s="124"/>
      <c r="K4" s="124"/>
      <c r="L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7" t="s">
        <v>121</v>
      </c>
      <c r="I5" s="126" t="s">
        <v>71</v>
      </c>
      <c r="J5" s="126" t="s">
        <v>89</v>
      </c>
      <c r="K5" s="17" t="s">
        <v>55</v>
      </c>
      <c r="L5" s="126" t="s">
        <v>72</v>
      </c>
      <c r="N5" s="247" t="s">
        <v>163</v>
      </c>
      <c r="O5" s="247" t="s">
        <v>164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8" t="s">
        <v>33</v>
      </c>
      <c r="I6" s="128" t="s">
        <v>33</v>
      </c>
      <c r="J6" s="128" t="s">
        <v>33</v>
      </c>
      <c r="K6" s="19" t="s">
        <v>9</v>
      </c>
      <c r="L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/>
      <c r="I7" s="130" t="s">
        <v>7</v>
      </c>
      <c r="J7" s="130" t="s">
        <v>24</v>
      </c>
      <c r="K7" s="130" t="s">
        <v>25</v>
      </c>
      <c r="L7" s="130" t="s">
        <v>25</v>
      </c>
    </row>
    <row r="8" spans="2:18" ht="6" customHeight="1">
      <c r="L8" s="124"/>
    </row>
    <row r="9" spans="2:18" ht="15.75">
      <c r="B9" s="43" t="str">
        <f>C52</f>
        <v>2017 IRP Update Wyoming Wind Resource - 39% Capacity Factor</v>
      </c>
      <c r="C9" s="124"/>
      <c r="E9" s="124"/>
      <c r="F9" s="124"/>
      <c r="G9" s="124"/>
      <c r="H9" s="124"/>
      <c r="I9" s="124"/>
      <c r="J9" s="124"/>
      <c r="K9" s="124"/>
      <c r="L9" s="124"/>
      <c r="O9" s="122"/>
    </row>
    <row r="10" spans="2:18">
      <c r="B10" s="131">
        <v>2016</v>
      </c>
      <c r="C10" s="132"/>
      <c r="D10" s="133"/>
      <c r="E10" s="133"/>
      <c r="F10" s="134"/>
      <c r="G10" s="134"/>
      <c r="H10" s="134"/>
      <c r="I10" s="133"/>
      <c r="J10" s="135"/>
      <c r="K10" s="135"/>
      <c r="L10" s="133"/>
      <c r="O10" s="174"/>
    </row>
    <row r="11" spans="2:18">
      <c r="B11" s="131">
        <f t="shared" ref="B11:B36" si="0">B10+1</f>
        <v>2017</v>
      </c>
      <c r="C11" s="137"/>
      <c r="D11" s="133"/>
      <c r="E11" s="133">
        <f>$C$56</f>
        <v>26.293898611068769</v>
      </c>
      <c r="F11" s="134">
        <f t="shared" ref="F11:F36" si="1">(D11+E11)/(8.76*$C$63)</f>
        <v>7.7369401397035578</v>
      </c>
      <c r="G11" s="133">
        <f>$C$58</f>
        <v>1.1816399331260157</v>
      </c>
      <c r="H11" s="133">
        <f>$C$60</f>
        <v>1.7950732843896238</v>
      </c>
      <c r="I11" s="133"/>
      <c r="J11" s="135">
        <f>(F11+G11+H11)*N11/12+I11*O11/12</f>
        <v>10.713653357219195</v>
      </c>
      <c r="K11" s="135">
        <f t="shared" ref="K11:K36" si="2">ROUND(J11*$C$63*8.76,2)</f>
        <v>36.409999999999997</v>
      </c>
      <c r="L11" s="133">
        <f>$C$57</f>
        <v>0.58600709999999989</v>
      </c>
      <c r="N11" s="122">
        <v>12</v>
      </c>
      <c r="O11" s="122">
        <v>12</v>
      </c>
    </row>
    <row r="12" spans="2:18">
      <c r="B12" s="141">
        <f t="shared" si="0"/>
        <v>2018</v>
      </c>
      <c r="C12" s="142"/>
      <c r="D12" s="133"/>
      <c r="E12" s="133">
        <f t="shared" ref="D12:G19" si="3">ROUND(E11*(1+$D67),2)</f>
        <v>26.9</v>
      </c>
      <c r="F12" s="135">
        <f t="shared" si="1"/>
        <v>7.9152845622677361</v>
      </c>
      <c r="G12" s="133">
        <f t="shared" si="3"/>
        <v>1.21</v>
      </c>
      <c r="H12" s="133">
        <f t="shared" ref="H12" si="4">ROUND(H11*(1+$D67),2)</f>
        <v>1.84</v>
      </c>
      <c r="I12" s="133"/>
      <c r="J12" s="135">
        <f t="shared" ref="J12:J36" si="5">(F12+G12+H12)*N12/12+I12*O12/12</f>
        <v>10.965284562267735</v>
      </c>
      <c r="K12" s="135">
        <f t="shared" si="2"/>
        <v>37.270000000000003</v>
      </c>
      <c r="L12" s="133">
        <f t="shared" ref="L12:L19" si="6">ROUND(L11*(1+$D67),2)</f>
        <v>0.6</v>
      </c>
      <c r="M12" s="124"/>
      <c r="N12" s="122">
        <v>12</v>
      </c>
      <c r="O12" s="122">
        <v>12</v>
      </c>
    </row>
    <row r="13" spans="2:18">
      <c r="B13" s="141">
        <f t="shared" si="0"/>
        <v>2019</v>
      </c>
      <c r="C13" s="142"/>
      <c r="D13" s="133"/>
      <c r="E13" s="133">
        <f t="shared" si="3"/>
        <v>27.49</v>
      </c>
      <c r="F13" s="135">
        <f t="shared" si="1"/>
        <v>8.0888911753434964</v>
      </c>
      <c r="G13" s="133">
        <f t="shared" si="3"/>
        <v>1.24</v>
      </c>
      <c r="H13" s="133">
        <f t="shared" ref="H13" si="7">ROUND(H12*(1+$D68),2)</f>
        <v>1.88</v>
      </c>
      <c r="I13" s="133"/>
      <c r="J13" s="135">
        <f t="shared" si="5"/>
        <v>11.208891175343496</v>
      </c>
      <c r="K13" s="135">
        <f t="shared" si="2"/>
        <v>38.090000000000003</v>
      </c>
      <c r="L13" s="133">
        <f t="shared" si="6"/>
        <v>0.61</v>
      </c>
      <c r="M13" s="124"/>
      <c r="N13" s="122">
        <v>12</v>
      </c>
      <c r="O13" s="122">
        <v>12</v>
      </c>
    </row>
    <row r="14" spans="2:18">
      <c r="B14" s="141">
        <f t="shared" si="0"/>
        <v>2020</v>
      </c>
      <c r="C14" s="142">
        <f>$C$55</f>
        <v>1293.6882754756971</v>
      </c>
      <c r="D14" s="133">
        <f>C14*$C$62</f>
        <v>68.357849825124617</v>
      </c>
      <c r="E14" s="133">
        <f t="shared" si="3"/>
        <v>28.18</v>
      </c>
      <c r="F14" s="135">
        <f t="shared" si="1"/>
        <v>28.406117189417476</v>
      </c>
      <c r="G14" s="133">
        <f t="shared" si="3"/>
        <v>1.27</v>
      </c>
      <c r="H14" s="133">
        <f t="shared" ref="H14" si="8">ROUND(H13*(1+$D69),2)</f>
        <v>1.93</v>
      </c>
      <c r="I14" s="133">
        <v>-33.15</v>
      </c>
      <c r="J14" s="135">
        <f t="shared" si="5"/>
        <v>-0.25731380176375396</v>
      </c>
      <c r="K14" s="135">
        <f t="shared" si="2"/>
        <v>-0.87</v>
      </c>
      <c r="L14" s="133">
        <f t="shared" si="6"/>
        <v>0.63</v>
      </c>
      <c r="M14" s="124"/>
      <c r="N14" s="122">
        <v>2</v>
      </c>
      <c r="O14" s="122">
        <v>2</v>
      </c>
      <c r="P14" s="138"/>
      <c r="Q14" s="139"/>
      <c r="R14" s="140"/>
    </row>
    <row r="15" spans="2:18">
      <c r="B15" s="141">
        <f t="shared" si="0"/>
        <v>2021</v>
      </c>
      <c r="C15" s="142"/>
      <c r="D15" s="133">
        <f t="shared" si="3"/>
        <v>70</v>
      </c>
      <c r="E15" s="133">
        <f t="shared" si="3"/>
        <v>28.86</v>
      </c>
      <c r="F15" s="135">
        <f t="shared" si="1"/>
        <v>29.089406387575778</v>
      </c>
      <c r="G15" s="133">
        <f t="shared" si="3"/>
        <v>1.3</v>
      </c>
      <c r="H15" s="133">
        <f t="shared" ref="H15" si="9">ROUND(H14*(1+$D70),2)</f>
        <v>1.98</v>
      </c>
      <c r="I15" s="133">
        <v>-34.479999999999997</v>
      </c>
      <c r="J15" s="135">
        <f t="shared" si="5"/>
        <v>-2.1105936124242177</v>
      </c>
      <c r="K15" s="135">
        <f t="shared" si="2"/>
        <v>-7.17</v>
      </c>
      <c r="L15" s="133">
        <f t="shared" si="6"/>
        <v>0.65</v>
      </c>
      <c r="M15" s="124"/>
      <c r="N15" s="122">
        <v>12</v>
      </c>
      <c r="O15" s="122">
        <v>12</v>
      </c>
      <c r="P15" s="139"/>
      <c r="Q15" s="139"/>
      <c r="R15" s="140"/>
    </row>
    <row r="16" spans="2:18">
      <c r="B16" s="141">
        <f t="shared" si="0"/>
        <v>2022</v>
      </c>
      <c r="C16" s="142"/>
      <c r="D16" s="133">
        <f t="shared" si="3"/>
        <v>71.680000000000007</v>
      </c>
      <c r="E16" s="133">
        <f t="shared" si="3"/>
        <v>29.55</v>
      </c>
      <c r="F16" s="135">
        <f t="shared" si="1"/>
        <v>29.786775324846207</v>
      </c>
      <c r="G16" s="133">
        <f t="shared" si="3"/>
        <v>1.33</v>
      </c>
      <c r="H16" s="133">
        <f t="shared" ref="H16" si="10">ROUND(H15*(1+$D71),2)</f>
        <v>2.0299999999999998</v>
      </c>
      <c r="I16" s="133">
        <v>-34.479999999999997</v>
      </c>
      <c r="J16" s="135">
        <f t="shared" si="5"/>
        <v>-1.3332246751537866</v>
      </c>
      <c r="K16" s="135">
        <f t="shared" si="2"/>
        <v>-4.53</v>
      </c>
      <c r="L16" s="133">
        <f t="shared" si="6"/>
        <v>0.67</v>
      </c>
      <c r="M16" s="124"/>
      <c r="N16" s="122">
        <v>12</v>
      </c>
      <c r="O16" s="122">
        <v>12</v>
      </c>
    </row>
    <row r="17" spans="2:17">
      <c r="B17" s="141">
        <f t="shared" si="0"/>
        <v>2023</v>
      </c>
      <c r="C17" s="142"/>
      <c r="D17" s="133">
        <f t="shared" si="3"/>
        <v>73.400000000000006</v>
      </c>
      <c r="E17" s="133">
        <f t="shared" si="3"/>
        <v>30.26</v>
      </c>
      <c r="F17" s="135">
        <f t="shared" si="1"/>
        <v>30.501799171920954</v>
      </c>
      <c r="G17" s="133">
        <f t="shared" si="3"/>
        <v>1.36</v>
      </c>
      <c r="H17" s="133">
        <f t="shared" ref="H17" si="11">ROUND(H16*(1+$D72),2)</f>
        <v>2.08</v>
      </c>
      <c r="I17" s="133">
        <v>-35.799999999999997</v>
      </c>
      <c r="J17" s="135">
        <f t="shared" si="5"/>
        <v>-1.8582008280790419</v>
      </c>
      <c r="K17" s="135">
        <f t="shared" si="2"/>
        <v>-6.32</v>
      </c>
      <c r="L17" s="133">
        <f t="shared" si="6"/>
        <v>0.69</v>
      </c>
      <c r="M17" s="124"/>
      <c r="N17" s="122">
        <v>12</v>
      </c>
      <c r="O17" s="122">
        <v>12</v>
      </c>
      <c r="P17" s="138"/>
    </row>
    <row r="18" spans="2:17">
      <c r="B18" s="141">
        <f t="shared" si="0"/>
        <v>2024</v>
      </c>
      <c r="C18" s="142"/>
      <c r="D18" s="133">
        <f t="shared" si="3"/>
        <v>75.09</v>
      </c>
      <c r="E18" s="133">
        <f t="shared" si="3"/>
        <v>30.96</v>
      </c>
      <c r="F18" s="135">
        <f t="shared" si="1"/>
        <v>31.205053079126156</v>
      </c>
      <c r="G18" s="133">
        <f t="shared" si="3"/>
        <v>1.39</v>
      </c>
      <c r="H18" s="133">
        <f t="shared" ref="H18" si="12">ROUND(H17*(1+$D73),2)</f>
        <v>2.13</v>
      </c>
      <c r="I18" s="133">
        <v>-35.799999999999997</v>
      </c>
      <c r="J18" s="135">
        <f t="shared" si="5"/>
        <v>-1.0749469208738418</v>
      </c>
      <c r="K18" s="135">
        <f t="shared" si="2"/>
        <v>-3.65</v>
      </c>
      <c r="L18" s="133">
        <f t="shared" si="6"/>
        <v>0.71</v>
      </c>
      <c r="M18" s="124"/>
      <c r="N18" s="122">
        <v>12</v>
      </c>
      <c r="O18" s="122">
        <v>12</v>
      </c>
    </row>
    <row r="19" spans="2:17">
      <c r="B19" s="141">
        <f t="shared" si="0"/>
        <v>2025</v>
      </c>
      <c r="C19" s="142"/>
      <c r="D19" s="133">
        <f t="shared" si="3"/>
        <v>76.819999999999993</v>
      </c>
      <c r="E19" s="133">
        <f t="shared" si="3"/>
        <v>31.67</v>
      </c>
      <c r="F19" s="135">
        <f t="shared" si="1"/>
        <v>31.92301941116828</v>
      </c>
      <c r="G19" s="133">
        <f t="shared" si="3"/>
        <v>1.42</v>
      </c>
      <c r="H19" s="133">
        <f t="shared" ref="H19" si="13">ROUND(H18*(1+$D74),2)</f>
        <v>2.1800000000000002</v>
      </c>
      <c r="I19" s="133">
        <v>-37.130000000000003</v>
      </c>
      <c r="J19" s="135">
        <f t="shared" si="5"/>
        <v>-1.6069805888317248</v>
      </c>
      <c r="K19" s="135">
        <f t="shared" si="2"/>
        <v>-5.46</v>
      </c>
      <c r="L19" s="133">
        <f t="shared" si="6"/>
        <v>0.73</v>
      </c>
      <c r="M19" s="124"/>
      <c r="N19" s="122">
        <v>12</v>
      </c>
      <c r="O19" s="122">
        <v>12</v>
      </c>
    </row>
    <row r="20" spans="2:17">
      <c r="B20" s="141">
        <f t="shared" si="0"/>
        <v>2026</v>
      </c>
      <c r="C20" s="142"/>
      <c r="D20" s="133">
        <f>ROUND(D19*(1+$G66),2)</f>
        <v>78.510000000000005</v>
      </c>
      <c r="E20" s="133">
        <f>ROUND(E19*(1+$G66),2)</f>
        <v>32.369999999999997</v>
      </c>
      <c r="F20" s="135">
        <f t="shared" si="1"/>
        <v>32.626273318373478</v>
      </c>
      <c r="G20" s="133">
        <f>ROUND(G19*(1+$G66),2)</f>
        <v>1.45</v>
      </c>
      <c r="H20" s="133">
        <f>ROUND(H19*(1+$G66),2)</f>
        <v>2.23</v>
      </c>
      <c r="I20" s="133">
        <v>-37.130000000000003</v>
      </c>
      <c r="J20" s="135">
        <f t="shared" si="5"/>
        <v>-0.82372668162652474</v>
      </c>
      <c r="K20" s="135">
        <f t="shared" si="2"/>
        <v>-2.8</v>
      </c>
      <c r="L20" s="133">
        <f>ROUND(L19*(1+$G66),2)</f>
        <v>0.75</v>
      </c>
      <c r="M20" s="124"/>
      <c r="N20" s="122">
        <v>12</v>
      </c>
      <c r="O20" s="122">
        <v>12</v>
      </c>
      <c r="Q20" s="171"/>
    </row>
    <row r="21" spans="2:17">
      <c r="B21" s="141">
        <f t="shared" si="0"/>
        <v>2027</v>
      </c>
      <c r="C21" s="142"/>
      <c r="D21" s="133">
        <f t="shared" ref="D21:G28" si="14">ROUND(D20*(1+$G67),2)</f>
        <v>80.239999999999995</v>
      </c>
      <c r="E21" s="133">
        <f t="shared" si="14"/>
        <v>33.08</v>
      </c>
      <c r="F21" s="135">
        <f t="shared" si="1"/>
        <v>33.344239650415609</v>
      </c>
      <c r="G21" s="133">
        <f t="shared" si="14"/>
        <v>1.48</v>
      </c>
      <c r="H21" s="133">
        <f t="shared" ref="H21" si="15">ROUND(H20*(1+$G67),2)</f>
        <v>2.2799999999999998</v>
      </c>
      <c r="I21" s="133">
        <v>-38.450000000000003</v>
      </c>
      <c r="J21" s="135">
        <f t="shared" si="5"/>
        <v>-1.3457603495843955</v>
      </c>
      <c r="K21" s="135">
        <f t="shared" si="2"/>
        <v>-4.57</v>
      </c>
      <c r="L21" s="133">
        <f t="shared" ref="L21:L28" si="16">ROUND(L20*(1+$G67),2)</f>
        <v>0.77</v>
      </c>
      <c r="M21" s="124"/>
      <c r="N21" s="122">
        <v>12</v>
      </c>
      <c r="O21" s="122">
        <v>12</v>
      </c>
    </row>
    <row r="22" spans="2:17">
      <c r="B22" s="141">
        <f t="shared" si="0"/>
        <v>2028</v>
      </c>
      <c r="C22" s="142"/>
      <c r="D22" s="133">
        <f t="shared" si="14"/>
        <v>82.01</v>
      </c>
      <c r="E22" s="133">
        <f t="shared" si="14"/>
        <v>33.81</v>
      </c>
      <c r="F22" s="135">
        <f t="shared" si="1"/>
        <v>34.079860892262055</v>
      </c>
      <c r="G22" s="133">
        <f t="shared" si="14"/>
        <v>1.51</v>
      </c>
      <c r="H22" s="133">
        <f t="shared" ref="H22" si="17">ROUND(H21*(1+$G68),2)</f>
        <v>2.33</v>
      </c>
      <c r="I22" s="133">
        <v>-38.450000000000003</v>
      </c>
      <c r="J22" s="135">
        <f t="shared" si="5"/>
        <v>-0.53013910773795203</v>
      </c>
      <c r="K22" s="135">
        <f t="shared" si="2"/>
        <v>-1.8</v>
      </c>
      <c r="L22" s="133">
        <f t="shared" si="16"/>
        <v>0.79</v>
      </c>
      <c r="M22" s="124"/>
      <c r="N22" s="122">
        <v>12</v>
      </c>
      <c r="O22" s="122">
        <v>12</v>
      </c>
    </row>
    <row r="23" spans="2:17">
      <c r="B23" s="141">
        <f t="shared" si="0"/>
        <v>2029</v>
      </c>
      <c r="C23" s="142"/>
      <c r="D23" s="133">
        <f t="shared" si="14"/>
        <v>83.73</v>
      </c>
      <c r="E23" s="133">
        <f t="shared" si="14"/>
        <v>34.520000000000003</v>
      </c>
      <c r="F23" s="135">
        <f t="shared" si="1"/>
        <v>34.794884739336794</v>
      </c>
      <c r="G23" s="133">
        <f t="shared" si="14"/>
        <v>1.54</v>
      </c>
      <c r="H23" s="133">
        <f t="shared" ref="H23" si="18">ROUND(H22*(1+$G69),2)</f>
        <v>2.38</v>
      </c>
      <c r="I23" s="133">
        <v>-39.78</v>
      </c>
      <c r="J23" s="135">
        <f t="shared" si="5"/>
        <v>-1.0651152606632053</v>
      </c>
      <c r="K23" s="135">
        <f t="shared" si="2"/>
        <v>-3.62</v>
      </c>
      <c r="L23" s="133">
        <f t="shared" si="16"/>
        <v>0.81</v>
      </c>
      <c r="M23" s="124"/>
      <c r="N23" s="122">
        <v>12</v>
      </c>
      <c r="O23" s="122">
        <v>12</v>
      </c>
    </row>
    <row r="24" spans="2:17">
      <c r="B24" s="141">
        <f t="shared" si="0"/>
        <v>2030</v>
      </c>
      <c r="C24" s="142"/>
      <c r="D24" s="133">
        <f t="shared" si="14"/>
        <v>85.4</v>
      </c>
      <c r="E24" s="133">
        <f t="shared" si="14"/>
        <v>35.21</v>
      </c>
      <c r="F24" s="135">
        <f t="shared" si="1"/>
        <v>35.489311191639842</v>
      </c>
      <c r="G24" s="133">
        <f t="shared" si="14"/>
        <v>1.57</v>
      </c>
      <c r="H24" s="133">
        <f t="shared" ref="H24" si="19">ROUND(H23*(1+$G70),2)</f>
        <v>2.4300000000000002</v>
      </c>
      <c r="I24" s="133">
        <v>-41.11</v>
      </c>
      <c r="J24" s="135">
        <f t="shared" si="5"/>
        <v>5.2309778583065096</v>
      </c>
      <c r="K24" s="135">
        <f t="shared" si="2"/>
        <v>17.78</v>
      </c>
      <c r="L24" s="133">
        <f t="shared" si="16"/>
        <v>0.83</v>
      </c>
      <c r="M24" s="124"/>
      <c r="N24" s="122">
        <v>12</v>
      </c>
      <c r="O24" s="122">
        <v>10</v>
      </c>
    </row>
    <row r="25" spans="2:17">
      <c r="B25" s="141">
        <f t="shared" si="0"/>
        <v>2031</v>
      </c>
      <c r="C25" s="142"/>
      <c r="D25" s="133">
        <f t="shared" si="14"/>
        <v>87.11</v>
      </c>
      <c r="E25" s="133">
        <f t="shared" si="14"/>
        <v>35.909999999999997</v>
      </c>
      <c r="F25" s="135">
        <f t="shared" si="1"/>
        <v>36.198450068779813</v>
      </c>
      <c r="G25" s="133">
        <f t="shared" si="14"/>
        <v>1.6</v>
      </c>
      <c r="H25" s="133">
        <f t="shared" ref="H25" si="20">ROUND(H24*(1+$G71),2)</f>
        <v>2.48</v>
      </c>
      <c r="I25" s="133"/>
      <c r="J25" s="135">
        <f t="shared" si="5"/>
        <v>40.278450068779811</v>
      </c>
      <c r="K25" s="135">
        <f t="shared" si="2"/>
        <v>136.88999999999999</v>
      </c>
      <c r="L25" s="133">
        <f t="shared" si="16"/>
        <v>0.85</v>
      </c>
      <c r="M25" s="124"/>
      <c r="N25" s="122">
        <v>12</v>
      </c>
      <c r="O25" s="122"/>
    </row>
    <row r="26" spans="2:17">
      <c r="B26" s="141">
        <f t="shared" si="0"/>
        <v>2032</v>
      </c>
      <c r="C26" s="142"/>
      <c r="D26" s="133">
        <f t="shared" si="14"/>
        <v>88.85</v>
      </c>
      <c r="E26" s="133">
        <f t="shared" si="14"/>
        <v>36.630000000000003</v>
      </c>
      <c r="F26" s="135">
        <f t="shared" si="1"/>
        <v>36.922301370756713</v>
      </c>
      <c r="G26" s="133">
        <f t="shared" si="14"/>
        <v>1.63</v>
      </c>
      <c r="H26" s="133">
        <f t="shared" ref="H26" si="21">ROUND(H25*(1+$G72),2)</f>
        <v>2.5299999999999998</v>
      </c>
      <c r="I26" s="133"/>
      <c r="J26" s="135">
        <f t="shared" si="5"/>
        <v>41.082301370756717</v>
      </c>
      <c r="K26" s="135">
        <f t="shared" si="2"/>
        <v>139.62</v>
      </c>
      <c r="L26" s="133">
        <f t="shared" si="16"/>
        <v>0.87</v>
      </c>
      <c r="M26" s="124"/>
      <c r="N26" s="122">
        <v>12</v>
      </c>
      <c r="O26" s="122"/>
    </row>
    <row r="27" spans="2:17">
      <c r="B27" s="141">
        <f t="shared" si="0"/>
        <v>2033</v>
      </c>
      <c r="C27" s="142"/>
      <c r="D27" s="133">
        <f t="shared" si="14"/>
        <v>90.63</v>
      </c>
      <c r="E27" s="133">
        <f t="shared" si="14"/>
        <v>37.36</v>
      </c>
      <c r="F27" s="135">
        <f t="shared" si="1"/>
        <v>37.660865097570543</v>
      </c>
      <c r="G27" s="133">
        <f t="shared" si="14"/>
        <v>1.66</v>
      </c>
      <c r="H27" s="133">
        <f t="shared" ref="H27" si="22">ROUND(H26*(1+$G73),2)</f>
        <v>2.58</v>
      </c>
      <c r="I27" s="133"/>
      <c r="J27" s="135">
        <f t="shared" si="5"/>
        <v>41.900865097570538</v>
      </c>
      <c r="K27" s="135">
        <f t="shared" si="2"/>
        <v>142.4</v>
      </c>
      <c r="L27" s="133">
        <f t="shared" si="16"/>
        <v>0.89</v>
      </c>
      <c r="M27" s="124"/>
      <c r="N27" s="122">
        <v>12</v>
      </c>
      <c r="O27" s="122"/>
    </row>
    <row r="28" spans="2:17">
      <c r="B28" s="141">
        <f t="shared" si="0"/>
        <v>2034</v>
      </c>
      <c r="C28" s="142"/>
      <c r="D28" s="133">
        <f t="shared" si="14"/>
        <v>92.44</v>
      </c>
      <c r="E28" s="133">
        <f t="shared" si="14"/>
        <v>38.11</v>
      </c>
      <c r="F28" s="135">
        <f t="shared" si="1"/>
        <v>38.414141249221302</v>
      </c>
      <c r="G28" s="133">
        <f t="shared" si="14"/>
        <v>1.69</v>
      </c>
      <c r="H28" s="133">
        <f t="shared" ref="H28" si="23">ROUND(H27*(1+$G74),2)</f>
        <v>2.63</v>
      </c>
      <c r="I28" s="133"/>
      <c r="J28" s="135">
        <f t="shared" si="5"/>
        <v>42.734141249221302</v>
      </c>
      <c r="K28" s="135">
        <f t="shared" si="2"/>
        <v>145.22999999999999</v>
      </c>
      <c r="L28" s="133">
        <f t="shared" si="16"/>
        <v>0.91</v>
      </c>
      <c r="M28" s="124"/>
      <c r="N28" s="122">
        <v>12</v>
      </c>
      <c r="O28" s="122"/>
    </row>
    <row r="29" spans="2:17">
      <c r="B29" s="141">
        <f t="shared" si="0"/>
        <v>2035</v>
      </c>
      <c r="C29" s="142"/>
      <c r="D29" s="133">
        <f>ROUND(D28*(1+$L66),2)</f>
        <v>94.29</v>
      </c>
      <c r="E29" s="133">
        <f>ROUND(E28*(1+$L66),2)</f>
        <v>38.869999999999997</v>
      </c>
      <c r="F29" s="135">
        <f t="shared" si="1"/>
        <v>39.182129825708991</v>
      </c>
      <c r="G29" s="133">
        <f>ROUND(G28*(1+$L66),2)</f>
        <v>1.72</v>
      </c>
      <c r="H29" s="133">
        <f>ROUND(H28*(1+$L66),2)</f>
        <v>2.68</v>
      </c>
      <c r="I29" s="133"/>
      <c r="J29" s="135">
        <f t="shared" si="5"/>
        <v>43.582129825708989</v>
      </c>
      <c r="K29" s="135">
        <f t="shared" si="2"/>
        <v>148.11000000000001</v>
      </c>
      <c r="L29" s="133">
        <f>ROUND(L28*(1+$L66),2)</f>
        <v>0.93</v>
      </c>
      <c r="M29" s="124"/>
      <c r="N29" s="122">
        <v>12</v>
      </c>
      <c r="O29" s="122"/>
    </row>
    <row r="30" spans="2:17">
      <c r="B30" s="141">
        <f t="shared" si="0"/>
        <v>2036</v>
      </c>
      <c r="C30" s="142"/>
      <c r="D30" s="133">
        <f t="shared" ref="D30:G36" si="24">ROUND(D29*(1+$L67),2)</f>
        <v>96.18</v>
      </c>
      <c r="E30" s="133">
        <f t="shared" si="24"/>
        <v>39.65</v>
      </c>
      <c r="F30" s="135">
        <f t="shared" si="1"/>
        <v>39.967773312000993</v>
      </c>
      <c r="G30" s="133">
        <f t="shared" si="24"/>
        <v>1.75</v>
      </c>
      <c r="H30" s="133">
        <f t="shared" ref="H30" si="25">ROUND(H29*(1+$L67),2)</f>
        <v>2.73</v>
      </c>
      <c r="I30" s="133"/>
      <c r="J30" s="135">
        <f t="shared" si="5"/>
        <v>44.447773312000983</v>
      </c>
      <c r="K30" s="135">
        <f t="shared" si="2"/>
        <v>151.06</v>
      </c>
      <c r="L30" s="133">
        <f t="shared" ref="L30:L36" si="26">ROUND(L29*(1+$L67),2)</f>
        <v>0.95</v>
      </c>
      <c r="M30" s="124"/>
      <c r="N30" s="122">
        <v>12</v>
      </c>
      <c r="O30" s="122"/>
    </row>
    <row r="31" spans="2:17">
      <c r="B31" s="141">
        <f t="shared" si="0"/>
        <v>2037</v>
      </c>
      <c r="C31" s="142"/>
      <c r="D31" s="133">
        <f t="shared" si="24"/>
        <v>98.2</v>
      </c>
      <c r="E31" s="133">
        <f t="shared" si="24"/>
        <v>40.479999999999997</v>
      </c>
      <c r="F31" s="135">
        <f t="shared" si="1"/>
        <v>40.806381527705938</v>
      </c>
      <c r="G31" s="133">
        <f t="shared" si="24"/>
        <v>1.79</v>
      </c>
      <c r="H31" s="133">
        <f t="shared" ref="H31" si="27">ROUND(H30*(1+$L68),2)</f>
        <v>2.79</v>
      </c>
      <c r="I31" s="133"/>
      <c r="J31" s="135">
        <f t="shared" si="5"/>
        <v>45.386381527705936</v>
      </c>
      <c r="K31" s="135">
        <f t="shared" si="2"/>
        <v>154.25</v>
      </c>
      <c r="L31" s="133">
        <f t="shared" si="26"/>
        <v>0.97</v>
      </c>
      <c r="M31" s="124"/>
      <c r="N31" s="122">
        <v>12</v>
      </c>
      <c r="O31" s="122"/>
    </row>
    <row r="32" spans="2:17">
      <c r="B32" s="141">
        <f t="shared" si="0"/>
        <v>2038</v>
      </c>
      <c r="C32" s="142"/>
      <c r="D32" s="133">
        <f t="shared" si="24"/>
        <v>100.26</v>
      </c>
      <c r="E32" s="133">
        <f t="shared" si="24"/>
        <v>41.33</v>
      </c>
      <c r="F32" s="135">
        <f t="shared" si="1"/>
        <v>41.662644653215196</v>
      </c>
      <c r="G32" s="133">
        <f t="shared" si="24"/>
        <v>1.83</v>
      </c>
      <c r="H32" s="133">
        <f t="shared" ref="H32" si="28">ROUND(H31*(1+$L69),2)</f>
        <v>2.85</v>
      </c>
      <c r="I32" s="133"/>
      <c r="J32" s="135">
        <f t="shared" si="5"/>
        <v>46.342644653215196</v>
      </c>
      <c r="K32" s="135">
        <f t="shared" si="2"/>
        <v>157.49</v>
      </c>
      <c r="L32" s="133">
        <f t="shared" si="26"/>
        <v>0.99</v>
      </c>
      <c r="M32" s="124"/>
      <c r="N32" s="122">
        <v>12</v>
      </c>
      <c r="O32" s="122"/>
    </row>
    <row r="33" spans="2:15">
      <c r="B33" s="141">
        <f t="shared" si="0"/>
        <v>2039</v>
      </c>
      <c r="C33" s="142"/>
      <c r="D33" s="133">
        <f t="shared" si="24"/>
        <v>102.37</v>
      </c>
      <c r="E33" s="133">
        <f t="shared" si="24"/>
        <v>42.2</v>
      </c>
      <c r="F33" s="135">
        <f t="shared" si="1"/>
        <v>42.53950517349616</v>
      </c>
      <c r="G33" s="133">
        <f t="shared" si="24"/>
        <v>1.87</v>
      </c>
      <c r="H33" s="133">
        <f t="shared" ref="H33" si="29">ROUND(H32*(1+$L70),2)</f>
        <v>2.91</v>
      </c>
      <c r="I33" s="133"/>
      <c r="J33" s="135">
        <f t="shared" si="5"/>
        <v>47.319505173496147</v>
      </c>
      <c r="K33" s="135">
        <f t="shared" si="2"/>
        <v>160.81</v>
      </c>
      <c r="L33" s="133">
        <f t="shared" si="26"/>
        <v>1.01</v>
      </c>
      <c r="M33" s="124"/>
      <c r="N33" s="122">
        <v>12</v>
      </c>
      <c r="O33" s="122"/>
    </row>
    <row r="34" spans="2:15">
      <c r="B34" s="141">
        <f t="shared" si="0"/>
        <v>2040</v>
      </c>
      <c r="C34" s="142"/>
      <c r="D34" s="133">
        <f t="shared" si="24"/>
        <v>104.52</v>
      </c>
      <c r="E34" s="133">
        <f t="shared" si="24"/>
        <v>43.09</v>
      </c>
      <c r="F34" s="135">
        <f t="shared" si="1"/>
        <v>43.434020603581438</v>
      </c>
      <c r="G34" s="133">
        <f t="shared" si="24"/>
        <v>1.91</v>
      </c>
      <c r="H34" s="133">
        <f t="shared" ref="H34" si="30">ROUND(H33*(1+$L71),2)</f>
        <v>2.97</v>
      </c>
      <c r="I34" s="133"/>
      <c r="J34" s="135">
        <f t="shared" si="5"/>
        <v>48.314020603581433</v>
      </c>
      <c r="K34" s="135">
        <f t="shared" si="2"/>
        <v>164.19</v>
      </c>
      <c r="L34" s="133">
        <f t="shared" si="26"/>
        <v>1.03</v>
      </c>
      <c r="M34" s="124"/>
      <c r="N34" s="122">
        <v>12</v>
      </c>
      <c r="O34" s="122"/>
    </row>
    <row r="35" spans="2:15">
      <c r="B35" s="141">
        <f t="shared" si="0"/>
        <v>2041</v>
      </c>
      <c r="C35" s="142"/>
      <c r="D35" s="133">
        <f t="shared" si="24"/>
        <v>106.82</v>
      </c>
      <c r="E35" s="133">
        <f t="shared" si="24"/>
        <v>44.04</v>
      </c>
      <c r="F35" s="135">
        <f t="shared" si="1"/>
        <v>44.390328217981811</v>
      </c>
      <c r="G35" s="133">
        <f t="shared" si="24"/>
        <v>1.95</v>
      </c>
      <c r="H35" s="133">
        <f t="shared" ref="H35" si="31">ROUND(H34*(1+$L72),2)</f>
        <v>3.04</v>
      </c>
      <c r="I35" s="133"/>
      <c r="J35" s="135">
        <f t="shared" si="5"/>
        <v>49.38032821798182</v>
      </c>
      <c r="K35" s="135">
        <f t="shared" si="2"/>
        <v>167.82</v>
      </c>
      <c r="L35" s="133">
        <f t="shared" si="26"/>
        <v>1.05</v>
      </c>
      <c r="M35" s="124"/>
      <c r="N35" s="122">
        <v>12</v>
      </c>
      <c r="O35" s="122"/>
    </row>
    <row r="36" spans="2:15">
      <c r="B36" s="141">
        <f t="shared" si="0"/>
        <v>2042</v>
      </c>
      <c r="C36" s="142"/>
      <c r="D36" s="133">
        <f t="shared" si="24"/>
        <v>109.17</v>
      </c>
      <c r="E36" s="133">
        <f t="shared" si="24"/>
        <v>45.01</v>
      </c>
      <c r="F36" s="135">
        <f t="shared" si="1"/>
        <v>45.367233227153889</v>
      </c>
      <c r="G36" s="133">
        <f t="shared" si="24"/>
        <v>1.99</v>
      </c>
      <c r="H36" s="133">
        <f t="shared" ref="H36" si="32">ROUND(H35*(1+$L73),2)</f>
        <v>3.11</v>
      </c>
      <c r="I36" s="133"/>
      <c r="J36" s="135">
        <f t="shared" si="5"/>
        <v>50.467233227153891</v>
      </c>
      <c r="K36" s="135">
        <f t="shared" si="2"/>
        <v>171.51</v>
      </c>
      <c r="L36" s="133">
        <f t="shared" si="26"/>
        <v>1.07</v>
      </c>
      <c r="M36" s="124"/>
      <c r="N36" s="122">
        <v>12</v>
      </c>
      <c r="O36" s="122"/>
    </row>
    <row r="37" spans="2:15">
      <c r="B37" s="141"/>
      <c r="C37" s="137"/>
      <c r="D37" s="133"/>
      <c r="E37" s="133"/>
      <c r="F37" s="134"/>
      <c r="G37" s="133"/>
      <c r="H37" s="133"/>
      <c r="I37" s="133"/>
      <c r="J37" s="135"/>
      <c r="K37" s="135"/>
      <c r="L37" s="144"/>
    </row>
    <row r="38" spans="2:15">
      <c r="B38" s="131"/>
      <c r="C38" s="137"/>
      <c r="D38" s="133"/>
      <c r="E38" s="133"/>
      <c r="F38" s="134"/>
      <c r="G38" s="133"/>
      <c r="H38" s="133"/>
      <c r="I38" s="133"/>
      <c r="J38" s="135"/>
      <c r="K38" s="135"/>
      <c r="L38" s="144"/>
    </row>
    <row r="39" spans="2:15">
      <c r="B39" s="131"/>
      <c r="C39" s="137"/>
      <c r="D39" s="133"/>
      <c r="E39" s="133"/>
      <c r="F39" s="134"/>
      <c r="G39" s="133"/>
      <c r="H39" s="133"/>
      <c r="I39" s="133"/>
      <c r="J39" s="135"/>
      <c r="K39" s="135"/>
      <c r="L39" s="144"/>
    </row>
    <row r="40" spans="2:15">
      <c r="B40" s="131"/>
      <c r="C40" s="137"/>
      <c r="D40" s="133"/>
      <c r="E40" s="133"/>
      <c r="F40" s="134"/>
      <c r="G40" s="133"/>
      <c r="H40" s="133"/>
      <c r="I40" s="133"/>
      <c r="J40" s="135"/>
      <c r="K40" s="135"/>
      <c r="L40" s="144"/>
    </row>
    <row r="42" spans="2:15" ht="14.25">
      <c r="B42" s="145" t="s">
        <v>27</v>
      </c>
      <c r="C42" s="146"/>
      <c r="D42" s="146"/>
      <c r="E42" s="146"/>
      <c r="F42" s="146"/>
      <c r="G42" s="146"/>
      <c r="H42" s="146"/>
      <c r="I42" s="146"/>
    </row>
    <row r="44" spans="2:15">
      <c r="B44" s="122" t="s">
        <v>73</v>
      </c>
      <c r="C44" s="147" t="s">
        <v>74</v>
      </c>
      <c r="D44" s="148" t="s">
        <v>118</v>
      </c>
    </row>
    <row r="45" spans="2:15">
      <c r="C45" s="147" t="str">
        <f>C7</f>
        <v>(a)</v>
      </c>
      <c r="D45" s="122" t="s">
        <v>75</v>
      </c>
    </row>
    <row r="46" spans="2:15">
      <c r="C46" s="147" t="str">
        <f>D7</f>
        <v>(b)</v>
      </c>
      <c r="D46" s="135" t="str">
        <f>"= "&amp;C7&amp;" x "&amp;C62</f>
        <v>= (a) x 0.0528395063331536</v>
      </c>
    </row>
    <row r="47" spans="2:15">
      <c r="C47" s="147" t="str">
        <f>F7</f>
        <v>(d)</v>
      </c>
      <c r="D47" s="135" t="str">
        <f>"= ("&amp;$D$7&amp;" + "&amp;$E$7&amp;") /  (8.76 x "&amp;TEXT(C63,"0.0%")&amp;")"</f>
        <v>= ((b) + (c)) /  (8.76 x 38.8%)</v>
      </c>
    </row>
    <row r="48" spans="2:15">
      <c r="C48" s="147" t="str">
        <f>J7</f>
        <v>(g)</v>
      </c>
      <c r="D48" s="135" t="str">
        <f>"= "&amp;$F$7&amp;" + "&amp;$I$7</f>
        <v>= (d) + (f)</v>
      </c>
    </row>
    <row r="49" spans="2:24">
      <c r="C49" s="147" t="str">
        <f>L7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Wyoming Wind Resource - 39% Capacity Factor</v>
      </c>
      <c r="D52" s="149"/>
      <c r="E52" s="149"/>
      <c r="F52" s="149"/>
      <c r="G52" s="149"/>
      <c r="H52" s="149"/>
      <c r="I52" s="149"/>
      <c r="J52" s="150"/>
      <c r="K52" s="150"/>
      <c r="L52" s="151"/>
    </row>
    <row r="53" spans="2:24" ht="13.5" thickBot="1">
      <c r="C53" s="152" t="s">
        <v>76</v>
      </c>
      <c r="D53" s="153" t="s">
        <v>77</v>
      </c>
      <c r="E53" s="153"/>
      <c r="F53" s="153"/>
      <c r="G53" s="153"/>
      <c r="H53" s="153"/>
      <c r="I53" s="154"/>
      <c r="J53" s="150"/>
      <c r="K53" s="150"/>
      <c r="L53" s="151"/>
    </row>
    <row r="55" spans="2:24">
      <c r="B55" s="86" t="s">
        <v>113</v>
      </c>
      <c r="C55" s="186">
        <v>1293.6882754756971</v>
      </c>
      <c r="D55" s="122" t="s">
        <v>75</v>
      </c>
      <c r="I55" s="122" t="s">
        <v>9</v>
      </c>
    </row>
    <row r="56" spans="2:24">
      <c r="B56" s="86" t="s">
        <v>112</v>
      </c>
      <c r="C56" s="155">
        <v>26.293898611068769</v>
      </c>
      <c r="D56" s="122" t="s">
        <v>78</v>
      </c>
      <c r="I56" s="122" t="s">
        <v>9</v>
      </c>
    </row>
    <row r="57" spans="2:24">
      <c r="B57" s="86" t="s">
        <v>112</v>
      </c>
      <c r="C57" s="160">
        <v>0.58600709999999989</v>
      </c>
      <c r="D57" s="122" t="s">
        <v>83</v>
      </c>
      <c r="I57" s="122" t="s">
        <v>80</v>
      </c>
    </row>
    <row r="58" spans="2:24">
      <c r="B58" s="86" t="s">
        <v>112</v>
      </c>
      <c r="C58" s="155">
        <v>1.1816399331260157</v>
      </c>
      <c r="D58" s="122" t="s">
        <v>79</v>
      </c>
      <c r="I58" s="122" t="s">
        <v>80</v>
      </c>
      <c r="L58" s="124"/>
      <c r="M58" s="156"/>
      <c r="N58" s="52"/>
      <c r="O58" s="175"/>
      <c r="P58" s="52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>
        <v>-12.501261943267853</v>
      </c>
      <c r="D59" s="122" t="s">
        <v>81</v>
      </c>
      <c r="I59" s="122" t="s">
        <v>80</v>
      </c>
      <c r="J59" s="221" t="s">
        <v>116</v>
      </c>
      <c r="M59" s="158"/>
      <c r="N59" s="159"/>
      <c r="P59" s="157"/>
      <c r="Q59" s="124"/>
      <c r="R59" s="124"/>
      <c r="S59" s="124"/>
      <c r="T59" s="124"/>
      <c r="U59" s="124"/>
      <c r="V59" s="124"/>
      <c r="W59" s="124"/>
      <c r="X59" s="124"/>
    </row>
    <row r="60" spans="2:24">
      <c r="B60" s="86" t="s">
        <v>112</v>
      </c>
      <c r="C60" s="160">
        <v>1.7950732843896238</v>
      </c>
      <c r="D60" s="122" t="s">
        <v>115</v>
      </c>
      <c r="I60" s="122" t="s">
        <v>80</v>
      </c>
      <c r="L60" s="158"/>
      <c r="M60" s="158"/>
      <c r="N60" s="158"/>
      <c r="O60" s="176"/>
      <c r="P60" s="157"/>
      <c r="Q60" s="124"/>
      <c r="R60" s="124"/>
      <c r="S60" s="124"/>
      <c r="T60" s="124"/>
      <c r="U60" s="124"/>
      <c r="V60" s="124"/>
      <c r="W60" s="124"/>
      <c r="X60" s="124"/>
    </row>
    <row r="61" spans="2:24">
      <c r="B61" s="86"/>
      <c r="C61" s="225"/>
      <c r="L61" s="158"/>
      <c r="M61" s="158"/>
      <c r="N61" s="158"/>
      <c r="O61" s="176"/>
      <c r="P61" s="158"/>
      <c r="S61" s="124"/>
      <c r="T61" s="124"/>
      <c r="U61" s="124"/>
      <c r="V61" s="124"/>
      <c r="W61" s="124"/>
      <c r="X61" s="124"/>
    </row>
    <row r="62" spans="2:24">
      <c r="C62" s="163">
        <v>5.2839506333153576E-2</v>
      </c>
      <c r="D62" s="122" t="s">
        <v>38</v>
      </c>
      <c r="L62" s="164"/>
      <c r="M62" s="165"/>
      <c r="N62" s="165"/>
      <c r="P62" s="166"/>
    </row>
    <row r="63" spans="2:24">
      <c r="C63" s="238">
        <v>0.38795525688946075</v>
      </c>
      <c r="D63" s="122" t="s">
        <v>39</v>
      </c>
    </row>
    <row r="64" spans="2:24" ht="13.5" thickBot="1">
      <c r="D64" s="161"/>
    </row>
    <row r="65" spans="3:15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49"/>
      <c r="L65" s="151"/>
    </row>
    <row r="66" spans="3:15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41"/>
      <c r="I66" s="86"/>
      <c r="J66" s="88">
        <f>F74+1</f>
        <v>2035</v>
      </c>
      <c r="K66" s="88"/>
      <c r="L66" s="41">
        <v>0.02</v>
      </c>
    </row>
    <row r="67" spans="3:15">
      <c r="C67" s="88">
        <f t="shared" ref="C67:C74" si="33">C66+1</f>
        <v>2018</v>
      </c>
      <c r="D67" s="41">
        <v>2.3E-2</v>
      </c>
      <c r="E67" s="86"/>
      <c r="F67" s="88">
        <f t="shared" ref="F67:F74" si="34">F66+1</f>
        <v>2027</v>
      </c>
      <c r="G67" s="41">
        <v>2.1999999999999999E-2</v>
      </c>
      <c r="H67" s="41"/>
      <c r="I67" s="86"/>
      <c r="J67" s="88">
        <f t="shared" ref="J67:J74" si="35">J66+1</f>
        <v>2036</v>
      </c>
      <c r="K67" s="88"/>
      <c r="L67" s="41">
        <v>0.02</v>
      </c>
    </row>
    <row r="68" spans="3:15">
      <c r="C68" s="88">
        <f t="shared" si="33"/>
        <v>2019</v>
      </c>
      <c r="D68" s="41">
        <v>2.1999999999999999E-2</v>
      </c>
      <c r="E68" s="86"/>
      <c r="F68" s="88">
        <f t="shared" si="34"/>
        <v>2028</v>
      </c>
      <c r="G68" s="41">
        <v>2.1999999999999999E-2</v>
      </c>
      <c r="H68" s="41"/>
      <c r="I68" s="86"/>
      <c r="J68" s="88">
        <f t="shared" si="35"/>
        <v>2037</v>
      </c>
      <c r="K68" s="88"/>
      <c r="L68" s="41">
        <v>2.1000000000000001E-2</v>
      </c>
    </row>
    <row r="69" spans="3:15">
      <c r="C69" s="88">
        <f t="shared" si="33"/>
        <v>2020</v>
      </c>
      <c r="D69" s="41">
        <v>2.5000000000000001E-2</v>
      </c>
      <c r="E69" s="86"/>
      <c r="F69" s="88">
        <f t="shared" si="34"/>
        <v>2029</v>
      </c>
      <c r="G69" s="41">
        <v>2.1000000000000001E-2</v>
      </c>
      <c r="H69" s="41"/>
      <c r="I69" s="86"/>
      <c r="J69" s="88">
        <f t="shared" si="35"/>
        <v>2038</v>
      </c>
      <c r="K69" s="88"/>
      <c r="L69" s="41">
        <v>2.1000000000000001E-2</v>
      </c>
    </row>
    <row r="70" spans="3:15">
      <c r="C70" s="88">
        <f t="shared" si="33"/>
        <v>2021</v>
      </c>
      <c r="D70" s="41">
        <v>2.4E-2</v>
      </c>
      <c r="E70" s="86"/>
      <c r="F70" s="88">
        <f t="shared" si="34"/>
        <v>2030</v>
      </c>
      <c r="G70" s="41">
        <v>0.02</v>
      </c>
      <c r="H70" s="41"/>
      <c r="I70" s="86"/>
      <c r="J70" s="88">
        <f t="shared" si="35"/>
        <v>2039</v>
      </c>
      <c r="K70" s="88"/>
      <c r="L70" s="41">
        <v>2.1000000000000001E-2</v>
      </c>
    </row>
    <row r="71" spans="3:15">
      <c r="C71" s="88">
        <f t="shared" si="33"/>
        <v>2022</v>
      </c>
      <c r="D71" s="41">
        <v>2.4E-2</v>
      </c>
      <c r="E71" s="86"/>
      <c r="F71" s="88">
        <f t="shared" si="34"/>
        <v>2031</v>
      </c>
      <c r="G71" s="41">
        <v>0.02</v>
      </c>
      <c r="H71" s="41"/>
      <c r="I71" s="86"/>
      <c r="J71" s="88">
        <f t="shared" si="35"/>
        <v>2040</v>
      </c>
      <c r="K71" s="88"/>
      <c r="L71" s="41">
        <v>2.1000000000000001E-2</v>
      </c>
    </row>
    <row r="72" spans="3:15" s="124" customFormat="1">
      <c r="C72" s="88">
        <f t="shared" si="33"/>
        <v>2023</v>
      </c>
      <c r="D72" s="41">
        <v>2.4E-2</v>
      </c>
      <c r="E72" s="87"/>
      <c r="F72" s="88">
        <f t="shared" si="34"/>
        <v>2032</v>
      </c>
      <c r="G72" s="41">
        <v>0.02</v>
      </c>
      <c r="H72" s="41"/>
      <c r="I72" s="87"/>
      <c r="J72" s="88">
        <f t="shared" si="35"/>
        <v>2041</v>
      </c>
      <c r="K72" s="88"/>
      <c r="L72" s="41">
        <v>2.1999999999999999E-2</v>
      </c>
      <c r="O72" s="176"/>
    </row>
    <row r="73" spans="3:15" s="124" customFormat="1">
      <c r="C73" s="88">
        <f t="shared" si="33"/>
        <v>2024</v>
      </c>
      <c r="D73" s="41">
        <v>2.3E-2</v>
      </c>
      <c r="E73" s="87"/>
      <c r="F73" s="88">
        <f t="shared" si="34"/>
        <v>2033</v>
      </c>
      <c r="G73" s="41">
        <v>0.02</v>
      </c>
      <c r="H73" s="41"/>
      <c r="I73" s="87"/>
      <c r="J73" s="88">
        <f t="shared" si="35"/>
        <v>2042</v>
      </c>
      <c r="K73" s="88"/>
      <c r="L73" s="41">
        <v>2.1999999999999999E-2</v>
      </c>
      <c r="O73" s="176"/>
    </row>
    <row r="74" spans="3:15" s="124" customFormat="1">
      <c r="C74" s="88">
        <f t="shared" si="33"/>
        <v>2025</v>
      </c>
      <c r="D74" s="41">
        <v>2.3E-2</v>
      </c>
      <c r="E74" s="87"/>
      <c r="F74" s="88">
        <f t="shared" si="34"/>
        <v>2034</v>
      </c>
      <c r="G74" s="41">
        <v>0.02</v>
      </c>
      <c r="H74" s="41"/>
      <c r="I74" s="87"/>
      <c r="J74" s="88">
        <f t="shared" si="35"/>
        <v>2043</v>
      </c>
      <c r="K74" s="88"/>
      <c r="L74" s="41">
        <v>2.1999999999999999E-2</v>
      </c>
      <c r="O74" s="176"/>
    </row>
    <row r="75" spans="3:15" s="124" customFormat="1">
      <c r="O75" s="176"/>
    </row>
    <row r="76" spans="3:15" s="124" customFormat="1">
      <c r="O76" s="176"/>
    </row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55" orientation="landscape" r:id="rId1"/>
  <headerFooter alignWithMargins="0"/>
  <rowBreaks count="1" manualBreakCount="1">
    <brk id="51" max="1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8" width="9.83203125" style="122" customWidth="1"/>
    <col min="9" max="9" width="10.5" style="122" customWidth="1"/>
    <col min="10" max="11" width="12.5" style="122" customWidth="1"/>
    <col min="12" max="12" width="13.83203125" style="122" customWidth="1"/>
    <col min="13" max="14" width="9.33203125" style="122"/>
    <col min="15" max="15" width="9.33203125" style="173"/>
    <col min="16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  <c r="K1" s="121"/>
    </row>
    <row r="2" spans="2:18" ht="15.75">
      <c r="B2" s="120" t="s">
        <v>117</v>
      </c>
      <c r="C2" s="121"/>
      <c r="D2" s="121"/>
      <c r="E2" s="121"/>
      <c r="F2" s="121"/>
      <c r="G2" s="121"/>
      <c r="H2" s="121"/>
      <c r="I2" s="121"/>
      <c r="J2" s="121"/>
      <c r="K2" s="121"/>
    </row>
    <row r="3" spans="2:18" ht="15.75">
      <c r="B3" s="120" t="str">
        <f>TEXT($C$63,"0%")&amp;" Capacity Factor"</f>
        <v>39% Capacity Factor</v>
      </c>
      <c r="C3" s="121"/>
      <c r="D3" s="121"/>
      <c r="E3" s="121"/>
      <c r="F3" s="121"/>
      <c r="G3" s="121"/>
      <c r="H3" s="121"/>
      <c r="I3" s="121"/>
      <c r="J3" s="121"/>
      <c r="K3" s="121"/>
    </row>
    <row r="4" spans="2:18">
      <c r="B4" s="123"/>
      <c r="C4" s="123"/>
      <c r="D4" s="123"/>
      <c r="E4" s="123"/>
      <c r="F4" s="123"/>
      <c r="G4" s="123"/>
      <c r="H4" s="123"/>
      <c r="I4" s="123"/>
      <c r="J4" s="124"/>
      <c r="K4" s="124"/>
      <c r="L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7" t="s">
        <v>121</v>
      </c>
      <c r="I5" s="126" t="s">
        <v>71</v>
      </c>
      <c r="J5" s="126" t="s">
        <v>89</v>
      </c>
      <c r="K5" s="17" t="s">
        <v>55</v>
      </c>
      <c r="L5" s="126" t="s">
        <v>72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8" t="s">
        <v>33</v>
      </c>
      <c r="I6" s="128" t="s">
        <v>33</v>
      </c>
      <c r="J6" s="128" t="s">
        <v>33</v>
      </c>
      <c r="K6" s="19" t="s">
        <v>9</v>
      </c>
      <c r="L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/>
      <c r="I7" s="130" t="s">
        <v>7</v>
      </c>
      <c r="J7" s="130" t="s">
        <v>24</v>
      </c>
      <c r="K7" s="130" t="s">
        <v>25</v>
      </c>
      <c r="L7" s="130" t="s">
        <v>25</v>
      </c>
    </row>
    <row r="8" spans="2:18" ht="6" customHeight="1">
      <c r="L8" s="124"/>
    </row>
    <row r="9" spans="2:18" ht="15.75">
      <c r="B9" s="43" t="str">
        <f>C52</f>
        <v>2017 IRP Update Wyoming Wind Resource - 39% Capacity Factor</v>
      </c>
      <c r="C9" s="124"/>
      <c r="E9" s="124"/>
      <c r="F9" s="124"/>
      <c r="G9" s="124"/>
      <c r="H9" s="124"/>
      <c r="I9" s="124"/>
      <c r="J9" s="124"/>
      <c r="K9" s="124"/>
      <c r="L9" s="124"/>
      <c r="O9" s="122"/>
    </row>
    <row r="10" spans="2:18">
      <c r="B10" s="131">
        <v>2016</v>
      </c>
      <c r="C10" s="132"/>
      <c r="D10" s="133"/>
      <c r="E10" s="133"/>
      <c r="F10" s="134"/>
      <c r="G10" s="134"/>
      <c r="H10" s="134"/>
      <c r="I10" s="133"/>
      <c r="J10" s="135"/>
      <c r="K10" s="135"/>
      <c r="L10" s="133"/>
      <c r="O10" s="174"/>
    </row>
    <row r="11" spans="2:18">
      <c r="B11" s="131">
        <f t="shared" ref="B11:B36" si="0">B10+1</f>
        <v>2017</v>
      </c>
      <c r="C11" s="137"/>
      <c r="D11" s="133"/>
      <c r="E11" s="133">
        <f>$C$56</f>
        <v>26.293898611068769</v>
      </c>
      <c r="F11" s="134">
        <f t="shared" ref="F11:F36" si="1">(D11+E11)/(8.76*$C$63)</f>
        <v>7.7369401397035578</v>
      </c>
      <c r="G11" s="133">
        <f>$C$58</f>
        <v>1.1816399331260157</v>
      </c>
      <c r="H11" s="133">
        <f>$C$60</f>
        <v>1.7950732843896238</v>
      </c>
      <c r="I11" s="133"/>
      <c r="J11" s="135">
        <f>F11+I11+G11+H11</f>
        <v>10.713653357219197</v>
      </c>
      <c r="K11" s="135">
        <f t="shared" ref="K11:K36" si="2">ROUND(J11*$C$63*8.76,2)</f>
        <v>36.409999999999997</v>
      </c>
      <c r="L11" s="133">
        <f>$C$57</f>
        <v>0.58600709999999989</v>
      </c>
      <c r="O11" s="174"/>
    </row>
    <row r="12" spans="2:18">
      <c r="B12" s="141">
        <f t="shared" si="0"/>
        <v>2018</v>
      </c>
      <c r="C12" s="142"/>
      <c r="D12" s="133"/>
      <c r="E12" s="133">
        <f t="shared" ref="D12:H19" si="3">ROUND(E11*(1+$D67),2)</f>
        <v>26.9</v>
      </c>
      <c r="F12" s="135">
        <f t="shared" si="1"/>
        <v>7.9152845622677361</v>
      </c>
      <c r="G12" s="133">
        <f t="shared" si="3"/>
        <v>1.21</v>
      </c>
      <c r="H12" s="133">
        <f t="shared" si="3"/>
        <v>1.84</v>
      </c>
      <c r="I12" s="133"/>
      <c r="J12" s="135">
        <f t="shared" ref="J12:J36" si="4">F12+I12+G12+H12</f>
        <v>10.965284562267737</v>
      </c>
      <c r="K12" s="135">
        <f t="shared" si="2"/>
        <v>37.270000000000003</v>
      </c>
      <c r="L12" s="133">
        <f t="shared" ref="L12:L19" si="5">ROUND(L11*(1+$D67),2)</f>
        <v>0.6</v>
      </c>
      <c r="M12" s="124"/>
      <c r="O12" s="174"/>
    </row>
    <row r="13" spans="2:18">
      <c r="B13" s="141">
        <f t="shared" si="0"/>
        <v>2019</v>
      </c>
      <c r="C13" s="142"/>
      <c r="D13" s="133"/>
      <c r="E13" s="133">
        <f t="shared" si="3"/>
        <v>27.49</v>
      </c>
      <c r="F13" s="135">
        <f t="shared" si="1"/>
        <v>8.0888911753434964</v>
      </c>
      <c r="G13" s="133">
        <f t="shared" si="3"/>
        <v>1.24</v>
      </c>
      <c r="H13" s="133">
        <f t="shared" si="3"/>
        <v>1.88</v>
      </c>
      <c r="I13" s="133"/>
      <c r="J13" s="135">
        <f t="shared" si="4"/>
        <v>11.208891175343496</v>
      </c>
      <c r="K13" s="135">
        <f t="shared" si="2"/>
        <v>38.090000000000003</v>
      </c>
      <c r="L13" s="133">
        <f t="shared" si="5"/>
        <v>0.61</v>
      </c>
      <c r="M13" s="124"/>
      <c r="O13" s="174"/>
    </row>
    <row r="14" spans="2:18">
      <c r="B14" s="141">
        <f t="shared" si="0"/>
        <v>2020</v>
      </c>
      <c r="C14" s="142"/>
      <c r="D14" s="133"/>
      <c r="E14" s="133">
        <f t="shared" si="3"/>
        <v>28.18</v>
      </c>
      <c r="F14" s="135">
        <f t="shared" si="1"/>
        <v>8.2919226380931157</v>
      </c>
      <c r="G14" s="133">
        <f t="shared" si="3"/>
        <v>1.27</v>
      </c>
      <c r="H14" s="133">
        <f t="shared" si="3"/>
        <v>1.93</v>
      </c>
      <c r="I14" s="133"/>
      <c r="J14" s="135">
        <f t="shared" si="4"/>
        <v>11.491922638093115</v>
      </c>
      <c r="K14" s="135">
        <f t="shared" si="2"/>
        <v>39.06</v>
      </c>
      <c r="L14" s="133">
        <f t="shared" si="5"/>
        <v>0.63</v>
      </c>
      <c r="M14" s="124"/>
      <c r="O14" s="174"/>
      <c r="P14" s="138"/>
      <c r="Q14" s="139"/>
      <c r="R14" s="140"/>
    </row>
    <row r="15" spans="2:18">
      <c r="B15" s="141">
        <f t="shared" si="0"/>
        <v>2021</v>
      </c>
      <c r="C15" s="142">
        <f>$C$55</f>
        <v>1288.7722600288894</v>
      </c>
      <c r="D15" s="133">
        <f>C15*$C$62</f>
        <v>68.098089995789152</v>
      </c>
      <c r="E15" s="133">
        <f t="shared" si="3"/>
        <v>28.86</v>
      </c>
      <c r="F15" s="135">
        <f t="shared" si="1"/>
        <v>28.529772227904676</v>
      </c>
      <c r="G15" s="133">
        <f t="shared" si="3"/>
        <v>1.3</v>
      </c>
      <c r="H15" s="133">
        <f t="shared" si="3"/>
        <v>1.98</v>
      </c>
      <c r="I15" s="133">
        <v>-34.479999999999997</v>
      </c>
      <c r="J15" s="135">
        <f t="shared" si="4"/>
        <v>-2.6702277720953211</v>
      </c>
      <c r="K15" s="135">
        <f t="shared" si="2"/>
        <v>-9.07</v>
      </c>
      <c r="L15" s="133">
        <f t="shared" si="5"/>
        <v>0.65</v>
      </c>
      <c r="M15" s="124"/>
      <c r="O15" s="174"/>
      <c r="P15" s="139"/>
      <c r="Q15" s="139"/>
      <c r="R15" s="140"/>
    </row>
    <row r="16" spans="2:18">
      <c r="B16" s="141">
        <f t="shared" si="0"/>
        <v>2022</v>
      </c>
      <c r="C16" s="142"/>
      <c r="D16" s="133">
        <f t="shared" si="3"/>
        <v>69.73</v>
      </c>
      <c r="E16" s="133">
        <f t="shared" si="3"/>
        <v>29.55</v>
      </c>
      <c r="F16" s="135">
        <f t="shared" si="1"/>
        <v>29.212990756205983</v>
      </c>
      <c r="G16" s="133">
        <f t="shared" si="3"/>
        <v>1.33</v>
      </c>
      <c r="H16" s="133">
        <f t="shared" si="3"/>
        <v>2.0299999999999998</v>
      </c>
      <c r="I16" s="133">
        <v>-34.479999999999997</v>
      </c>
      <c r="J16" s="135">
        <f t="shared" si="4"/>
        <v>-1.9070092437940143</v>
      </c>
      <c r="K16" s="135">
        <f t="shared" si="2"/>
        <v>-6.48</v>
      </c>
      <c r="L16" s="133">
        <f t="shared" si="5"/>
        <v>0.67</v>
      </c>
      <c r="M16" s="124"/>
      <c r="O16" s="174"/>
    </row>
    <row r="17" spans="2:17">
      <c r="B17" s="141">
        <f t="shared" si="0"/>
        <v>2023</v>
      </c>
      <c r="C17" s="142"/>
      <c r="D17" s="133">
        <f t="shared" si="3"/>
        <v>71.400000000000006</v>
      </c>
      <c r="E17" s="133">
        <f t="shared" si="3"/>
        <v>30.26</v>
      </c>
      <c r="F17" s="135">
        <f t="shared" si="1"/>
        <v>29.9133021784438</v>
      </c>
      <c r="G17" s="133">
        <f t="shared" si="3"/>
        <v>1.36</v>
      </c>
      <c r="H17" s="133">
        <f t="shared" si="3"/>
        <v>2.08</v>
      </c>
      <c r="I17" s="133">
        <v>-35.799999999999997</v>
      </c>
      <c r="J17" s="135">
        <f t="shared" si="4"/>
        <v>-2.4466978215561968</v>
      </c>
      <c r="K17" s="135">
        <f t="shared" si="2"/>
        <v>-8.32</v>
      </c>
      <c r="L17" s="133">
        <f t="shared" si="5"/>
        <v>0.69</v>
      </c>
      <c r="M17" s="124"/>
      <c r="O17" s="174"/>
      <c r="P17" s="138"/>
    </row>
    <row r="18" spans="2:17">
      <c r="B18" s="141">
        <f t="shared" si="0"/>
        <v>2024</v>
      </c>
      <c r="C18" s="142"/>
      <c r="D18" s="133">
        <f t="shared" si="3"/>
        <v>73.040000000000006</v>
      </c>
      <c r="E18" s="133">
        <f t="shared" si="3"/>
        <v>30.96</v>
      </c>
      <c r="F18" s="135">
        <f t="shared" si="1"/>
        <v>30.601843660812065</v>
      </c>
      <c r="G18" s="133">
        <f t="shared" si="3"/>
        <v>1.39</v>
      </c>
      <c r="H18" s="133">
        <f t="shared" si="3"/>
        <v>2.13</v>
      </c>
      <c r="I18" s="133">
        <v>-35.799999999999997</v>
      </c>
      <c r="J18" s="135">
        <f t="shared" si="4"/>
        <v>-1.6781563391879324</v>
      </c>
      <c r="K18" s="135">
        <f t="shared" si="2"/>
        <v>-5.7</v>
      </c>
      <c r="L18" s="133">
        <f t="shared" si="5"/>
        <v>0.71</v>
      </c>
      <c r="M18" s="124"/>
      <c r="O18" s="174"/>
    </row>
    <row r="19" spans="2:17">
      <c r="B19" s="141">
        <f t="shared" si="0"/>
        <v>2025</v>
      </c>
      <c r="C19" s="142"/>
      <c r="D19" s="133">
        <f t="shared" si="3"/>
        <v>74.72</v>
      </c>
      <c r="E19" s="133">
        <f t="shared" si="3"/>
        <v>31.67</v>
      </c>
      <c r="F19" s="135">
        <f t="shared" si="1"/>
        <v>31.305097568017267</v>
      </c>
      <c r="G19" s="133">
        <f t="shared" si="3"/>
        <v>1.42</v>
      </c>
      <c r="H19" s="133">
        <f t="shared" si="3"/>
        <v>2.1800000000000002</v>
      </c>
      <c r="I19" s="133">
        <v>-37.130000000000003</v>
      </c>
      <c r="J19" s="135">
        <f t="shared" si="4"/>
        <v>-2.2249024319827355</v>
      </c>
      <c r="K19" s="135">
        <f t="shared" si="2"/>
        <v>-7.56</v>
      </c>
      <c r="L19" s="133">
        <f t="shared" si="5"/>
        <v>0.73</v>
      </c>
      <c r="M19" s="124"/>
      <c r="O19" s="174"/>
    </row>
    <row r="20" spans="2:17">
      <c r="B20" s="141">
        <f t="shared" si="0"/>
        <v>2026</v>
      </c>
      <c r="C20" s="142"/>
      <c r="D20" s="133">
        <f>ROUND(D19*(1+$G66),2)</f>
        <v>76.36</v>
      </c>
      <c r="E20" s="133">
        <f>ROUND(E19*(1+$G66),2)</f>
        <v>32.369999999999997</v>
      </c>
      <c r="F20" s="135">
        <f t="shared" si="1"/>
        <v>31.993639050385536</v>
      </c>
      <c r="G20" s="133">
        <f>ROUND(G19*(1+$G66),2)</f>
        <v>1.45</v>
      </c>
      <c r="H20" s="133">
        <f>ROUND(H19*(1+$G66),2)</f>
        <v>2.23</v>
      </c>
      <c r="I20" s="133">
        <v>-37.130000000000003</v>
      </c>
      <c r="J20" s="135">
        <f t="shared" si="4"/>
        <v>-1.4563609496144667</v>
      </c>
      <c r="K20" s="135">
        <f t="shared" si="2"/>
        <v>-4.95</v>
      </c>
      <c r="L20" s="133">
        <f>ROUND(L19*(1+$G66),2)</f>
        <v>0.75</v>
      </c>
      <c r="M20" s="124"/>
      <c r="O20" s="174"/>
      <c r="Q20" s="171"/>
    </row>
    <row r="21" spans="2:17">
      <c r="B21" s="141">
        <f t="shared" si="0"/>
        <v>2027</v>
      </c>
      <c r="C21" s="142"/>
      <c r="D21" s="133">
        <f t="shared" ref="D21:H28" si="6">ROUND(D20*(1+$G67),2)</f>
        <v>78.040000000000006</v>
      </c>
      <c r="E21" s="133">
        <f t="shared" si="6"/>
        <v>33.08</v>
      </c>
      <c r="F21" s="135">
        <f t="shared" si="1"/>
        <v>32.696892957590741</v>
      </c>
      <c r="G21" s="133">
        <f t="shared" si="6"/>
        <v>1.48</v>
      </c>
      <c r="H21" s="133">
        <f t="shared" si="6"/>
        <v>2.2799999999999998</v>
      </c>
      <c r="I21" s="133">
        <v>-38.450000000000003</v>
      </c>
      <c r="J21" s="135">
        <f t="shared" si="4"/>
        <v>-1.9931070424092616</v>
      </c>
      <c r="K21" s="135">
        <f t="shared" si="2"/>
        <v>-6.77</v>
      </c>
      <c r="L21" s="133">
        <f t="shared" ref="L21:L28" si="7">ROUND(L20*(1+$G67),2)</f>
        <v>0.77</v>
      </c>
      <c r="M21" s="124"/>
      <c r="O21" s="174"/>
    </row>
    <row r="22" spans="2:17">
      <c r="B22" s="141">
        <f t="shared" si="0"/>
        <v>2028</v>
      </c>
      <c r="C22" s="142"/>
      <c r="D22" s="133">
        <f t="shared" si="6"/>
        <v>79.760000000000005</v>
      </c>
      <c r="E22" s="133">
        <f t="shared" si="6"/>
        <v>33.81</v>
      </c>
      <c r="F22" s="135">
        <f t="shared" si="1"/>
        <v>33.417801774600257</v>
      </c>
      <c r="G22" s="133">
        <f t="shared" si="6"/>
        <v>1.51</v>
      </c>
      <c r="H22" s="133">
        <f t="shared" si="6"/>
        <v>2.33</v>
      </c>
      <c r="I22" s="133">
        <v>-38.450000000000003</v>
      </c>
      <c r="J22" s="135">
        <f t="shared" si="4"/>
        <v>-1.1921982253997463</v>
      </c>
      <c r="K22" s="135">
        <f t="shared" si="2"/>
        <v>-4.05</v>
      </c>
      <c r="L22" s="133">
        <f t="shared" si="7"/>
        <v>0.79</v>
      </c>
      <c r="M22" s="124"/>
      <c r="O22" s="174"/>
    </row>
    <row r="23" spans="2:17">
      <c r="B23" s="141">
        <f t="shared" si="0"/>
        <v>2029</v>
      </c>
      <c r="C23" s="142"/>
      <c r="D23" s="133">
        <f t="shared" si="6"/>
        <v>81.430000000000007</v>
      </c>
      <c r="E23" s="133">
        <f t="shared" si="6"/>
        <v>34.520000000000003</v>
      </c>
      <c r="F23" s="135">
        <f t="shared" si="1"/>
        <v>34.118113196838074</v>
      </c>
      <c r="G23" s="133">
        <f t="shared" si="6"/>
        <v>1.54</v>
      </c>
      <c r="H23" s="133">
        <f t="shared" si="6"/>
        <v>2.38</v>
      </c>
      <c r="I23" s="133">
        <v>-39.78</v>
      </c>
      <c r="J23" s="135">
        <f t="shared" si="4"/>
        <v>-1.7418868031619272</v>
      </c>
      <c r="K23" s="135">
        <f t="shared" si="2"/>
        <v>-5.92</v>
      </c>
      <c r="L23" s="133">
        <f t="shared" si="7"/>
        <v>0.81</v>
      </c>
      <c r="M23" s="124"/>
      <c r="O23" s="174"/>
    </row>
    <row r="24" spans="2:17">
      <c r="B24" s="141">
        <f t="shared" si="0"/>
        <v>2030</v>
      </c>
      <c r="C24" s="142"/>
      <c r="D24" s="133">
        <f t="shared" si="6"/>
        <v>83.06</v>
      </c>
      <c r="E24" s="133">
        <f t="shared" si="6"/>
        <v>35.21</v>
      </c>
      <c r="F24" s="135">
        <f t="shared" si="1"/>
        <v>34.80076970927157</v>
      </c>
      <c r="G24" s="133">
        <f t="shared" si="6"/>
        <v>1.57</v>
      </c>
      <c r="H24" s="133">
        <f t="shared" si="6"/>
        <v>2.4300000000000002</v>
      </c>
      <c r="I24" s="133">
        <v>-41.11</v>
      </c>
      <c r="J24" s="135">
        <f t="shared" si="4"/>
        <v>-2.3092302907284288</v>
      </c>
      <c r="K24" s="135">
        <f t="shared" si="2"/>
        <v>-7.85</v>
      </c>
      <c r="L24" s="133">
        <f t="shared" si="7"/>
        <v>0.83</v>
      </c>
      <c r="M24" s="124"/>
      <c r="O24" s="174"/>
    </row>
    <row r="25" spans="2:17">
      <c r="B25" s="141">
        <f t="shared" si="0"/>
        <v>2031</v>
      </c>
      <c r="C25" s="142"/>
      <c r="D25" s="133">
        <f t="shared" si="6"/>
        <v>84.72</v>
      </c>
      <c r="E25" s="133">
        <f t="shared" si="6"/>
        <v>35.909999999999997</v>
      </c>
      <c r="F25" s="135">
        <f t="shared" si="1"/>
        <v>35.495196161574611</v>
      </c>
      <c r="G25" s="133">
        <f t="shared" si="6"/>
        <v>1.6</v>
      </c>
      <c r="H25" s="133">
        <f t="shared" si="6"/>
        <v>2.48</v>
      </c>
      <c r="I25" s="133"/>
      <c r="J25" s="135">
        <f t="shared" si="4"/>
        <v>39.57519616157461</v>
      </c>
      <c r="K25" s="135">
        <f t="shared" si="2"/>
        <v>134.5</v>
      </c>
      <c r="L25" s="133">
        <f t="shared" si="7"/>
        <v>0.85</v>
      </c>
      <c r="M25" s="124"/>
      <c r="O25" s="174"/>
    </row>
    <row r="26" spans="2:17">
      <c r="B26" s="141">
        <f t="shared" si="0"/>
        <v>2032</v>
      </c>
      <c r="C26" s="142"/>
      <c r="D26" s="133">
        <f t="shared" si="6"/>
        <v>86.41</v>
      </c>
      <c r="E26" s="133">
        <f t="shared" si="6"/>
        <v>36.630000000000003</v>
      </c>
      <c r="F26" s="135">
        <f t="shared" si="1"/>
        <v>36.204335038714582</v>
      </c>
      <c r="G26" s="133">
        <f t="shared" si="6"/>
        <v>1.63</v>
      </c>
      <c r="H26" s="133">
        <f t="shared" si="6"/>
        <v>2.5299999999999998</v>
      </c>
      <c r="I26" s="133"/>
      <c r="J26" s="135">
        <f t="shared" si="4"/>
        <v>40.364335038714586</v>
      </c>
      <c r="K26" s="135">
        <f t="shared" si="2"/>
        <v>137.18</v>
      </c>
      <c r="L26" s="133">
        <f t="shared" si="7"/>
        <v>0.87</v>
      </c>
      <c r="M26" s="124"/>
      <c r="O26" s="174"/>
    </row>
    <row r="27" spans="2:17">
      <c r="B27" s="141">
        <f t="shared" si="0"/>
        <v>2033</v>
      </c>
      <c r="C27" s="142"/>
      <c r="D27" s="133">
        <f t="shared" si="6"/>
        <v>88.14</v>
      </c>
      <c r="E27" s="133">
        <f t="shared" si="6"/>
        <v>37.36</v>
      </c>
      <c r="F27" s="135">
        <f t="shared" si="1"/>
        <v>36.928186340691482</v>
      </c>
      <c r="G27" s="133">
        <f t="shared" si="6"/>
        <v>1.66</v>
      </c>
      <c r="H27" s="133">
        <f t="shared" si="6"/>
        <v>2.58</v>
      </c>
      <c r="I27" s="133"/>
      <c r="J27" s="135">
        <f t="shared" si="4"/>
        <v>41.168186340691477</v>
      </c>
      <c r="K27" s="135">
        <f t="shared" si="2"/>
        <v>139.91</v>
      </c>
      <c r="L27" s="133">
        <f t="shared" si="7"/>
        <v>0.89</v>
      </c>
      <c r="M27" s="124"/>
      <c r="O27" s="174"/>
    </row>
    <row r="28" spans="2:17">
      <c r="B28" s="141">
        <f t="shared" si="0"/>
        <v>2034</v>
      </c>
      <c r="C28" s="142"/>
      <c r="D28" s="133">
        <f t="shared" si="6"/>
        <v>89.9</v>
      </c>
      <c r="E28" s="133">
        <f t="shared" si="6"/>
        <v>38.11</v>
      </c>
      <c r="F28" s="135">
        <f t="shared" si="1"/>
        <v>37.666750067505312</v>
      </c>
      <c r="G28" s="133">
        <f t="shared" si="6"/>
        <v>1.69</v>
      </c>
      <c r="H28" s="133">
        <f t="shared" si="6"/>
        <v>2.63</v>
      </c>
      <c r="I28" s="133"/>
      <c r="J28" s="135">
        <f t="shared" si="4"/>
        <v>41.986750067505312</v>
      </c>
      <c r="K28" s="135">
        <f t="shared" si="2"/>
        <v>142.69</v>
      </c>
      <c r="L28" s="133">
        <f t="shared" si="7"/>
        <v>0.91</v>
      </c>
      <c r="M28" s="124"/>
      <c r="O28" s="174"/>
    </row>
    <row r="29" spans="2:17">
      <c r="B29" s="141">
        <f t="shared" si="0"/>
        <v>2035</v>
      </c>
      <c r="C29" s="142"/>
      <c r="D29" s="133">
        <f>ROUND(D28*(1+$L66),2)</f>
        <v>91.7</v>
      </c>
      <c r="E29" s="133">
        <f>ROUND(E28*(1+$L66),2)</f>
        <v>38.869999999999997</v>
      </c>
      <c r="F29" s="135">
        <f t="shared" si="1"/>
        <v>38.420026219156071</v>
      </c>
      <c r="G29" s="133">
        <f>ROUND(G28*(1+$L66),2)</f>
        <v>1.72</v>
      </c>
      <c r="H29" s="133">
        <f>ROUND(H28*(1+$L66),2)</f>
        <v>2.68</v>
      </c>
      <c r="I29" s="133"/>
      <c r="J29" s="135">
        <f t="shared" si="4"/>
        <v>42.82002621915607</v>
      </c>
      <c r="K29" s="135">
        <f t="shared" si="2"/>
        <v>145.52000000000001</v>
      </c>
      <c r="L29" s="133">
        <f>ROUND(L28*(1+$L66),2)</f>
        <v>0.93</v>
      </c>
      <c r="M29" s="124"/>
      <c r="O29" s="174"/>
    </row>
    <row r="30" spans="2:17">
      <c r="B30" s="141">
        <f t="shared" si="0"/>
        <v>2036</v>
      </c>
      <c r="C30" s="142"/>
      <c r="D30" s="133">
        <f t="shared" ref="D30:H36" si="8">ROUND(D29*(1+$L67),2)</f>
        <v>93.53</v>
      </c>
      <c r="E30" s="133">
        <f t="shared" si="8"/>
        <v>39.65</v>
      </c>
      <c r="F30" s="135">
        <f t="shared" si="1"/>
        <v>39.18801479564376</v>
      </c>
      <c r="G30" s="133">
        <f t="shared" si="8"/>
        <v>1.75</v>
      </c>
      <c r="H30" s="133">
        <f t="shared" si="8"/>
        <v>2.73</v>
      </c>
      <c r="I30" s="133"/>
      <c r="J30" s="135">
        <f t="shared" si="4"/>
        <v>43.668014795643757</v>
      </c>
      <c r="K30" s="135">
        <f t="shared" si="2"/>
        <v>148.41</v>
      </c>
      <c r="L30" s="133">
        <f t="shared" ref="L30:L36" si="9">ROUND(L29*(1+$L67),2)</f>
        <v>0.95</v>
      </c>
      <c r="M30" s="124"/>
      <c r="O30" s="174"/>
    </row>
    <row r="31" spans="2:17">
      <c r="B31" s="141">
        <f t="shared" si="0"/>
        <v>2037</v>
      </c>
      <c r="C31" s="142"/>
      <c r="D31" s="133">
        <f t="shared" si="8"/>
        <v>95.49</v>
      </c>
      <c r="E31" s="133">
        <f t="shared" si="8"/>
        <v>40.479999999999997</v>
      </c>
      <c r="F31" s="135">
        <f t="shared" si="1"/>
        <v>40.00896810154439</v>
      </c>
      <c r="G31" s="133">
        <f t="shared" si="8"/>
        <v>1.79</v>
      </c>
      <c r="H31" s="133">
        <f t="shared" si="8"/>
        <v>2.79</v>
      </c>
      <c r="I31" s="133"/>
      <c r="J31" s="135">
        <f t="shared" si="4"/>
        <v>44.588968101544388</v>
      </c>
      <c r="K31" s="135">
        <f t="shared" si="2"/>
        <v>151.54</v>
      </c>
      <c r="L31" s="133">
        <f t="shared" si="9"/>
        <v>0.97</v>
      </c>
      <c r="M31" s="124"/>
      <c r="O31" s="174"/>
    </row>
    <row r="32" spans="2:17">
      <c r="B32" s="141">
        <f t="shared" si="0"/>
        <v>2038</v>
      </c>
      <c r="C32" s="142"/>
      <c r="D32" s="133">
        <f t="shared" si="8"/>
        <v>97.5</v>
      </c>
      <c r="E32" s="133">
        <f t="shared" si="8"/>
        <v>41.33</v>
      </c>
      <c r="F32" s="135">
        <f t="shared" si="1"/>
        <v>40.850518802216719</v>
      </c>
      <c r="G32" s="133">
        <f t="shared" si="8"/>
        <v>1.83</v>
      </c>
      <c r="H32" s="133">
        <f t="shared" si="8"/>
        <v>2.85</v>
      </c>
      <c r="I32" s="133"/>
      <c r="J32" s="135">
        <f t="shared" si="4"/>
        <v>45.530518802216719</v>
      </c>
      <c r="K32" s="135">
        <f t="shared" si="2"/>
        <v>154.72999999999999</v>
      </c>
      <c r="L32" s="133">
        <f t="shared" si="9"/>
        <v>0.99</v>
      </c>
      <c r="M32" s="124"/>
      <c r="O32" s="174"/>
    </row>
    <row r="33" spans="2:15">
      <c r="B33" s="141">
        <f t="shared" si="0"/>
        <v>2039</v>
      </c>
      <c r="C33" s="142"/>
      <c r="D33" s="133">
        <f t="shared" si="8"/>
        <v>99.55</v>
      </c>
      <c r="E33" s="133">
        <f t="shared" si="8"/>
        <v>42.2</v>
      </c>
      <c r="F33" s="135">
        <f t="shared" si="1"/>
        <v>41.709724412693369</v>
      </c>
      <c r="G33" s="133">
        <f t="shared" si="8"/>
        <v>1.87</v>
      </c>
      <c r="H33" s="133">
        <f t="shared" si="8"/>
        <v>2.91</v>
      </c>
      <c r="I33" s="133"/>
      <c r="J33" s="135">
        <f t="shared" si="4"/>
        <v>46.489724412693363</v>
      </c>
      <c r="K33" s="135">
        <f t="shared" si="2"/>
        <v>157.99</v>
      </c>
      <c r="L33" s="133">
        <f t="shared" si="9"/>
        <v>1.01</v>
      </c>
      <c r="M33" s="124"/>
      <c r="O33" s="174"/>
    </row>
    <row r="34" spans="2:15">
      <c r="B34" s="141">
        <f t="shared" si="0"/>
        <v>2040</v>
      </c>
      <c r="C34" s="142"/>
      <c r="D34" s="133">
        <f t="shared" si="8"/>
        <v>101.64</v>
      </c>
      <c r="E34" s="133">
        <f t="shared" si="8"/>
        <v>43.09</v>
      </c>
      <c r="F34" s="135">
        <f t="shared" si="1"/>
        <v>42.58658493297434</v>
      </c>
      <c r="G34" s="133">
        <f t="shared" si="8"/>
        <v>1.91</v>
      </c>
      <c r="H34" s="133">
        <f t="shared" si="8"/>
        <v>2.97</v>
      </c>
      <c r="I34" s="133"/>
      <c r="J34" s="135">
        <f t="shared" si="4"/>
        <v>47.466584932974335</v>
      </c>
      <c r="K34" s="135">
        <f t="shared" si="2"/>
        <v>161.31</v>
      </c>
      <c r="L34" s="133">
        <f t="shared" si="9"/>
        <v>1.03</v>
      </c>
      <c r="M34" s="124"/>
      <c r="O34" s="174"/>
    </row>
    <row r="35" spans="2:15">
      <c r="B35" s="141">
        <f t="shared" si="0"/>
        <v>2041</v>
      </c>
      <c r="C35" s="142"/>
      <c r="D35" s="133">
        <f t="shared" si="8"/>
        <v>103.88</v>
      </c>
      <c r="E35" s="133">
        <f t="shared" si="8"/>
        <v>44.04</v>
      </c>
      <c r="F35" s="135">
        <f t="shared" si="1"/>
        <v>43.525237637570392</v>
      </c>
      <c r="G35" s="133">
        <f t="shared" si="8"/>
        <v>1.95</v>
      </c>
      <c r="H35" s="133">
        <f t="shared" si="8"/>
        <v>3.04</v>
      </c>
      <c r="I35" s="133"/>
      <c r="J35" s="135">
        <f t="shared" si="4"/>
        <v>48.515237637570394</v>
      </c>
      <c r="K35" s="135">
        <f t="shared" si="2"/>
        <v>164.88</v>
      </c>
      <c r="L35" s="133">
        <f t="shared" si="9"/>
        <v>1.05</v>
      </c>
      <c r="M35" s="124"/>
      <c r="O35" s="174"/>
    </row>
    <row r="36" spans="2:15">
      <c r="B36" s="141">
        <f t="shared" si="0"/>
        <v>2042</v>
      </c>
      <c r="C36" s="142"/>
      <c r="D36" s="133">
        <f t="shared" si="8"/>
        <v>106.17</v>
      </c>
      <c r="E36" s="133">
        <f t="shared" si="8"/>
        <v>45.01</v>
      </c>
      <c r="F36" s="135">
        <f t="shared" si="1"/>
        <v>44.484487736938156</v>
      </c>
      <c r="G36" s="133">
        <f t="shared" si="8"/>
        <v>1.99</v>
      </c>
      <c r="H36" s="133">
        <f t="shared" si="8"/>
        <v>3.11</v>
      </c>
      <c r="I36" s="133"/>
      <c r="J36" s="135">
        <f t="shared" si="4"/>
        <v>49.584487736938158</v>
      </c>
      <c r="K36" s="135">
        <f t="shared" si="2"/>
        <v>168.51</v>
      </c>
      <c r="L36" s="133">
        <f t="shared" si="9"/>
        <v>1.07</v>
      </c>
      <c r="M36" s="124"/>
      <c r="O36" s="174"/>
    </row>
    <row r="37" spans="2:15">
      <c r="B37" s="141"/>
      <c r="C37" s="137"/>
      <c r="D37" s="133"/>
      <c r="E37" s="133"/>
      <c r="F37" s="134"/>
      <c r="G37" s="133"/>
      <c r="H37" s="133"/>
      <c r="I37" s="133"/>
      <c r="J37" s="135"/>
      <c r="K37" s="135"/>
      <c r="L37" s="144"/>
    </row>
    <row r="38" spans="2:15">
      <c r="B38" s="131"/>
      <c r="C38" s="137"/>
      <c r="D38" s="133"/>
      <c r="E38" s="133"/>
      <c r="F38" s="134"/>
      <c r="G38" s="133"/>
      <c r="H38" s="133"/>
      <c r="I38" s="133"/>
      <c r="J38" s="135"/>
      <c r="K38" s="135"/>
      <c r="L38" s="144"/>
    </row>
    <row r="39" spans="2:15">
      <c r="B39" s="131"/>
      <c r="C39" s="137"/>
      <c r="D39" s="133"/>
      <c r="E39" s="133"/>
      <c r="F39" s="134"/>
      <c r="G39" s="133"/>
      <c r="H39" s="133"/>
      <c r="I39" s="133"/>
      <c r="J39" s="135"/>
      <c r="K39" s="135"/>
      <c r="L39" s="144"/>
    </row>
    <row r="40" spans="2:15">
      <c r="B40" s="131"/>
      <c r="C40" s="137"/>
      <c r="D40" s="133"/>
      <c r="E40" s="133"/>
      <c r="F40" s="134"/>
      <c r="G40" s="133"/>
      <c r="H40" s="133"/>
      <c r="I40" s="133"/>
      <c r="J40" s="135"/>
      <c r="K40" s="135"/>
      <c r="L40" s="144"/>
    </row>
    <row r="42" spans="2:15" ht="14.25">
      <c r="B42" s="145" t="s">
        <v>27</v>
      </c>
      <c r="C42" s="146"/>
      <c r="D42" s="146"/>
      <c r="E42" s="146"/>
      <c r="F42" s="146"/>
      <c r="G42" s="146"/>
      <c r="H42" s="146"/>
      <c r="I42" s="146"/>
    </row>
    <row r="44" spans="2:15">
      <c r="B44" s="122" t="s">
        <v>73</v>
      </c>
      <c r="C44" s="147" t="s">
        <v>74</v>
      </c>
      <c r="D44" s="148" t="str">
        <f>'Table 3 EV2020 Wind_2020'!D44</f>
        <v>Plant Costs  - 2017 IRP Update - Table 5.4 &amp; 5.5</v>
      </c>
    </row>
    <row r="45" spans="2:15">
      <c r="C45" s="147" t="str">
        <f>C7</f>
        <v>(a)</v>
      </c>
      <c r="D45" s="122" t="s">
        <v>75</v>
      </c>
    </row>
    <row r="46" spans="2:15">
      <c r="C46" s="147" t="str">
        <f>D7</f>
        <v>(b)</v>
      </c>
      <c r="D46" s="135" t="str">
        <f>"= "&amp;C7&amp;" x "&amp;C62</f>
        <v>= (a) x 0.0528395063331536</v>
      </c>
    </row>
    <row r="47" spans="2:15">
      <c r="C47" s="147" t="str">
        <f>F7</f>
        <v>(d)</v>
      </c>
      <c r="D47" s="135" t="str">
        <f>"= ("&amp;$D$7&amp;" + "&amp;$E$7&amp;") /  (8.76 x "&amp;TEXT(C63,"0.0%")&amp;")"</f>
        <v>= ((b) + (c)) /  (8.76 x 38.8%)</v>
      </c>
    </row>
    <row r="48" spans="2:15">
      <c r="C48" s="147" t="str">
        <f>J7</f>
        <v>(g)</v>
      </c>
      <c r="D48" s="135" t="str">
        <f>"= "&amp;$F$7&amp;" + "&amp;$I$7</f>
        <v>= (d) + (f)</v>
      </c>
    </row>
    <row r="49" spans="2:24">
      <c r="C49" s="147" t="str">
        <f>L7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Wyoming Wind Resource - 39% Capacity Factor</v>
      </c>
      <c r="D52" s="149"/>
      <c r="E52" s="149"/>
      <c r="F52" s="149"/>
      <c r="G52" s="149"/>
      <c r="H52" s="149"/>
      <c r="I52" s="149"/>
      <c r="J52" s="150"/>
      <c r="K52" s="150"/>
      <c r="L52" s="151"/>
    </row>
    <row r="53" spans="2:24" ht="13.5" thickBot="1">
      <c r="C53" s="152" t="s">
        <v>76</v>
      </c>
      <c r="D53" s="153" t="s">
        <v>77</v>
      </c>
      <c r="E53" s="153"/>
      <c r="F53" s="153"/>
      <c r="G53" s="153"/>
      <c r="H53" s="153"/>
      <c r="I53" s="154"/>
      <c r="J53" s="150"/>
      <c r="K53" s="150"/>
      <c r="L53" s="151"/>
    </row>
    <row r="55" spans="2:24">
      <c r="B55" s="86" t="s">
        <v>119</v>
      </c>
      <c r="C55" s="186">
        <v>1288.7722600288894</v>
      </c>
      <c r="D55" s="122" t="s">
        <v>75</v>
      </c>
      <c r="I55" s="122" t="s">
        <v>9</v>
      </c>
    </row>
    <row r="56" spans="2:24">
      <c r="B56" s="86" t="s">
        <v>112</v>
      </c>
      <c r="C56" s="155">
        <v>26.293898611068769</v>
      </c>
      <c r="D56" s="122" t="s">
        <v>78</v>
      </c>
      <c r="I56" s="122" t="s">
        <v>9</v>
      </c>
    </row>
    <row r="57" spans="2:24">
      <c r="B57" s="86" t="s">
        <v>112</v>
      </c>
      <c r="C57" s="160">
        <v>0.58600709999999989</v>
      </c>
      <c r="D57" s="122" t="s">
        <v>83</v>
      </c>
      <c r="I57" s="122" t="s">
        <v>80</v>
      </c>
    </row>
    <row r="58" spans="2:24">
      <c r="B58" s="86" t="s">
        <v>112</v>
      </c>
      <c r="C58" s="155">
        <v>1.1816399331260157</v>
      </c>
      <c r="D58" s="122" t="s">
        <v>79</v>
      </c>
      <c r="I58" s="122" t="s">
        <v>80</v>
      </c>
      <c r="L58" s="124"/>
      <c r="M58" s="156"/>
      <c r="N58" s="52"/>
      <c r="O58" s="175"/>
      <c r="P58" s="52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>
        <v>-12.501261943267853</v>
      </c>
      <c r="D59" s="122" t="s">
        <v>81</v>
      </c>
      <c r="I59" s="122" t="s">
        <v>80</v>
      </c>
      <c r="J59" s="221" t="s">
        <v>116</v>
      </c>
      <c r="M59" s="158"/>
      <c r="N59" s="159"/>
      <c r="P59" s="157"/>
      <c r="Q59" s="124"/>
      <c r="R59" s="124"/>
      <c r="S59" s="124"/>
      <c r="T59" s="124"/>
      <c r="U59" s="124"/>
      <c r="V59" s="124"/>
      <c r="W59" s="124"/>
      <c r="X59" s="124"/>
    </row>
    <row r="60" spans="2:24">
      <c r="B60" s="86" t="s">
        <v>112</v>
      </c>
      <c r="C60" s="160">
        <v>1.7950732843896238</v>
      </c>
      <c r="D60" s="122" t="s">
        <v>115</v>
      </c>
      <c r="I60" s="122" t="s">
        <v>80</v>
      </c>
      <c r="L60" s="158"/>
      <c r="M60" s="158"/>
      <c r="N60" s="158"/>
      <c r="O60" s="176"/>
      <c r="P60" s="157"/>
      <c r="Q60" s="124"/>
      <c r="R60" s="124"/>
      <c r="S60" s="124"/>
      <c r="T60" s="124"/>
      <c r="U60" s="124"/>
      <c r="V60" s="124"/>
      <c r="W60" s="124"/>
      <c r="X60" s="124"/>
    </row>
    <row r="61" spans="2:24">
      <c r="B61" s="86"/>
      <c r="C61" s="225"/>
      <c r="L61" s="158"/>
      <c r="M61" s="158"/>
      <c r="N61" s="158"/>
      <c r="O61" s="176"/>
      <c r="P61" s="158"/>
      <c r="S61" s="124"/>
      <c r="T61" s="124"/>
      <c r="U61" s="124"/>
      <c r="V61" s="124"/>
      <c r="W61" s="124"/>
      <c r="X61" s="124"/>
    </row>
    <row r="62" spans="2:24">
      <c r="C62" s="163">
        <v>5.2839506333153576E-2</v>
      </c>
      <c r="D62" s="122" t="s">
        <v>38</v>
      </c>
      <c r="L62" s="164"/>
      <c r="M62" s="165"/>
      <c r="N62" s="165"/>
      <c r="P62" s="166"/>
    </row>
    <row r="63" spans="2:24">
      <c r="C63" s="187">
        <v>0.38795525688946075</v>
      </c>
      <c r="D63" s="122" t="s">
        <v>39</v>
      </c>
    </row>
    <row r="64" spans="2:24" ht="13.5" thickBot="1">
      <c r="D64" s="161"/>
    </row>
    <row r="65" spans="3:15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49"/>
      <c r="L65" s="151"/>
    </row>
    <row r="66" spans="3:15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41"/>
      <c r="I66" s="86"/>
      <c r="J66" s="88">
        <f>F74+1</f>
        <v>2035</v>
      </c>
      <c r="K66" s="88"/>
      <c r="L66" s="41">
        <v>0.02</v>
      </c>
    </row>
    <row r="67" spans="3:15">
      <c r="C67" s="88">
        <f t="shared" ref="C67:C74" si="10">C66+1</f>
        <v>2018</v>
      </c>
      <c r="D67" s="41">
        <v>2.3E-2</v>
      </c>
      <c r="E67" s="86"/>
      <c r="F67" s="88">
        <f t="shared" ref="F67:F74" si="11">F66+1</f>
        <v>2027</v>
      </c>
      <c r="G67" s="41">
        <v>2.1999999999999999E-2</v>
      </c>
      <c r="H67" s="41"/>
      <c r="I67" s="86"/>
      <c r="J67" s="88">
        <f t="shared" ref="J67:J74" si="12">J66+1</f>
        <v>2036</v>
      </c>
      <c r="K67" s="88"/>
      <c r="L67" s="41">
        <v>0.02</v>
      </c>
    </row>
    <row r="68" spans="3:15">
      <c r="C68" s="88">
        <f t="shared" si="10"/>
        <v>2019</v>
      </c>
      <c r="D68" s="41">
        <v>2.1999999999999999E-2</v>
      </c>
      <c r="E68" s="86"/>
      <c r="F68" s="88">
        <f t="shared" si="11"/>
        <v>2028</v>
      </c>
      <c r="G68" s="41">
        <v>2.1999999999999999E-2</v>
      </c>
      <c r="H68" s="41"/>
      <c r="I68" s="86"/>
      <c r="J68" s="88">
        <f t="shared" si="12"/>
        <v>2037</v>
      </c>
      <c r="K68" s="88"/>
      <c r="L68" s="41">
        <v>2.1000000000000001E-2</v>
      </c>
    </row>
    <row r="69" spans="3:15">
      <c r="C69" s="88">
        <f t="shared" si="10"/>
        <v>2020</v>
      </c>
      <c r="D69" s="41">
        <v>2.5000000000000001E-2</v>
      </c>
      <c r="E69" s="86"/>
      <c r="F69" s="88">
        <f t="shared" si="11"/>
        <v>2029</v>
      </c>
      <c r="G69" s="41">
        <v>2.1000000000000001E-2</v>
      </c>
      <c r="H69" s="41"/>
      <c r="I69" s="86"/>
      <c r="J69" s="88">
        <f t="shared" si="12"/>
        <v>2038</v>
      </c>
      <c r="K69" s="88"/>
      <c r="L69" s="41">
        <v>2.1000000000000001E-2</v>
      </c>
    </row>
    <row r="70" spans="3:15">
      <c r="C70" s="88">
        <f t="shared" si="10"/>
        <v>2021</v>
      </c>
      <c r="D70" s="41">
        <v>2.4E-2</v>
      </c>
      <c r="E70" s="86"/>
      <c r="F70" s="88">
        <f t="shared" si="11"/>
        <v>2030</v>
      </c>
      <c r="G70" s="41">
        <v>0.02</v>
      </c>
      <c r="H70" s="41"/>
      <c r="I70" s="86"/>
      <c r="J70" s="88">
        <f t="shared" si="12"/>
        <v>2039</v>
      </c>
      <c r="K70" s="88"/>
      <c r="L70" s="41">
        <v>2.1000000000000001E-2</v>
      </c>
    </row>
    <row r="71" spans="3:15">
      <c r="C71" s="88">
        <f t="shared" si="10"/>
        <v>2022</v>
      </c>
      <c r="D71" s="41">
        <v>2.4E-2</v>
      </c>
      <c r="E71" s="86"/>
      <c r="F71" s="88">
        <f t="shared" si="11"/>
        <v>2031</v>
      </c>
      <c r="G71" s="41">
        <v>0.02</v>
      </c>
      <c r="H71" s="41"/>
      <c r="I71" s="86"/>
      <c r="J71" s="88">
        <f t="shared" si="12"/>
        <v>2040</v>
      </c>
      <c r="K71" s="88"/>
      <c r="L71" s="41">
        <v>2.1000000000000001E-2</v>
      </c>
    </row>
    <row r="72" spans="3:15" s="124" customFormat="1">
      <c r="C72" s="88">
        <f t="shared" si="10"/>
        <v>2023</v>
      </c>
      <c r="D72" s="41">
        <v>2.4E-2</v>
      </c>
      <c r="E72" s="87"/>
      <c r="F72" s="88">
        <f t="shared" si="11"/>
        <v>2032</v>
      </c>
      <c r="G72" s="41">
        <v>0.02</v>
      </c>
      <c r="H72" s="41"/>
      <c r="I72" s="87"/>
      <c r="J72" s="88">
        <f t="shared" si="12"/>
        <v>2041</v>
      </c>
      <c r="K72" s="88"/>
      <c r="L72" s="41">
        <v>2.1999999999999999E-2</v>
      </c>
      <c r="O72" s="176"/>
    </row>
    <row r="73" spans="3:15" s="124" customFormat="1">
      <c r="C73" s="88">
        <f t="shared" si="10"/>
        <v>2024</v>
      </c>
      <c r="D73" s="41">
        <v>2.3E-2</v>
      </c>
      <c r="E73" s="87"/>
      <c r="F73" s="88">
        <f t="shared" si="11"/>
        <v>2033</v>
      </c>
      <c r="G73" s="41">
        <v>0.02</v>
      </c>
      <c r="H73" s="41"/>
      <c r="I73" s="87"/>
      <c r="J73" s="88">
        <f t="shared" si="12"/>
        <v>2042</v>
      </c>
      <c r="K73" s="88"/>
      <c r="L73" s="41">
        <v>2.1999999999999999E-2</v>
      </c>
      <c r="O73" s="176"/>
    </row>
    <row r="74" spans="3:15" s="124" customFormat="1">
      <c r="C74" s="88">
        <f t="shared" si="10"/>
        <v>2025</v>
      </c>
      <c r="D74" s="41">
        <v>2.3E-2</v>
      </c>
      <c r="E74" s="87"/>
      <c r="F74" s="88">
        <f t="shared" si="11"/>
        <v>2034</v>
      </c>
      <c r="G74" s="41">
        <v>0.02</v>
      </c>
      <c r="H74" s="41"/>
      <c r="I74" s="87"/>
      <c r="J74" s="88">
        <f t="shared" si="12"/>
        <v>2043</v>
      </c>
      <c r="K74" s="88"/>
      <c r="L74" s="41">
        <v>2.1999999999999999E-2</v>
      </c>
      <c r="O74" s="176"/>
    </row>
    <row r="75" spans="3:15" s="124" customFormat="1">
      <c r="O75" s="176"/>
    </row>
    <row r="76" spans="3:15" s="124" customFormat="1">
      <c r="O76" s="176"/>
    </row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55" orientation="landscape" r:id="rId1"/>
  <headerFooter alignWithMargins="0"/>
  <rowBreaks count="1" manualBreakCount="1">
    <brk id="5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zoomScaleNormal="100" zoomScaleSheetLayoutView="85" workbookViewId="0">
      <pane xSplit="2" ySplit="6" topLeftCell="C7" activePane="bottomRight" state="frozen"/>
      <selection activeCell="E15" sqref="E15"/>
      <selection pane="topRight" activeCell="E15" sqref="E15"/>
      <selection pane="bottomLeft" activeCell="E15" sqref="E15"/>
      <selection pane="bottomRight" activeCell="G22" sqref="G22"/>
    </sheetView>
  </sheetViews>
  <sheetFormatPr defaultColWidth="9.33203125" defaultRowHeight="12.75"/>
  <cols>
    <col min="1" max="1" width="2.83203125" style="3" customWidth="1"/>
    <col min="2" max="2" width="7" style="3" customWidth="1"/>
    <col min="3" max="12" width="10.1640625" style="3" customWidth="1"/>
    <col min="13" max="13" width="10.1640625" style="5" customWidth="1"/>
    <col min="14" max="15" width="10.1640625" style="3" customWidth="1"/>
    <col min="16" max="16" width="1.6640625" style="3" customWidth="1"/>
    <col min="17" max="16384" width="9.33203125" style="3"/>
  </cols>
  <sheetData>
    <row r="1" spans="2:16" s="296" customFormat="1" ht="15.75" hidden="1">
      <c r="B1" s="1" t="s">
        <v>37</v>
      </c>
      <c r="C1" s="1"/>
      <c r="D1" s="1"/>
      <c r="E1" s="1"/>
      <c r="F1" s="1"/>
      <c r="G1" s="293"/>
      <c r="H1" s="1"/>
      <c r="I1" s="1"/>
      <c r="J1" s="1"/>
      <c r="K1" s="1"/>
      <c r="L1" s="294"/>
      <c r="M1" s="295"/>
      <c r="N1" s="295"/>
      <c r="O1" s="295"/>
      <c r="P1" s="295"/>
    </row>
    <row r="2" spans="2:16" s="296" customFormat="1" ht="5.25" customHeight="1">
      <c r="B2" s="1"/>
      <c r="C2" s="1"/>
      <c r="D2" s="1"/>
      <c r="E2" s="1"/>
      <c r="F2" s="1"/>
      <c r="G2" s="293"/>
      <c r="H2" s="1"/>
      <c r="I2" s="1"/>
      <c r="J2" s="1"/>
      <c r="K2" s="1"/>
      <c r="L2" s="294"/>
      <c r="M2" s="295"/>
      <c r="N2" s="295"/>
      <c r="O2" s="295"/>
      <c r="P2" s="295"/>
    </row>
    <row r="3" spans="2:16" s="296" customFormat="1" ht="15.75">
      <c r="B3" s="1" t="s">
        <v>184</v>
      </c>
      <c r="C3" s="1"/>
      <c r="D3" s="1"/>
      <c r="E3" s="1"/>
      <c r="F3" s="1"/>
      <c r="G3" s="293"/>
      <c r="H3" s="1"/>
      <c r="I3" s="1"/>
      <c r="J3" s="1"/>
      <c r="K3" s="1"/>
      <c r="L3" s="294"/>
      <c r="M3" s="295"/>
      <c r="N3" s="295"/>
      <c r="O3" s="295"/>
      <c r="P3" s="295"/>
    </row>
    <row r="4" spans="2:16" s="298" customFormat="1" ht="15">
      <c r="B4" s="4" t="s">
        <v>185</v>
      </c>
      <c r="C4" s="4"/>
      <c r="D4" s="4"/>
      <c r="E4" s="4"/>
      <c r="F4" s="4"/>
      <c r="G4" s="4"/>
      <c r="H4" s="4"/>
      <c r="I4" s="4"/>
      <c r="J4" s="4"/>
      <c r="K4" s="4"/>
      <c r="L4" s="4"/>
      <c r="M4" s="297"/>
      <c r="N4" s="297"/>
      <c r="O4" s="297"/>
      <c r="P4" s="297"/>
    </row>
    <row r="5" spans="2:16" s="298" customFormat="1" ht="15">
      <c r="B5" s="4" t="str">
        <f ca="1">'Table 1'!B5</f>
        <v>Utah 2018.Q2_Wind - 80.0 MW and 31.0% CF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s="298" customFormat="1" ht="15" hidden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97"/>
      <c r="N6" s="297"/>
      <c r="O6" s="297"/>
      <c r="P6" s="297"/>
    </row>
    <row r="7" spans="2:16">
      <c r="D7" s="299"/>
      <c r="E7" s="299"/>
      <c r="F7" s="299"/>
      <c r="G7" s="300"/>
      <c r="H7" s="300"/>
      <c r="I7" s="300"/>
      <c r="J7" s="300"/>
      <c r="K7" s="300"/>
      <c r="L7" s="300"/>
      <c r="M7" s="301"/>
    </row>
    <row r="8" spans="2:16">
      <c r="B8" s="302" t="s">
        <v>0</v>
      </c>
      <c r="C8" s="302"/>
      <c r="D8" s="303" t="s">
        <v>186</v>
      </c>
      <c r="E8" s="304"/>
      <c r="F8" s="304"/>
      <c r="G8" s="303"/>
      <c r="H8" s="303"/>
      <c r="I8" s="305" t="s">
        <v>187</v>
      </c>
      <c r="J8" s="306"/>
      <c r="K8" s="306"/>
      <c r="L8" s="307"/>
      <c r="M8" s="308" t="s">
        <v>186</v>
      </c>
      <c r="N8" s="309"/>
      <c r="O8" s="310"/>
    </row>
    <row r="9" spans="2:16">
      <c r="B9" s="311"/>
      <c r="C9" s="311" t="s">
        <v>188</v>
      </c>
      <c r="D9" s="312" t="s">
        <v>189</v>
      </c>
      <c r="E9" s="313" t="s">
        <v>190</v>
      </c>
      <c r="F9" s="313" t="s">
        <v>191</v>
      </c>
      <c r="G9" s="313" t="s">
        <v>192</v>
      </c>
      <c r="H9" s="314" t="s">
        <v>193</v>
      </c>
      <c r="I9" s="189" t="s">
        <v>194</v>
      </c>
      <c r="J9" s="189" t="s">
        <v>195</v>
      </c>
      <c r="K9" s="189" t="s">
        <v>196</v>
      </c>
      <c r="L9" s="189" t="s">
        <v>197</v>
      </c>
      <c r="M9" s="312" t="s">
        <v>198</v>
      </c>
      <c r="N9" s="313" t="s">
        <v>199</v>
      </c>
      <c r="O9" s="314" t="s">
        <v>200</v>
      </c>
    </row>
    <row r="10" spans="2:16" ht="12.75" customHeight="1">
      <c r="B10" s="287"/>
      <c r="C10" s="287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5"/>
    </row>
    <row r="11" spans="2:16" ht="12.75" customHeight="1">
      <c r="B11" s="316" t="s">
        <v>201</v>
      </c>
      <c r="C11" s="316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5"/>
    </row>
    <row r="12" spans="2:16" ht="12.75" hidden="1" customHeight="1">
      <c r="B12" s="317">
        <v>2017</v>
      </c>
      <c r="C12" s="318"/>
      <c r="D12" s="8"/>
      <c r="E12" s="8"/>
      <c r="F12" s="8"/>
      <c r="G12" s="8"/>
      <c r="H12" s="13"/>
      <c r="I12" s="319"/>
      <c r="J12" s="320"/>
      <c r="K12" s="320"/>
      <c r="L12" s="321"/>
      <c r="M12" s="319"/>
      <c r="N12" s="320"/>
      <c r="O12" s="321"/>
    </row>
    <row r="13" spans="2:16" ht="12.75" hidden="1" customHeight="1">
      <c r="B13" s="15">
        <f>YEAR('Table 5'!B20)</f>
        <v>2018</v>
      </c>
      <c r="C13" s="322">
        <v>18.835891544822239</v>
      </c>
      <c r="D13" s="323">
        <v>18.055491046491042</v>
      </c>
      <c r="E13" s="323">
        <v>15.76500375226559</v>
      </c>
      <c r="F13" s="323">
        <v>15.429478327944729</v>
      </c>
      <c r="G13" s="323">
        <v>13.761433444034974</v>
      </c>
      <c r="H13" s="324">
        <v>13.009230194155128</v>
      </c>
      <c r="I13" s="325">
        <v>14.112410782019023</v>
      </c>
      <c r="J13" s="323">
        <v>35.991821003769488</v>
      </c>
      <c r="K13" s="323">
        <v>23.009009314134218</v>
      </c>
      <c r="L13" s="324">
        <v>18.154734117206488</v>
      </c>
      <c r="M13" s="325">
        <v>15.886886327898608</v>
      </c>
      <c r="N13" s="323">
        <v>16.469929303289295</v>
      </c>
      <c r="O13" s="324">
        <v>20.449115177924988</v>
      </c>
    </row>
    <row r="14" spans="2:16" ht="12.75" customHeight="1">
      <c r="B14" s="15">
        <f>B13+1</f>
        <v>2019</v>
      </c>
      <c r="C14" s="322">
        <v>16.381831862972628</v>
      </c>
      <c r="D14" s="323">
        <v>18.284809441807553</v>
      </c>
      <c r="E14" s="323">
        <v>17.803575809246414</v>
      </c>
      <c r="F14" s="323">
        <v>14.850924449861974</v>
      </c>
      <c r="G14" s="323">
        <v>12.899646379656575</v>
      </c>
      <c r="H14" s="324">
        <v>12.127098020330999</v>
      </c>
      <c r="I14" s="325">
        <v>12.801620517274094</v>
      </c>
      <c r="J14" s="323">
        <v>23.043318752301676</v>
      </c>
      <c r="K14" s="323">
        <v>20.46972994378288</v>
      </c>
      <c r="L14" s="324">
        <v>16.339396134406364</v>
      </c>
      <c r="M14" s="325">
        <v>14.059047454819932</v>
      </c>
      <c r="N14" s="323">
        <v>14.315747894236656</v>
      </c>
      <c r="O14" s="324">
        <v>17.105440899997362</v>
      </c>
    </row>
    <row r="15" spans="2:16" ht="12.75" customHeight="1">
      <c r="B15" s="15">
        <f t="shared" ref="B15:B32" si="0">B14+1</f>
        <v>2020</v>
      </c>
      <c r="C15" s="322">
        <v>15.518279480508294</v>
      </c>
      <c r="D15" s="323">
        <v>16.268910619828382</v>
      </c>
      <c r="E15" s="323">
        <v>14.932624302308923</v>
      </c>
      <c r="F15" s="323">
        <v>14.649399789048232</v>
      </c>
      <c r="G15" s="323">
        <v>13.775920475872478</v>
      </c>
      <c r="H15" s="324">
        <v>12.595865718246442</v>
      </c>
      <c r="I15" s="325">
        <v>12.808961102844449</v>
      </c>
      <c r="J15" s="323">
        <v>18.439748175548914</v>
      </c>
      <c r="K15" s="323">
        <v>18.788490601272446</v>
      </c>
      <c r="L15" s="324">
        <v>15.824472343338932</v>
      </c>
      <c r="M15" s="325">
        <v>13.547189965842678</v>
      </c>
      <c r="N15" s="323">
        <v>17.184193668103198</v>
      </c>
      <c r="O15" s="324">
        <v>15.29072005820375</v>
      </c>
    </row>
    <row r="16" spans="2:16" ht="12.75" customHeight="1">
      <c r="B16" s="15">
        <f t="shared" si="0"/>
        <v>2021</v>
      </c>
      <c r="C16" s="322">
        <v>13.968876297807224</v>
      </c>
      <c r="D16" s="323">
        <v>14.973097376400339</v>
      </c>
      <c r="E16" s="323">
        <v>16.247347334345363</v>
      </c>
      <c r="F16" s="323">
        <v>16.24962609545555</v>
      </c>
      <c r="G16" s="323">
        <v>11.215363805245767</v>
      </c>
      <c r="H16" s="324">
        <v>11.365200408288448</v>
      </c>
      <c r="I16" s="325">
        <v>10.458163224052729</v>
      </c>
      <c r="J16" s="323">
        <v>16.216244862262297</v>
      </c>
      <c r="K16" s="323">
        <v>16.766202092028831</v>
      </c>
      <c r="L16" s="324">
        <v>12.95577897574996</v>
      </c>
      <c r="M16" s="325">
        <v>11.549729392931065</v>
      </c>
      <c r="N16" s="323">
        <v>12.62965797064866</v>
      </c>
      <c r="O16" s="324">
        <v>16.200682409100324</v>
      </c>
    </row>
    <row r="17" spans="2:15" ht="12.75" customHeight="1">
      <c r="B17" s="15">
        <f t="shared" si="0"/>
        <v>2022</v>
      </c>
      <c r="C17" s="322">
        <v>13.512230248854905</v>
      </c>
      <c r="D17" s="323">
        <v>14.784647983232333</v>
      </c>
      <c r="E17" s="323">
        <v>14.762825944374189</v>
      </c>
      <c r="F17" s="323">
        <v>13.726742077638969</v>
      </c>
      <c r="G17" s="323">
        <v>13.043820060920957</v>
      </c>
      <c r="H17" s="324">
        <v>11.308142536111406</v>
      </c>
      <c r="I17" s="325">
        <v>12.845164409040676</v>
      </c>
      <c r="J17" s="323">
        <v>13.039576355839658</v>
      </c>
      <c r="K17" s="323">
        <v>12.560702088774589</v>
      </c>
      <c r="L17" s="324">
        <v>12.386161938338184</v>
      </c>
      <c r="M17" s="325">
        <v>12.01524732376072</v>
      </c>
      <c r="N17" s="323">
        <v>16.586698042285448</v>
      </c>
      <c r="O17" s="324">
        <v>15.05094974470223</v>
      </c>
    </row>
    <row r="18" spans="2:15" ht="12.75" customHeight="1">
      <c r="B18" s="15">
        <f t="shared" si="0"/>
        <v>2023</v>
      </c>
      <c r="C18" s="322">
        <v>14.132665329712635</v>
      </c>
      <c r="D18" s="323">
        <v>15.903822244248172</v>
      </c>
      <c r="E18" s="323">
        <v>13.525599575657033</v>
      </c>
      <c r="F18" s="323">
        <v>17.233368053606753</v>
      </c>
      <c r="G18" s="323">
        <v>14.046705662206357</v>
      </c>
      <c r="H18" s="324">
        <v>12.795122621712112</v>
      </c>
      <c r="I18" s="325">
        <v>13.528273610467894</v>
      </c>
      <c r="J18" s="323">
        <v>13.122582179286928</v>
      </c>
      <c r="K18" s="323">
        <v>13.474517727608481</v>
      </c>
      <c r="L18" s="324">
        <v>12.032817222861375</v>
      </c>
      <c r="M18" s="325">
        <v>12.608086989276801</v>
      </c>
      <c r="N18" s="323">
        <v>14.052581602052848</v>
      </c>
      <c r="O18" s="324">
        <v>17.646360267330351</v>
      </c>
    </row>
    <row r="19" spans="2:15" ht="12.75" customHeight="1">
      <c r="B19" s="15">
        <f t="shared" si="0"/>
        <v>2024</v>
      </c>
      <c r="C19" s="322">
        <v>15.017521634228256</v>
      </c>
      <c r="D19" s="323">
        <v>17.460843811983281</v>
      </c>
      <c r="E19" s="323">
        <v>17.762051270277052</v>
      </c>
      <c r="F19" s="323">
        <v>14.579093324921908</v>
      </c>
      <c r="G19" s="323">
        <v>13.154685024853968</v>
      </c>
      <c r="H19" s="324">
        <v>13.274866081617272</v>
      </c>
      <c r="I19" s="325">
        <v>13.112321641574248</v>
      </c>
      <c r="J19" s="323">
        <v>13.40445113663729</v>
      </c>
      <c r="K19" s="323">
        <v>15.38035436275262</v>
      </c>
      <c r="L19" s="324">
        <v>11.240430762107504</v>
      </c>
      <c r="M19" s="325">
        <v>11.118560576369527</v>
      </c>
      <c r="N19" s="323">
        <v>23.66404188446413</v>
      </c>
      <c r="O19" s="324">
        <v>16.171907471718949</v>
      </c>
    </row>
    <row r="20" spans="2:15" ht="12.75" customHeight="1">
      <c r="B20" s="15">
        <f t="shared" si="0"/>
        <v>2025</v>
      </c>
      <c r="C20" s="322">
        <v>20.164731271446399</v>
      </c>
      <c r="D20" s="323">
        <v>20.558025383614012</v>
      </c>
      <c r="E20" s="323">
        <v>20.207200984225835</v>
      </c>
      <c r="F20" s="323">
        <v>16.677941795114922</v>
      </c>
      <c r="G20" s="323">
        <v>20.215688354630522</v>
      </c>
      <c r="H20" s="324">
        <v>17.584524809660152</v>
      </c>
      <c r="I20" s="325">
        <v>16.377489506849376</v>
      </c>
      <c r="J20" s="323">
        <v>22.228933262845619</v>
      </c>
      <c r="K20" s="323">
        <v>23.897146882637763</v>
      </c>
      <c r="L20" s="324">
        <v>23.325303383972123</v>
      </c>
      <c r="M20" s="325">
        <v>13.130682152783505</v>
      </c>
      <c r="N20" s="323">
        <v>21.495802760920487</v>
      </c>
      <c r="O20" s="324">
        <v>24.275220192737123</v>
      </c>
    </row>
    <row r="21" spans="2:15" ht="12.75" customHeight="1">
      <c r="B21" s="15">
        <f t="shared" si="0"/>
        <v>2026</v>
      </c>
      <c r="C21" s="322">
        <v>22.520387394793136</v>
      </c>
      <c r="D21" s="323">
        <v>25.683922849723103</v>
      </c>
      <c r="E21" s="323">
        <v>26.909464513722991</v>
      </c>
      <c r="F21" s="323">
        <v>21.63659231290659</v>
      </c>
      <c r="G21" s="323">
        <v>21.871787498550276</v>
      </c>
      <c r="H21" s="324">
        <v>23.228697208216779</v>
      </c>
      <c r="I21" s="325">
        <v>23.333440124805882</v>
      </c>
      <c r="J21" s="323">
        <v>24.434307500822591</v>
      </c>
      <c r="K21" s="323">
        <v>22.48357941200506</v>
      </c>
      <c r="L21" s="324">
        <v>20.44241311518444</v>
      </c>
      <c r="M21" s="325">
        <v>14.302115273920689</v>
      </c>
      <c r="N21" s="323">
        <v>23.732619867827392</v>
      </c>
      <c r="O21" s="324">
        <v>24.201381648389074</v>
      </c>
    </row>
    <row r="22" spans="2:15" ht="12.75" customHeight="1">
      <c r="B22" s="15">
        <f t="shared" si="0"/>
        <v>2027</v>
      </c>
      <c r="C22" s="322">
        <v>23.776715460550626</v>
      </c>
      <c r="D22" s="323">
        <v>26.719930477785677</v>
      </c>
      <c r="E22" s="323">
        <v>25.759942660519378</v>
      </c>
      <c r="F22" s="323">
        <v>21.802093169851194</v>
      </c>
      <c r="G22" s="323">
        <v>23.528986308234153</v>
      </c>
      <c r="H22" s="324">
        <v>21.531613665047185</v>
      </c>
      <c r="I22" s="325">
        <v>22.239103911140539</v>
      </c>
      <c r="J22" s="323">
        <v>27.211051998240091</v>
      </c>
      <c r="K22" s="323">
        <v>25.76140261406643</v>
      </c>
      <c r="L22" s="324">
        <v>21.478981859978902</v>
      </c>
      <c r="M22" s="325">
        <v>20.479311940124891</v>
      </c>
      <c r="N22" s="323">
        <v>22.793972942101934</v>
      </c>
      <c r="O22" s="324">
        <v>25.887612884822762</v>
      </c>
    </row>
    <row r="23" spans="2:15" ht="12.75" customHeight="1">
      <c r="B23" s="15">
        <f t="shared" si="0"/>
        <v>2028</v>
      </c>
      <c r="C23" s="322">
        <v>27.172625873630288</v>
      </c>
      <c r="D23" s="323">
        <v>25.754167625439614</v>
      </c>
      <c r="E23" s="323">
        <v>25.730141889165747</v>
      </c>
      <c r="F23" s="323">
        <v>22.931943177662436</v>
      </c>
      <c r="G23" s="323">
        <v>25.731270038467347</v>
      </c>
      <c r="H23" s="324">
        <v>24.521140327184817</v>
      </c>
      <c r="I23" s="325">
        <v>24.090422019392037</v>
      </c>
      <c r="J23" s="323">
        <v>34.366138074048294</v>
      </c>
      <c r="K23" s="323">
        <v>36.737289700529047</v>
      </c>
      <c r="L23" s="324">
        <v>26.745706254115657</v>
      </c>
      <c r="M23" s="325">
        <v>24.403973640124356</v>
      </c>
      <c r="N23" s="323">
        <v>25.494389275203815</v>
      </c>
      <c r="O23" s="324">
        <v>25.888582888693385</v>
      </c>
    </row>
    <row r="24" spans="2:15" ht="12.75" customHeight="1">
      <c r="B24" s="15">
        <f t="shared" si="0"/>
        <v>2029</v>
      </c>
      <c r="C24" s="322">
        <v>31.76120719290283</v>
      </c>
      <c r="D24" s="323">
        <v>30.223261804164828</v>
      </c>
      <c r="E24" s="323">
        <v>30.77908096685292</v>
      </c>
      <c r="F24" s="323">
        <v>27.37941367409659</v>
      </c>
      <c r="G24" s="323">
        <v>27.227321497677799</v>
      </c>
      <c r="H24" s="324">
        <v>28.714173874928285</v>
      </c>
      <c r="I24" s="325">
        <v>26.855511362036285</v>
      </c>
      <c r="J24" s="323">
        <v>39.80674275857924</v>
      </c>
      <c r="K24" s="323">
        <v>41.542792970541704</v>
      </c>
      <c r="L24" s="324">
        <v>34.220811698802805</v>
      </c>
      <c r="M24" s="325">
        <v>28.605498368849165</v>
      </c>
      <c r="N24" s="323">
        <v>29.873120703126801</v>
      </c>
      <c r="O24" s="324">
        <v>30.940468123859336</v>
      </c>
    </row>
    <row r="25" spans="2:15" ht="12.75" customHeight="1">
      <c r="B25" s="15">
        <f t="shared" si="0"/>
        <v>2030</v>
      </c>
      <c r="C25" s="322">
        <v>37.718492286672806</v>
      </c>
      <c r="D25" s="323">
        <v>36.020298408380903</v>
      </c>
      <c r="E25" s="323">
        <v>36.363949299867286</v>
      </c>
      <c r="F25" s="323">
        <v>32.27936856022724</v>
      </c>
      <c r="G25" s="323">
        <v>32.656734974193057</v>
      </c>
      <c r="H25" s="324">
        <v>30.020484863360938</v>
      </c>
      <c r="I25" s="325">
        <v>30.976481837847178</v>
      </c>
      <c r="J25" s="323">
        <v>50.317513928023573</v>
      </c>
      <c r="K25" s="323">
        <v>48.76845023985485</v>
      </c>
      <c r="L25" s="324">
        <v>41.631539919847846</v>
      </c>
      <c r="M25" s="325">
        <v>34.112267783729969</v>
      </c>
      <c r="N25" s="323">
        <v>34.177506770959248</v>
      </c>
      <c r="O25" s="324">
        <v>38.069356118847658</v>
      </c>
    </row>
    <row r="26" spans="2:15" ht="12.75" customHeight="1">
      <c r="B26" s="15">
        <f t="shared" si="0"/>
        <v>2031</v>
      </c>
      <c r="C26" s="322">
        <v>39.422688859971451</v>
      </c>
      <c r="D26" s="323">
        <v>36.64675224351042</v>
      </c>
      <c r="E26" s="323">
        <v>39.371460757373832</v>
      </c>
      <c r="F26" s="323">
        <v>36.725121929782254</v>
      </c>
      <c r="G26" s="323">
        <v>32.745153944504949</v>
      </c>
      <c r="H26" s="324">
        <v>30.927508131589512</v>
      </c>
      <c r="I26" s="325">
        <v>31.841205716615214</v>
      </c>
      <c r="J26" s="323">
        <v>62.293444672348841</v>
      </c>
      <c r="K26" s="323">
        <v>48.601796882002972</v>
      </c>
      <c r="L26" s="324">
        <v>42.22738000042304</v>
      </c>
      <c r="M26" s="325">
        <v>32.464662090955009</v>
      </c>
      <c r="N26" s="323">
        <v>33.537673823002564</v>
      </c>
      <c r="O26" s="324">
        <v>38.256092215259201</v>
      </c>
    </row>
    <row r="27" spans="2:15" ht="12.75" customHeight="1">
      <c r="B27" s="15">
        <f t="shared" si="0"/>
        <v>2032</v>
      </c>
      <c r="C27" s="322">
        <v>40.445811037896171</v>
      </c>
      <c r="D27" s="323">
        <v>38.308409684161568</v>
      </c>
      <c r="E27" s="323">
        <v>38.579868933767926</v>
      </c>
      <c r="F27" s="323">
        <v>37.497807072630302</v>
      </c>
      <c r="G27" s="323">
        <v>36.704293522896556</v>
      </c>
      <c r="H27" s="324">
        <v>33.668754349394881</v>
      </c>
      <c r="I27" s="325">
        <v>30.376186576624939</v>
      </c>
      <c r="J27" s="323">
        <v>50.0890983680208</v>
      </c>
      <c r="K27" s="323">
        <v>52.725540645862026</v>
      </c>
      <c r="L27" s="324">
        <v>46.652529896528996</v>
      </c>
      <c r="M27" s="325">
        <v>35.577810989794841</v>
      </c>
      <c r="N27" s="323">
        <v>36.859214150566501</v>
      </c>
      <c r="O27" s="324">
        <v>41.47857095522906</v>
      </c>
    </row>
    <row r="28" spans="2:15" ht="12.75" customHeight="1">
      <c r="B28" s="15">
        <f t="shared" si="0"/>
        <v>2033</v>
      </c>
      <c r="C28" s="322">
        <v>-6.5494072078606012</v>
      </c>
      <c r="D28" s="323">
        <v>-3.0029316552329037</v>
      </c>
      <c r="E28" s="323">
        <v>-27.20956836593529</v>
      </c>
      <c r="F28" s="323">
        <v>-19.458211349684515</v>
      </c>
      <c r="G28" s="323">
        <v>-23.550856090449031</v>
      </c>
      <c r="H28" s="324">
        <v>-9.5555045601207222</v>
      </c>
      <c r="I28" s="325">
        <v>-6.8510757026733087</v>
      </c>
      <c r="J28" s="323">
        <v>6.2180652304705957</v>
      </c>
      <c r="K28" s="323">
        <v>10.733364396217917</v>
      </c>
      <c r="L28" s="324">
        <v>2.9892639973640454</v>
      </c>
      <c r="M28" s="325">
        <v>-2.817035583948782</v>
      </c>
      <c r="N28" s="323">
        <v>-9.6452912788940264</v>
      </c>
      <c r="O28" s="324">
        <v>-12.090421941961049</v>
      </c>
    </row>
    <row r="29" spans="2:15" ht="12.75" customHeight="1">
      <c r="B29" s="15">
        <f t="shared" si="0"/>
        <v>2034</v>
      </c>
      <c r="C29" s="322">
        <v>-6.7721936785841423</v>
      </c>
      <c r="D29" s="323">
        <v>-7.311892943704474</v>
      </c>
      <c r="E29" s="323">
        <v>-24.592057736656795</v>
      </c>
      <c r="F29" s="323">
        <v>-19.1207178559571</v>
      </c>
      <c r="G29" s="323">
        <v>-25.249954085512908</v>
      </c>
      <c r="H29" s="324">
        <v>-10.605237104558801</v>
      </c>
      <c r="I29" s="325">
        <v>-7.2225220841205342</v>
      </c>
      <c r="J29" s="323">
        <v>6.1376470844994593</v>
      </c>
      <c r="K29" s="323">
        <v>11.257532711283444</v>
      </c>
      <c r="L29" s="324">
        <v>2.9716492870845448</v>
      </c>
      <c r="M29" s="325">
        <v>-2.3437938809601491</v>
      </c>
      <c r="N29" s="323">
        <v>-9.4241764480094297</v>
      </c>
      <c r="O29" s="324">
        <v>-11.8925990386798</v>
      </c>
    </row>
    <row r="30" spans="2:15" ht="12.75" customHeight="1">
      <c r="B30" s="15">
        <f t="shared" si="0"/>
        <v>2035</v>
      </c>
      <c r="C30" s="322">
        <v>-6.3550684710116538</v>
      </c>
      <c r="D30" s="323">
        <v>-3.383169565297091</v>
      </c>
      <c r="E30" s="323">
        <v>-23.511433695183189</v>
      </c>
      <c r="F30" s="323">
        <v>-19.545078576006674</v>
      </c>
      <c r="G30" s="323">
        <v>-24.2488695553889</v>
      </c>
      <c r="H30" s="324">
        <v>-13.282057161341692</v>
      </c>
      <c r="I30" s="325">
        <v>-6.8409950883250907</v>
      </c>
      <c r="J30" s="323">
        <v>6.2179705538912335</v>
      </c>
      <c r="K30" s="323">
        <v>11.557047211026125</v>
      </c>
      <c r="L30" s="324">
        <v>2.7541454593522996</v>
      </c>
      <c r="M30" s="325">
        <v>-0.9811453184318637</v>
      </c>
      <c r="N30" s="323">
        <v>-9.5402128440888205</v>
      </c>
      <c r="O30" s="324">
        <v>-11.576109497408389</v>
      </c>
    </row>
    <row r="31" spans="2:15" ht="12.75" customHeight="1">
      <c r="B31" s="15">
        <f t="shared" si="0"/>
        <v>2036</v>
      </c>
      <c r="C31" s="322">
        <v>-7.978844757410382</v>
      </c>
      <c r="D31" s="323">
        <v>-4.5846981611232467</v>
      </c>
      <c r="E31" s="323">
        <v>-24.345362123197742</v>
      </c>
      <c r="F31" s="323">
        <v>-20.517882449590886</v>
      </c>
      <c r="G31" s="323">
        <v>-27.33418778573791</v>
      </c>
      <c r="H31" s="324">
        <v>-13.62040078532767</v>
      </c>
      <c r="I31" s="325">
        <v>-8.7189089023802335</v>
      </c>
      <c r="J31" s="323">
        <v>4.3583514732883657</v>
      </c>
      <c r="K31" s="323">
        <v>11.160574344786614</v>
      </c>
      <c r="L31" s="324">
        <v>0.6664925077377829</v>
      </c>
      <c r="M31" s="325">
        <v>-5.3442783504458804</v>
      </c>
      <c r="N31" s="323">
        <v>-11.03986033506005</v>
      </c>
      <c r="O31" s="324">
        <v>-11.685036685702931</v>
      </c>
    </row>
    <row r="32" spans="2:15" ht="12.75" customHeight="1">
      <c r="B32" s="326">
        <f t="shared" si="0"/>
        <v>2037</v>
      </c>
      <c r="C32" s="327">
        <v>0</v>
      </c>
      <c r="D32" s="328">
        <v>0</v>
      </c>
      <c r="E32" s="328">
        <v>0</v>
      </c>
      <c r="F32" s="328">
        <v>0</v>
      </c>
      <c r="G32" s="328">
        <v>0</v>
      </c>
      <c r="H32" s="329">
        <v>0</v>
      </c>
      <c r="I32" s="330">
        <v>0</v>
      </c>
      <c r="J32" s="328">
        <v>0</v>
      </c>
      <c r="K32" s="328">
        <v>0</v>
      </c>
      <c r="L32" s="329">
        <v>0</v>
      </c>
      <c r="M32" s="330">
        <v>0</v>
      </c>
      <c r="N32" s="328">
        <v>0</v>
      </c>
      <c r="O32" s="329">
        <v>0</v>
      </c>
    </row>
    <row r="33" spans="2:16" ht="12.75" customHeight="1">
      <c r="D33" s="10"/>
      <c r="E33" s="10"/>
      <c r="F33" s="10"/>
      <c r="M33" s="331"/>
    </row>
    <row r="34" spans="2:16">
      <c r="B34" s="332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</row>
    <row r="38" spans="2:16" hidden="1">
      <c r="C38" s="333"/>
      <c r="D38" s="3">
        <v>31</v>
      </c>
      <c r="E38" s="3">
        <v>28</v>
      </c>
      <c r="F38" s="3">
        <v>31</v>
      </c>
      <c r="G38" s="3">
        <v>30</v>
      </c>
      <c r="H38" s="3">
        <v>31</v>
      </c>
      <c r="I38" s="3">
        <v>30</v>
      </c>
      <c r="J38" s="3">
        <v>31</v>
      </c>
      <c r="K38" s="3">
        <v>31</v>
      </c>
      <c r="L38" s="3">
        <v>30</v>
      </c>
      <c r="M38" s="3">
        <v>31</v>
      </c>
      <c r="N38" s="3">
        <v>30</v>
      </c>
      <c r="O38" s="3">
        <v>31</v>
      </c>
    </row>
    <row r="39" spans="2:16">
      <c r="C39" s="333"/>
    </row>
    <row r="40" spans="2:16">
      <c r="C40" s="333"/>
    </row>
    <row r="41" spans="2:16">
      <c r="C41" s="333"/>
    </row>
  </sheetData>
  <conditionalFormatting sqref="C29:O31">
    <cfRule type="cellIs" dxfId="0" priority="1" stopIfTrue="1" operator="equal">
      <formula>#REF!</formula>
    </cfRule>
  </conditionalFormatting>
  <printOptions horizontalCentered="1"/>
  <pageMargins left="0.25" right="0.25" top="0.75" bottom="0.75" header="0.3" footer="0.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X102"/>
  <sheetViews>
    <sheetView view="pageBreakPreview" zoomScale="60" zoomScaleNormal="100" workbookViewId="0">
      <selection activeCell="G20" sqref="G20"/>
    </sheetView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0" style="122" hidden="1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126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38%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7" t="s">
        <v>55</v>
      </c>
      <c r="J5" s="17" t="s">
        <v>55</v>
      </c>
      <c r="K5" s="126" t="s">
        <v>72</v>
      </c>
      <c r="P5" s="126" t="s">
        <v>71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ID Wind Resource - 38%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>
        <f>$C$59</f>
        <v>0</v>
      </c>
    </row>
    <row r="11" spans="2:18">
      <c r="B11" s="131">
        <f t="shared" ref="B11:B36" si="0">B10+1</f>
        <v>2017</v>
      </c>
      <c r="C11" s="137"/>
      <c r="D11" s="133"/>
      <c r="E11" s="133">
        <f>$C$56</f>
        <v>37.570551305416139</v>
      </c>
      <c r="F11" s="134">
        <f t="shared" ref="F11:F36" si="1">(D11+E11)/(8.76*$C$63)</f>
        <v>11.286515052095693</v>
      </c>
      <c r="G11" s="134">
        <f>$C$58</f>
        <v>0</v>
      </c>
      <c r="H11" s="177">
        <f>$C$59</f>
        <v>0</v>
      </c>
      <c r="I11" s="135">
        <f>F11+H11+G11</f>
        <v>11.286515052095693</v>
      </c>
      <c r="J11" s="135">
        <f t="shared" ref="J11:J36" si="2">ROUND(I11*$C$63*8.76,2)</f>
        <v>37.57</v>
      </c>
      <c r="K11" s="133">
        <f>$C$57</f>
        <v>0.58600709999999989</v>
      </c>
      <c r="N11" s="136"/>
      <c r="P11" s="170">
        <f>ROUND(P10*(1+$D66),2)</f>
        <v>0</v>
      </c>
    </row>
    <row r="12" spans="2:18">
      <c r="B12" s="141">
        <f t="shared" si="0"/>
        <v>2018</v>
      </c>
      <c r="C12" s="142"/>
      <c r="D12" s="133"/>
      <c r="E12" s="133">
        <f t="shared" ref="E12:G19" si="3">ROUND(E11*(1+$D67),2)</f>
        <v>38.43</v>
      </c>
      <c r="F12" s="135">
        <f t="shared" si="1"/>
        <v>11.544700793078588</v>
      </c>
      <c r="G12" s="133">
        <f t="shared" si="3"/>
        <v>0</v>
      </c>
      <c r="H12" s="133">
        <f t="shared" ref="H12" si="4">ROUND(H11*(1+$D67),2)</f>
        <v>0</v>
      </c>
      <c r="I12" s="135">
        <f t="shared" ref="I12:I36" si="5">F12+H12+G12</f>
        <v>11.544700793078588</v>
      </c>
      <c r="J12" s="135">
        <f t="shared" si="2"/>
        <v>38.43</v>
      </c>
      <c r="K12" s="133">
        <f t="shared" ref="K12:K19" si="6">ROUND(K11*(1+$D67),2)</f>
        <v>0.6</v>
      </c>
      <c r="L12" s="124"/>
      <c r="N12" s="136"/>
      <c r="P12" s="170">
        <f t="shared" ref="P12:P19" si="7">ROUND(P11*(1+$D67),2)</f>
        <v>0</v>
      </c>
    </row>
    <row r="13" spans="2:18">
      <c r="B13" s="141">
        <f t="shared" si="0"/>
        <v>2019</v>
      </c>
      <c r="C13" s="142"/>
      <c r="D13" s="133"/>
      <c r="E13" s="133">
        <f t="shared" si="3"/>
        <v>39.28</v>
      </c>
      <c r="F13" s="135">
        <f t="shared" si="1"/>
        <v>11.800048065368903</v>
      </c>
      <c r="G13" s="133">
        <f t="shared" si="3"/>
        <v>0</v>
      </c>
      <c r="H13" s="133">
        <f t="shared" ref="H13" si="8">ROUND(H12*(1+$D68),2)</f>
        <v>0</v>
      </c>
      <c r="I13" s="135">
        <f t="shared" si="5"/>
        <v>11.800048065368903</v>
      </c>
      <c r="J13" s="135">
        <f t="shared" si="2"/>
        <v>39.28</v>
      </c>
      <c r="K13" s="133">
        <f t="shared" si="6"/>
        <v>0.61</v>
      </c>
      <c r="L13" s="124"/>
      <c r="N13" s="136"/>
      <c r="P13" s="170">
        <f t="shared" si="7"/>
        <v>0</v>
      </c>
    </row>
    <row r="14" spans="2:18">
      <c r="B14" s="141">
        <f t="shared" si="0"/>
        <v>2020</v>
      </c>
      <c r="C14" s="142"/>
      <c r="D14" s="133"/>
      <c r="E14" s="133">
        <f t="shared" si="3"/>
        <v>40.26</v>
      </c>
      <c r="F14" s="135">
        <f t="shared" si="1"/>
        <v>12.094448449891853</v>
      </c>
      <c r="G14" s="133">
        <f t="shared" si="3"/>
        <v>0</v>
      </c>
      <c r="H14" s="133">
        <f t="shared" ref="H14" si="9">ROUND(H13*(1+$D69),2)</f>
        <v>0</v>
      </c>
      <c r="I14" s="135">
        <f t="shared" si="5"/>
        <v>12.094448449891853</v>
      </c>
      <c r="J14" s="135">
        <f t="shared" si="2"/>
        <v>40.26</v>
      </c>
      <c r="K14" s="133">
        <f t="shared" si="6"/>
        <v>0.63</v>
      </c>
      <c r="L14" s="124"/>
      <c r="N14" s="136"/>
      <c r="O14" s="138"/>
      <c r="P14" s="170">
        <f t="shared" si="7"/>
        <v>0</v>
      </c>
      <c r="Q14" s="288"/>
      <c r="R14" s="289"/>
    </row>
    <row r="15" spans="2:18">
      <c r="B15" s="141">
        <f t="shared" si="0"/>
        <v>2021</v>
      </c>
      <c r="C15" s="142"/>
      <c r="D15" s="133"/>
      <c r="E15" s="133">
        <f t="shared" si="3"/>
        <v>41.23</v>
      </c>
      <c r="F15" s="135">
        <f t="shared" si="1"/>
        <v>12.385844748858448</v>
      </c>
      <c r="G15" s="133">
        <f t="shared" si="3"/>
        <v>0</v>
      </c>
      <c r="H15" s="133">
        <f t="shared" ref="H15" si="10">ROUND(H14*(1+$D70),2)</f>
        <v>0</v>
      </c>
      <c r="I15" s="135">
        <f t="shared" si="5"/>
        <v>12.385844748858448</v>
      </c>
      <c r="J15" s="135">
        <f t="shared" si="2"/>
        <v>41.23</v>
      </c>
      <c r="K15" s="133">
        <f t="shared" si="6"/>
        <v>0.65</v>
      </c>
      <c r="L15" s="124"/>
      <c r="N15" s="288"/>
      <c r="O15" s="288"/>
      <c r="P15" s="170">
        <f t="shared" si="7"/>
        <v>0</v>
      </c>
      <c r="Q15" s="288"/>
      <c r="R15" s="289"/>
    </row>
    <row r="16" spans="2:18">
      <c r="B16" s="141">
        <f t="shared" si="0"/>
        <v>2022</v>
      </c>
      <c r="C16" s="142"/>
      <c r="D16" s="133"/>
      <c r="E16" s="133">
        <f t="shared" si="3"/>
        <v>42.22</v>
      </c>
      <c r="F16" s="135">
        <f t="shared" si="1"/>
        <v>12.683249218937757</v>
      </c>
      <c r="G16" s="133">
        <f t="shared" si="3"/>
        <v>0</v>
      </c>
      <c r="H16" s="133">
        <f t="shared" ref="H16" si="11">ROUND(H15*(1+$D71),2)</f>
        <v>0</v>
      </c>
      <c r="I16" s="135">
        <f t="shared" si="5"/>
        <v>12.683249218937757</v>
      </c>
      <c r="J16" s="135">
        <f t="shared" si="2"/>
        <v>42.22</v>
      </c>
      <c r="K16" s="133">
        <f t="shared" si="6"/>
        <v>0.67</v>
      </c>
      <c r="L16" s="124"/>
      <c r="N16" s="136"/>
      <c r="P16" s="170">
        <f t="shared" si="7"/>
        <v>0</v>
      </c>
    </row>
    <row r="17" spans="2:16">
      <c r="B17" s="141">
        <f t="shared" si="0"/>
        <v>2023</v>
      </c>
      <c r="C17" s="142"/>
      <c r="D17" s="133"/>
      <c r="E17" s="133">
        <f t="shared" si="3"/>
        <v>43.23</v>
      </c>
      <c r="F17" s="135">
        <f t="shared" si="1"/>
        <v>12.986661860129777</v>
      </c>
      <c r="G17" s="133">
        <f t="shared" si="3"/>
        <v>0</v>
      </c>
      <c r="H17" s="133">
        <f t="shared" ref="H17" si="12">ROUND(H16*(1+$D72),2)</f>
        <v>0</v>
      </c>
      <c r="I17" s="135">
        <f t="shared" si="5"/>
        <v>12.986661860129777</v>
      </c>
      <c r="J17" s="135">
        <f t="shared" si="2"/>
        <v>43.23</v>
      </c>
      <c r="K17" s="133">
        <f t="shared" si="6"/>
        <v>0.69</v>
      </c>
      <c r="L17" s="124"/>
      <c r="N17" s="136"/>
      <c r="O17" s="138"/>
      <c r="P17" s="170">
        <f t="shared" si="7"/>
        <v>0</v>
      </c>
    </row>
    <row r="18" spans="2:16">
      <c r="B18" s="141">
        <f t="shared" si="0"/>
        <v>2024</v>
      </c>
      <c r="C18" s="142"/>
      <c r="D18" s="133"/>
      <c r="E18" s="133">
        <f t="shared" si="3"/>
        <v>44.22</v>
      </c>
      <c r="F18" s="135">
        <f t="shared" si="1"/>
        <v>13.284066330209084</v>
      </c>
      <c r="G18" s="133">
        <f t="shared" si="3"/>
        <v>0</v>
      </c>
      <c r="H18" s="133">
        <f t="shared" ref="H18" si="13">ROUND(H17*(1+$D73),2)</f>
        <v>0</v>
      </c>
      <c r="I18" s="135">
        <f t="shared" si="5"/>
        <v>13.284066330209084</v>
      </c>
      <c r="J18" s="135">
        <f t="shared" si="2"/>
        <v>44.22</v>
      </c>
      <c r="K18" s="133">
        <f t="shared" si="6"/>
        <v>0.71</v>
      </c>
      <c r="L18" s="124"/>
      <c r="N18" s="136"/>
      <c r="O18" s="138"/>
      <c r="P18" s="170">
        <f t="shared" si="7"/>
        <v>0</v>
      </c>
    </row>
    <row r="19" spans="2:16">
      <c r="B19" s="141">
        <f t="shared" si="0"/>
        <v>2025</v>
      </c>
      <c r="C19" s="142"/>
      <c r="D19" s="133"/>
      <c r="E19" s="133">
        <f t="shared" si="3"/>
        <v>45.24</v>
      </c>
      <c r="F19" s="135">
        <f t="shared" si="1"/>
        <v>13.590483056957464</v>
      </c>
      <c r="G19" s="133">
        <f t="shared" si="3"/>
        <v>0</v>
      </c>
      <c r="H19" s="133">
        <f t="shared" ref="H19" si="14">ROUND(H18*(1+$D74),2)</f>
        <v>0</v>
      </c>
      <c r="I19" s="135">
        <f t="shared" si="5"/>
        <v>13.590483056957464</v>
      </c>
      <c r="J19" s="135">
        <f t="shared" si="2"/>
        <v>45.24</v>
      </c>
      <c r="K19" s="133">
        <f t="shared" si="6"/>
        <v>0.73</v>
      </c>
      <c r="L19" s="124"/>
      <c r="N19" s="136"/>
      <c r="O19" s="138"/>
      <c r="P19" s="170">
        <f t="shared" si="7"/>
        <v>0</v>
      </c>
    </row>
    <row r="20" spans="2:16">
      <c r="B20" s="141">
        <f t="shared" si="0"/>
        <v>2026</v>
      </c>
      <c r="C20" s="142"/>
      <c r="D20" s="133"/>
      <c r="E20" s="133">
        <f>ROUND(E19*(1+$G66),2)</f>
        <v>46.24</v>
      </c>
      <c r="F20" s="135">
        <f t="shared" si="1"/>
        <v>13.890891612593128</v>
      </c>
      <c r="G20" s="133">
        <f>ROUND(G19*(1+$G66),2)</f>
        <v>0</v>
      </c>
      <c r="H20" s="133">
        <f>ROUND(H19*(1+$G66),2)</f>
        <v>0</v>
      </c>
      <c r="I20" s="135">
        <f t="shared" si="5"/>
        <v>13.890891612593128</v>
      </c>
      <c r="J20" s="135">
        <f t="shared" si="2"/>
        <v>46.24</v>
      </c>
      <c r="K20" s="133">
        <f>ROUND(K19*(1+$G66),2)</f>
        <v>0.75</v>
      </c>
      <c r="L20" s="124"/>
      <c r="N20" s="136"/>
      <c r="O20" s="138"/>
      <c r="P20" s="170">
        <f>ROUND(P19*(1+$G66),2)</f>
        <v>0</v>
      </c>
    </row>
    <row r="21" spans="2:16">
      <c r="B21" s="141">
        <f t="shared" si="0"/>
        <v>2027</v>
      </c>
      <c r="C21" s="142"/>
      <c r="D21" s="133"/>
      <c r="E21" s="133">
        <f t="shared" ref="D21:G28" si="15">ROUND(E20*(1+$G67),2)</f>
        <v>47.26</v>
      </c>
      <c r="F21" s="135">
        <f t="shared" si="1"/>
        <v>14.197308339341506</v>
      </c>
      <c r="G21" s="133">
        <f t="shared" si="15"/>
        <v>0</v>
      </c>
      <c r="H21" s="133">
        <f t="shared" ref="H21" si="16">ROUND(H20*(1+$G67),2)</f>
        <v>0</v>
      </c>
      <c r="I21" s="135">
        <f t="shared" si="5"/>
        <v>14.197308339341506</v>
      </c>
      <c r="J21" s="135">
        <f t="shared" si="2"/>
        <v>47.26</v>
      </c>
      <c r="K21" s="133">
        <f t="shared" ref="K21:K28" si="17">ROUND(K20*(1+$G67),2)</f>
        <v>0.77</v>
      </c>
      <c r="L21" s="124"/>
      <c r="N21" s="136"/>
      <c r="O21" s="138"/>
      <c r="P21" s="170">
        <f t="shared" ref="P21:P28" si="18">ROUND(P20*(1+$G67),2)</f>
        <v>0</v>
      </c>
    </row>
    <row r="22" spans="2:16">
      <c r="B22" s="141">
        <f t="shared" si="0"/>
        <v>2028</v>
      </c>
      <c r="C22" s="142"/>
      <c r="D22" s="133"/>
      <c r="E22" s="133">
        <f t="shared" si="15"/>
        <v>48.3</v>
      </c>
      <c r="F22" s="135">
        <f t="shared" si="1"/>
        <v>14.509733237202596</v>
      </c>
      <c r="G22" s="133">
        <f t="shared" si="15"/>
        <v>0</v>
      </c>
      <c r="H22" s="133">
        <f t="shared" ref="H22" si="19">ROUND(H21*(1+$G68),2)</f>
        <v>0</v>
      </c>
      <c r="I22" s="135">
        <f t="shared" si="5"/>
        <v>14.509733237202596</v>
      </c>
      <c r="J22" s="135">
        <f t="shared" si="2"/>
        <v>48.3</v>
      </c>
      <c r="K22" s="133">
        <f t="shared" si="17"/>
        <v>0.79</v>
      </c>
      <c r="L22" s="124"/>
      <c r="N22" s="136"/>
      <c r="O22" s="138"/>
      <c r="P22" s="170">
        <f t="shared" si="18"/>
        <v>0</v>
      </c>
    </row>
    <row r="23" spans="2:16">
      <c r="B23" s="141">
        <f t="shared" si="0"/>
        <v>2029</v>
      </c>
      <c r="C23" s="142"/>
      <c r="D23" s="133"/>
      <c r="E23" s="133">
        <f t="shared" si="15"/>
        <v>49.31</v>
      </c>
      <c r="F23" s="135">
        <f t="shared" si="1"/>
        <v>14.813145878394618</v>
      </c>
      <c r="G23" s="133">
        <f t="shared" si="15"/>
        <v>0</v>
      </c>
      <c r="H23" s="133">
        <f t="shared" ref="H23" si="20">ROUND(H22*(1+$G69),2)</f>
        <v>0</v>
      </c>
      <c r="I23" s="135">
        <f t="shared" si="5"/>
        <v>14.813145878394618</v>
      </c>
      <c r="J23" s="135">
        <f t="shared" si="2"/>
        <v>49.31</v>
      </c>
      <c r="K23" s="133">
        <f t="shared" si="17"/>
        <v>0.81</v>
      </c>
      <c r="L23" s="124"/>
      <c r="N23" s="136"/>
      <c r="O23" s="138"/>
      <c r="P23" s="170">
        <f t="shared" si="18"/>
        <v>0</v>
      </c>
    </row>
    <row r="24" spans="2:16">
      <c r="B24" s="141">
        <f t="shared" si="0"/>
        <v>2030</v>
      </c>
      <c r="C24" s="142"/>
      <c r="D24" s="133"/>
      <c r="E24" s="133">
        <f t="shared" si="15"/>
        <v>50.3</v>
      </c>
      <c r="F24" s="135">
        <f t="shared" si="1"/>
        <v>15.110550348473925</v>
      </c>
      <c r="G24" s="133">
        <f t="shared" si="15"/>
        <v>0</v>
      </c>
      <c r="H24" s="133">
        <f t="shared" ref="H24" si="21">ROUND(H23*(1+$G70),2)</f>
        <v>0</v>
      </c>
      <c r="I24" s="135">
        <f t="shared" si="5"/>
        <v>15.110550348473925</v>
      </c>
      <c r="J24" s="135">
        <f t="shared" si="2"/>
        <v>50.3</v>
      </c>
      <c r="K24" s="133">
        <f t="shared" si="17"/>
        <v>0.83</v>
      </c>
      <c r="L24" s="124"/>
      <c r="N24" s="136"/>
      <c r="O24" s="138"/>
      <c r="P24" s="170">
        <f t="shared" si="18"/>
        <v>0</v>
      </c>
    </row>
    <row r="25" spans="2:16">
      <c r="B25" s="141">
        <f t="shared" si="0"/>
        <v>2031</v>
      </c>
      <c r="C25" s="142"/>
      <c r="D25" s="133"/>
      <c r="E25" s="133">
        <f t="shared" si="15"/>
        <v>51.31</v>
      </c>
      <c r="F25" s="135">
        <f t="shared" si="1"/>
        <v>15.413962989665947</v>
      </c>
      <c r="G25" s="133">
        <f t="shared" si="15"/>
        <v>0</v>
      </c>
      <c r="H25" s="133">
        <f t="shared" ref="H25" si="22">ROUND(H24*(1+$G71),2)</f>
        <v>0</v>
      </c>
      <c r="I25" s="135">
        <f t="shared" si="5"/>
        <v>15.413962989665947</v>
      </c>
      <c r="J25" s="135">
        <f t="shared" si="2"/>
        <v>51.31</v>
      </c>
      <c r="K25" s="133">
        <f t="shared" si="17"/>
        <v>0.85</v>
      </c>
      <c r="L25" s="124"/>
      <c r="N25" s="136"/>
      <c r="O25" s="138"/>
      <c r="P25" s="170">
        <f t="shared" si="18"/>
        <v>0</v>
      </c>
    </row>
    <row r="26" spans="2:16">
      <c r="B26" s="141">
        <f t="shared" si="0"/>
        <v>2032</v>
      </c>
      <c r="C26" s="142"/>
      <c r="D26" s="133"/>
      <c r="E26" s="133">
        <f t="shared" si="15"/>
        <v>52.34</v>
      </c>
      <c r="F26" s="135">
        <f t="shared" si="1"/>
        <v>15.723383801970682</v>
      </c>
      <c r="G26" s="133">
        <f t="shared" si="15"/>
        <v>0</v>
      </c>
      <c r="H26" s="133">
        <f t="shared" ref="H26" si="23">ROUND(H25*(1+$G72),2)</f>
        <v>0</v>
      </c>
      <c r="I26" s="135">
        <f t="shared" si="5"/>
        <v>15.723383801970682</v>
      </c>
      <c r="J26" s="135">
        <f t="shared" si="2"/>
        <v>52.34</v>
      </c>
      <c r="K26" s="133">
        <f t="shared" si="17"/>
        <v>0.87</v>
      </c>
      <c r="L26" s="124"/>
      <c r="N26" s="136"/>
      <c r="O26" s="138"/>
      <c r="P26" s="170">
        <f t="shared" si="18"/>
        <v>0</v>
      </c>
    </row>
    <row r="27" spans="2:16">
      <c r="B27" s="141">
        <f t="shared" si="0"/>
        <v>2033</v>
      </c>
      <c r="C27" s="132">
        <f>$C$55</f>
        <v>1420.0408201737057</v>
      </c>
      <c r="D27" s="133">
        <f>C27*$C$62</f>
        <v>100.90797696748666</v>
      </c>
      <c r="E27" s="133">
        <f t="shared" si="15"/>
        <v>53.39</v>
      </c>
      <c r="F27" s="135">
        <f t="shared" si="1"/>
        <v>46.352432398307698</v>
      </c>
      <c r="G27" s="133">
        <f t="shared" si="15"/>
        <v>0</v>
      </c>
      <c r="H27" s="133">
        <f t="shared" ref="H27" si="24">ROUND(H26*(1+$G73),2)</f>
        <v>0</v>
      </c>
      <c r="I27" s="135">
        <f t="shared" si="5"/>
        <v>46.352432398307698</v>
      </c>
      <c r="J27" s="135">
        <f t="shared" si="2"/>
        <v>154.30000000000001</v>
      </c>
      <c r="K27" s="133">
        <f t="shared" si="17"/>
        <v>0.89</v>
      </c>
      <c r="L27" s="124"/>
      <c r="P27" s="170">
        <f t="shared" si="18"/>
        <v>0</v>
      </c>
    </row>
    <row r="28" spans="2:16">
      <c r="B28" s="141">
        <f t="shared" si="0"/>
        <v>2034</v>
      </c>
      <c r="C28" s="142"/>
      <c r="D28" s="133">
        <f t="shared" si="15"/>
        <v>102.93</v>
      </c>
      <c r="E28" s="133">
        <f t="shared" si="15"/>
        <v>54.46</v>
      </c>
      <c r="F28" s="135">
        <f t="shared" si="1"/>
        <v>47.281302571497243</v>
      </c>
      <c r="G28" s="133">
        <f t="shared" si="15"/>
        <v>0</v>
      </c>
      <c r="H28" s="133">
        <f t="shared" ref="H28" si="25">ROUND(H27*(1+$G74),2)</f>
        <v>0</v>
      </c>
      <c r="I28" s="135">
        <f t="shared" si="5"/>
        <v>47.281302571497243</v>
      </c>
      <c r="J28" s="135">
        <f t="shared" si="2"/>
        <v>157.38999999999999</v>
      </c>
      <c r="K28" s="133">
        <f t="shared" si="17"/>
        <v>0.91</v>
      </c>
      <c r="L28" s="124"/>
      <c r="P28" s="170">
        <f t="shared" si="18"/>
        <v>0</v>
      </c>
    </row>
    <row r="29" spans="2:16">
      <c r="B29" s="141">
        <f t="shared" si="0"/>
        <v>2035</v>
      </c>
      <c r="C29" s="142"/>
      <c r="D29" s="133">
        <f t="shared" ref="D29:E36" si="26">ROUND(D28*(1+$K66),2)</f>
        <v>104.99</v>
      </c>
      <c r="E29" s="133">
        <f t="shared" si="26"/>
        <v>55.55</v>
      </c>
      <c r="F29" s="135">
        <f t="shared" si="1"/>
        <v>48.227589521749579</v>
      </c>
      <c r="G29" s="133">
        <f t="shared" ref="G29:H36" si="27">ROUND(G28*(1+$K66),2)</f>
        <v>0</v>
      </c>
      <c r="H29" s="133">
        <f t="shared" si="27"/>
        <v>0</v>
      </c>
      <c r="I29" s="135">
        <f t="shared" si="5"/>
        <v>48.227589521749579</v>
      </c>
      <c r="J29" s="135">
        <f t="shared" si="2"/>
        <v>160.54</v>
      </c>
      <c r="K29" s="133">
        <f>ROUND(K28*(1+$K66),2)</f>
        <v>0.93</v>
      </c>
      <c r="L29" s="124"/>
      <c r="P29" s="170">
        <f>ROUND(P28*(1+$K66),2)</f>
        <v>0</v>
      </c>
    </row>
    <row r="30" spans="2:16">
      <c r="B30" s="141">
        <f t="shared" si="0"/>
        <v>2036</v>
      </c>
      <c r="C30" s="142"/>
      <c r="D30" s="133">
        <f t="shared" si="26"/>
        <v>107.09</v>
      </c>
      <c r="E30" s="133">
        <f t="shared" si="26"/>
        <v>56.66</v>
      </c>
      <c r="F30" s="135">
        <f t="shared" si="1"/>
        <v>49.191900985340069</v>
      </c>
      <c r="G30" s="133">
        <f t="shared" si="27"/>
        <v>0</v>
      </c>
      <c r="H30" s="133">
        <f t="shared" si="27"/>
        <v>0</v>
      </c>
      <c r="I30" s="135">
        <f t="shared" si="5"/>
        <v>49.191900985340069</v>
      </c>
      <c r="J30" s="135">
        <f t="shared" si="2"/>
        <v>163.75</v>
      </c>
      <c r="K30" s="133">
        <f t="shared" ref="K30:K36" si="28">ROUND(K29*(1+$K67),2)</f>
        <v>0.95</v>
      </c>
      <c r="L30" s="124"/>
      <c r="P30" s="170">
        <f t="shared" ref="P30:P36" si="29">ROUND(P29*(1+$K67),2)</f>
        <v>0</v>
      </c>
    </row>
    <row r="31" spans="2:16">
      <c r="B31" s="141">
        <f t="shared" si="0"/>
        <v>2037</v>
      </c>
      <c r="C31" s="142"/>
      <c r="D31" s="133">
        <f t="shared" si="26"/>
        <v>109.34</v>
      </c>
      <c r="E31" s="133">
        <f t="shared" si="26"/>
        <v>57.85</v>
      </c>
      <c r="F31" s="135">
        <f t="shared" si="1"/>
        <v>50.225306416726752</v>
      </c>
      <c r="G31" s="133">
        <f t="shared" si="27"/>
        <v>0</v>
      </c>
      <c r="H31" s="133">
        <f t="shared" si="27"/>
        <v>0</v>
      </c>
      <c r="I31" s="135">
        <f t="shared" si="5"/>
        <v>50.225306416726752</v>
      </c>
      <c r="J31" s="135">
        <f t="shared" si="2"/>
        <v>167.19</v>
      </c>
      <c r="K31" s="133">
        <f t="shared" si="28"/>
        <v>0.97</v>
      </c>
      <c r="L31" s="124"/>
      <c r="P31" s="170">
        <f t="shared" si="29"/>
        <v>0</v>
      </c>
    </row>
    <row r="32" spans="2:16">
      <c r="B32" s="141">
        <f t="shared" si="0"/>
        <v>2038</v>
      </c>
      <c r="C32" s="142"/>
      <c r="D32" s="133">
        <f t="shared" si="26"/>
        <v>111.64</v>
      </c>
      <c r="E32" s="133">
        <f t="shared" si="26"/>
        <v>59.06</v>
      </c>
      <c r="F32" s="135">
        <f t="shared" si="1"/>
        <v>51.279740447007931</v>
      </c>
      <c r="G32" s="133">
        <f t="shared" si="27"/>
        <v>0</v>
      </c>
      <c r="H32" s="133">
        <f t="shared" si="27"/>
        <v>0</v>
      </c>
      <c r="I32" s="135">
        <f t="shared" si="5"/>
        <v>51.279740447007931</v>
      </c>
      <c r="J32" s="135">
        <f t="shared" si="2"/>
        <v>170.7</v>
      </c>
      <c r="K32" s="133">
        <f t="shared" si="28"/>
        <v>0.99</v>
      </c>
      <c r="L32" s="124"/>
      <c r="P32" s="170">
        <f t="shared" si="29"/>
        <v>0</v>
      </c>
    </row>
    <row r="33" spans="2:16">
      <c r="B33" s="141">
        <f t="shared" si="0"/>
        <v>2039</v>
      </c>
      <c r="C33" s="142"/>
      <c r="D33" s="133">
        <f t="shared" si="26"/>
        <v>113.98</v>
      </c>
      <c r="E33" s="133">
        <f t="shared" si="26"/>
        <v>60.3</v>
      </c>
      <c r="F33" s="135">
        <f t="shared" si="1"/>
        <v>52.355203076183614</v>
      </c>
      <c r="G33" s="133">
        <f t="shared" si="27"/>
        <v>0</v>
      </c>
      <c r="H33" s="133">
        <f t="shared" si="27"/>
        <v>0</v>
      </c>
      <c r="I33" s="135">
        <f t="shared" si="5"/>
        <v>52.355203076183614</v>
      </c>
      <c r="J33" s="135">
        <f t="shared" si="2"/>
        <v>174.28</v>
      </c>
      <c r="K33" s="133">
        <f t="shared" si="28"/>
        <v>1.01</v>
      </c>
      <c r="L33" s="124"/>
      <c r="P33" s="170">
        <f t="shared" si="29"/>
        <v>0</v>
      </c>
    </row>
    <row r="34" spans="2:16">
      <c r="B34" s="141">
        <f t="shared" si="0"/>
        <v>2040</v>
      </c>
      <c r="C34" s="142"/>
      <c r="D34" s="133">
        <f t="shared" si="26"/>
        <v>116.37</v>
      </c>
      <c r="E34" s="133">
        <f t="shared" si="26"/>
        <v>61.57</v>
      </c>
      <c r="F34" s="135">
        <f t="shared" si="1"/>
        <v>53.454698389810147</v>
      </c>
      <c r="G34" s="133">
        <f t="shared" si="27"/>
        <v>0</v>
      </c>
      <c r="H34" s="133">
        <f t="shared" si="27"/>
        <v>0</v>
      </c>
      <c r="I34" s="135">
        <f t="shared" si="5"/>
        <v>53.454698389810147</v>
      </c>
      <c r="J34" s="135">
        <f t="shared" si="2"/>
        <v>177.94</v>
      </c>
      <c r="K34" s="133">
        <f t="shared" si="28"/>
        <v>1.03</v>
      </c>
      <c r="L34" s="124"/>
      <c r="P34" s="170">
        <f t="shared" si="29"/>
        <v>0</v>
      </c>
    </row>
    <row r="35" spans="2:16">
      <c r="B35" s="141">
        <f t="shared" si="0"/>
        <v>2041</v>
      </c>
      <c r="C35" s="142"/>
      <c r="D35" s="133">
        <f t="shared" si="26"/>
        <v>118.93</v>
      </c>
      <c r="E35" s="133">
        <f t="shared" si="26"/>
        <v>62.92</v>
      </c>
      <c r="F35" s="135">
        <f t="shared" si="1"/>
        <v>54.629295842345599</v>
      </c>
      <c r="G35" s="133">
        <f t="shared" si="27"/>
        <v>0</v>
      </c>
      <c r="H35" s="133">
        <f t="shared" si="27"/>
        <v>0</v>
      </c>
      <c r="I35" s="135">
        <f t="shared" si="5"/>
        <v>54.629295842345599</v>
      </c>
      <c r="J35" s="135">
        <f t="shared" si="2"/>
        <v>181.85</v>
      </c>
      <c r="K35" s="133">
        <f t="shared" si="28"/>
        <v>1.05</v>
      </c>
      <c r="L35" s="124"/>
      <c r="P35" s="170">
        <f t="shared" si="29"/>
        <v>0</v>
      </c>
    </row>
    <row r="36" spans="2:16">
      <c r="B36" s="141">
        <f t="shared" si="0"/>
        <v>2042</v>
      </c>
      <c r="C36" s="142"/>
      <c r="D36" s="133">
        <f t="shared" si="26"/>
        <v>121.55</v>
      </c>
      <c r="E36" s="133">
        <f t="shared" si="26"/>
        <v>64.3</v>
      </c>
      <c r="F36" s="135">
        <f t="shared" si="1"/>
        <v>55.83093006488825</v>
      </c>
      <c r="G36" s="133">
        <f t="shared" si="27"/>
        <v>0</v>
      </c>
      <c r="H36" s="133">
        <f t="shared" si="27"/>
        <v>0</v>
      </c>
      <c r="I36" s="135">
        <f t="shared" si="5"/>
        <v>55.83093006488825</v>
      </c>
      <c r="J36" s="135">
        <f t="shared" si="2"/>
        <v>185.85</v>
      </c>
      <c r="K36" s="133">
        <f t="shared" si="28"/>
        <v>1.07</v>
      </c>
      <c r="L36" s="124"/>
      <c r="P36" s="170">
        <f t="shared" si="29"/>
        <v>0</v>
      </c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">
        <v>118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0.0710599128799291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38.0%)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ID Wind Resource - 38%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76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125</v>
      </c>
      <c r="C55" s="290">
        <v>1420.0408201737057</v>
      </c>
      <c r="D55" s="122" t="s">
        <v>75</v>
      </c>
      <c r="H55" s="122" t="s">
        <v>9</v>
      </c>
    </row>
    <row r="56" spans="2:24">
      <c r="B56" s="86" t="s">
        <v>112</v>
      </c>
      <c r="C56" s="155">
        <v>37.570551305416139</v>
      </c>
      <c r="D56" s="122" t="s">
        <v>78</v>
      </c>
      <c r="H56" s="122" t="s">
        <v>9</v>
      </c>
    </row>
    <row r="57" spans="2:24">
      <c r="B57" s="86" t="s">
        <v>112</v>
      </c>
      <c r="C57" s="160">
        <v>0.58600709999999989</v>
      </c>
      <c r="D57" s="122" t="s">
        <v>83</v>
      </c>
      <c r="H57" s="122" t="s">
        <v>80</v>
      </c>
    </row>
    <row r="58" spans="2:24">
      <c r="B58" s="86" t="s">
        <v>112</v>
      </c>
      <c r="C58" s="155">
        <v>0</v>
      </c>
      <c r="D58" s="122" t="s">
        <v>79</v>
      </c>
      <c r="H58" s="122" t="s">
        <v>80</v>
      </c>
      <c r="K58" s="124"/>
      <c r="L58" s="291"/>
      <c r="M58" s="52"/>
      <c r="N58" s="157"/>
      <c r="O58" s="52"/>
      <c r="P58" s="157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227"/>
      <c r="L59" s="227"/>
      <c r="M59" s="159"/>
      <c r="N59" s="160"/>
      <c r="O59" s="157"/>
      <c r="P59" s="161"/>
      <c r="Q59" s="124"/>
      <c r="R59" s="124"/>
      <c r="S59" s="124"/>
      <c r="T59" s="124"/>
      <c r="U59" s="124"/>
      <c r="V59" s="124"/>
      <c r="W59" s="124"/>
      <c r="X59" s="124"/>
    </row>
    <row r="60" spans="2:24">
      <c r="K60" s="227"/>
      <c r="L60" s="227"/>
      <c r="M60" s="227"/>
      <c r="N60" s="124"/>
      <c r="O60" s="157"/>
      <c r="P60" s="161"/>
      <c r="Q60" s="124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227"/>
      <c r="L61" s="227"/>
      <c r="M61" s="227"/>
      <c r="N61" s="124"/>
      <c r="O61" s="227"/>
      <c r="P61" s="161"/>
      <c r="S61" s="124"/>
      <c r="T61" s="124"/>
      <c r="U61" s="124"/>
      <c r="V61" s="124"/>
      <c r="W61" s="124"/>
      <c r="X61" s="124"/>
    </row>
    <row r="62" spans="2:24">
      <c r="C62" s="163">
        <v>7.1059912879929146E-2</v>
      </c>
      <c r="D62" s="122" t="s">
        <v>38</v>
      </c>
      <c r="K62" s="292"/>
      <c r="L62" s="165"/>
      <c r="M62" s="165"/>
      <c r="O62" s="166"/>
    </row>
    <row r="63" spans="2:24">
      <c r="C63" s="167">
        <v>0.38</v>
      </c>
      <c r="D63" s="122" t="s">
        <v>39</v>
      </c>
    </row>
    <row r="64" spans="2:24" ht="13.5" thickBot="1">
      <c r="D64" s="161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30">C66+1</f>
        <v>2018</v>
      </c>
      <c r="D67" s="41">
        <v>2.3E-2</v>
      </c>
      <c r="E67" s="86"/>
      <c r="F67" s="88">
        <f t="shared" ref="F67:F74" si="31">F66+1</f>
        <v>2027</v>
      </c>
      <c r="G67" s="41">
        <v>2.1999999999999999E-2</v>
      </c>
      <c r="H67" s="86"/>
      <c r="I67" s="88">
        <f t="shared" ref="I67:I74" si="32">I66+1</f>
        <v>2036</v>
      </c>
      <c r="J67" s="88"/>
      <c r="K67" s="41">
        <v>0.02</v>
      </c>
    </row>
    <row r="68" spans="3:11">
      <c r="C68" s="88">
        <f t="shared" si="30"/>
        <v>2019</v>
      </c>
      <c r="D68" s="41">
        <v>2.1999999999999999E-2</v>
      </c>
      <c r="E68" s="86"/>
      <c r="F68" s="88">
        <f t="shared" si="31"/>
        <v>2028</v>
      </c>
      <c r="G68" s="41">
        <v>2.1999999999999999E-2</v>
      </c>
      <c r="H68" s="86"/>
      <c r="I68" s="88">
        <f t="shared" si="32"/>
        <v>2037</v>
      </c>
      <c r="J68" s="88"/>
      <c r="K68" s="41">
        <v>2.1000000000000001E-2</v>
      </c>
    </row>
    <row r="69" spans="3:11">
      <c r="C69" s="88">
        <f t="shared" si="30"/>
        <v>2020</v>
      </c>
      <c r="D69" s="41">
        <v>2.5000000000000001E-2</v>
      </c>
      <c r="E69" s="86"/>
      <c r="F69" s="88">
        <f t="shared" si="31"/>
        <v>2029</v>
      </c>
      <c r="G69" s="41">
        <v>2.1000000000000001E-2</v>
      </c>
      <c r="H69" s="86"/>
      <c r="I69" s="88">
        <f t="shared" si="32"/>
        <v>2038</v>
      </c>
      <c r="J69" s="88"/>
      <c r="K69" s="41">
        <v>2.1000000000000001E-2</v>
      </c>
    </row>
    <row r="70" spans="3:11">
      <c r="C70" s="88">
        <f t="shared" si="30"/>
        <v>2021</v>
      </c>
      <c r="D70" s="41">
        <v>2.4E-2</v>
      </c>
      <c r="E70" s="86"/>
      <c r="F70" s="88">
        <f t="shared" si="31"/>
        <v>2030</v>
      </c>
      <c r="G70" s="41">
        <v>0.02</v>
      </c>
      <c r="H70" s="86"/>
      <c r="I70" s="88">
        <f t="shared" si="32"/>
        <v>2039</v>
      </c>
      <c r="J70" s="88"/>
      <c r="K70" s="41">
        <v>2.1000000000000001E-2</v>
      </c>
    </row>
    <row r="71" spans="3:11">
      <c r="C71" s="88">
        <f t="shared" si="30"/>
        <v>2022</v>
      </c>
      <c r="D71" s="41">
        <v>2.4E-2</v>
      </c>
      <c r="E71" s="86"/>
      <c r="F71" s="88">
        <f t="shared" si="31"/>
        <v>2031</v>
      </c>
      <c r="G71" s="41">
        <v>0.02</v>
      </c>
      <c r="H71" s="86"/>
      <c r="I71" s="88">
        <f t="shared" si="32"/>
        <v>2040</v>
      </c>
      <c r="J71" s="88"/>
      <c r="K71" s="41">
        <v>2.1000000000000001E-2</v>
      </c>
    </row>
    <row r="72" spans="3:11" s="124" customFormat="1">
      <c r="C72" s="88">
        <f t="shared" si="30"/>
        <v>2023</v>
      </c>
      <c r="D72" s="41">
        <v>2.4E-2</v>
      </c>
      <c r="E72" s="87"/>
      <c r="F72" s="88">
        <f t="shared" si="31"/>
        <v>2032</v>
      </c>
      <c r="G72" s="41">
        <v>0.02</v>
      </c>
      <c r="H72" s="87"/>
      <c r="I72" s="88">
        <f t="shared" si="32"/>
        <v>2041</v>
      </c>
      <c r="J72" s="88"/>
      <c r="K72" s="41">
        <v>2.1999999999999999E-2</v>
      </c>
    </row>
    <row r="73" spans="3:11" s="124" customFormat="1">
      <c r="C73" s="88">
        <f t="shared" si="30"/>
        <v>2024</v>
      </c>
      <c r="D73" s="41">
        <v>2.3E-2</v>
      </c>
      <c r="E73" s="87"/>
      <c r="F73" s="88">
        <f t="shared" si="31"/>
        <v>2033</v>
      </c>
      <c r="G73" s="41">
        <v>0.02</v>
      </c>
      <c r="H73" s="87"/>
      <c r="I73" s="88">
        <f t="shared" si="32"/>
        <v>2042</v>
      </c>
      <c r="J73" s="88"/>
      <c r="K73" s="41">
        <v>2.1999999999999999E-2</v>
      </c>
    </row>
    <row r="74" spans="3:11" s="124" customFormat="1">
      <c r="C74" s="88">
        <f t="shared" si="30"/>
        <v>2025</v>
      </c>
      <c r="D74" s="41">
        <v>2.3E-2</v>
      </c>
      <c r="E74" s="87"/>
      <c r="F74" s="88">
        <f t="shared" si="31"/>
        <v>2034</v>
      </c>
      <c r="G74" s="41">
        <v>0.02</v>
      </c>
      <c r="H74" s="87"/>
      <c r="I74" s="88">
        <f t="shared" si="32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B1:O345"/>
  <sheetViews>
    <sheetView view="pageBreakPreview" topLeftCell="A2" zoomScale="60" zoomScaleNormal="100" workbookViewId="0">
      <selection activeCell="D31" sqref="D31"/>
    </sheetView>
  </sheetViews>
  <sheetFormatPr defaultColWidth="9.33203125" defaultRowHeight="12.75"/>
  <cols>
    <col min="1" max="1" width="9.33203125" style="3"/>
    <col min="2" max="2" width="15" style="3" customWidth="1"/>
    <col min="3" max="3" width="27" style="3" customWidth="1"/>
    <col min="4" max="4" width="19.5" style="3" customWidth="1"/>
    <col min="5" max="5" width="17" style="3" customWidth="1"/>
    <col min="6" max="6" width="9.33203125" style="3"/>
    <col min="7" max="7" width="15" style="46" hidden="1" customWidth="1"/>
    <col min="8" max="8" width="16.6640625" style="32" hidden="1" customWidth="1"/>
    <col min="9" max="9" width="11.1640625" style="3" hidden="1" customWidth="1"/>
    <col min="10" max="10" width="9.33203125" style="3" hidden="1" customWidth="1"/>
    <col min="11" max="11" width="9.33203125" style="95" hidden="1" customWidth="1"/>
    <col min="12" max="12" width="10.33203125" style="95" hidden="1" customWidth="1"/>
    <col min="13" max="13" width="13.83203125" style="95" hidden="1" customWidth="1"/>
    <col min="14" max="14" width="12.83203125" style="3" hidden="1" customWidth="1"/>
    <col min="15" max="15" width="13.33203125" style="3" hidden="1" customWidth="1"/>
    <col min="16" max="16" width="9.33203125" style="3" customWidth="1"/>
    <col min="17" max="16384" width="9.33203125" style="3"/>
  </cols>
  <sheetData>
    <row r="1" spans="2:15" ht="15.75" hidden="1">
      <c r="B1" s="1" t="s">
        <v>37</v>
      </c>
      <c r="C1" s="1"/>
      <c r="G1" s="29"/>
    </row>
    <row r="2" spans="2:15" ht="5.25" customHeight="1">
      <c r="B2" s="1"/>
      <c r="C2" s="1"/>
      <c r="G2" s="29"/>
    </row>
    <row r="3" spans="2:15" ht="15.75">
      <c r="B3" s="1" t="s">
        <v>58</v>
      </c>
      <c r="C3" s="1"/>
      <c r="G3" s="29"/>
    </row>
    <row r="4" spans="2:15" ht="15.75">
      <c r="B4" s="1" t="s">
        <v>32</v>
      </c>
      <c r="C4" s="1"/>
      <c r="G4" s="96" t="s">
        <v>31</v>
      </c>
    </row>
    <row r="5" spans="2:15" ht="15.75">
      <c r="B5" s="1" t="str">
        <f ca="1">'Table 1'!$B$5</f>
        <v>Utah 2018.Q2_Wind - 80.0 MW and 31.0% CF</v>
      </c>
      <c r="C5" s="1"/>
      <c r="G5" s="97">
        <v>43280</v>
      </c>
    </row>
    <row r="6" spans="2:15">
      <c r="B6" s="11"/>
      <c r="C6" s="11"/>
      <c r="G6" s="29"/>
    </row>
    <row r="7" spans="2:15" ht="14.25">
      <c r="B7" s="21"/>
      <c r="C7" s="28" t="s">
        <v>28</v>
      </c>
      <c r="G7" s="29"/>
    </row>
    <row r="8" spans="2:15">
      <c r="B8" s="22"/>
      <c r="C8" s="16" t="s">
        <v>29</v>
      </c>
      <c r="D8" s="16" t="s">
        <v>29</v>
      </c>
      <c r="E8" s="16" t="s">
        <v>29</v>
      </c>
      <c r="G8" s="29"/>
    </row>
    <row r="9" spans="2:15">
      <c r="B9" s="22" t="s">
        <v>0</v>
      </c>
      <c r="C9" s="22" t="str">
        <f>M16</f>
        <v>IRP - Utah Greenfield</v>
      </c>
      <c r="D9" s="22" t="str">
        <f>N15</f>
        <v>IRP West Side</v>
      </c>
      <c r="E9" s="22" t="str">
        <f>O16</f>
        <v>IRP - Wyo NE</v>
      </c>
      <c r="G9" s="29"/>
    </row>
    <row r="10" spans="2:15">
      <c r="B10" s="23"/>
      <c r="C10" s="24" t="s">
        <v>23</v>
      </c>
      <c r="D10" s="24" t="s">
        <v>23</v>
      </c>
      <c r="E10" s="24" t="s">
        <v>23</v>
      </c>
      <c r="G10" s="98"/>
      <c r="H10" s="99"/>
    </row>
    <row r="11" spans="2:15" hidden="1">
      <c r="C11" s="12"/>
      <c r="G11" s="98"/>
      <c r="H11" s="99"/>
    </row>
    <row r="12" spans="2:15" hidden="1">
      <c r="C12" s="25"/>
      <c r="G12" s="98"/>
      <c r="H12" s="99"/>
    </row>
    <row r="13" spans="2:15" ht="6" customHeight="1">
      <c r="G13" s="100"/>
      <c r="H13" s="101"/>
    </row>
    <row r="14" spans="2:15">
      <c r="B14" s="26">
        <v>2016</v>
      </c>
      <c r="C14" s="27">
        <f>ROUND(SUMIF($K$17:$K$340,$B14,$H$17:$H$340)/COUNTIF($K$17:$K$340,$B14),2)</f>
        <v>2.3199999999999998</v>
      </c>
      <c r="D14" s="27">
        <f>ROUND(SUMIF($K$17:$K$340,$B14,$I$17:$I$340)/COUNTIF($K$17:$K$340,$B14),2)</f>
        <v>2.2999999999999998</v>
      </c>
      <c r="E14" s="27">
        <f>ROUND(SUMIF($K$17:$K$340,$B14,$J$17:$J$340)/COUNTIF($K$17:$K$340,$B14),2)</f>
        <v>2.35</v>
      </c>
      <c r="G14" s="102"/>
      <c r="H14" s="33"/>
    </row>
    <row r="15" spans="2:15" ht="13.5" thickBot="1">
      <c r="B15" s="26">
        <f t="shared" ref="B15:B40" si="0">B14+1</f>
        <v>2017</v>
      </c>
      <c r="C15" s="27">
        <f t="shared" ref="C15:C39" si="1">ROUND(SUMIF($K$17:$K$340,$B15,$H$17:$H$340)/COUNTIF($K$17:$K$340,$B15),2)</f>
        <v>2.71</v>
      </c>
      <c r="D15" s="27">
        <f t="shared" ref="D15:D40" si="2">ROUND(SUMIF($K$17:$K$340,$B15,$I$17:$I$340)/COUNTIF($K$17:$K$340,$B15),2)</f>
        <v>2.77</v>
      </c>
      <c r="E15" s="27">
        <f t="shared" ref="E15:E40" si="3">ROUND(SUMIF($K$17:$K$340,$B15,$J$17:$J$340)/COUNTIF($K$17:$K$340,$B15),2)</f>
        <v>2.71</v>
      </c>
      <c r="G15" s="30"/>
      <c r="H15" s="34" t="s">
        <v>67</v>
      </c>
      <c r="I15" s="3" t="s">
        <v>68</v>
      </c>
      <c r="J15" s="3" t="s">
        <v>69</v>
      </c>
      <c r="N15" s="3" t="s">
        <v>68</v>
      </c>
    </row>
    <row r="16" spans="2:15" ht="13.5" thickBot="1">
      <c r="B16" s="26">
        <f t="shared" si="0"/>
        <v>2018</v>
      </c>
      <c r="C16" s="27">
        <f t="shared" si="1"/>
        <v>2.2799999999999998</v>
      </c>
      <c r="D16" s="27">
        <f t="shared" si="2"/>
        <v>2.16</v>
      </c>
      <c r="E16" s="27">
        <f t="shared" si="3"/>
        <v>2.2799999999999998</v>
      </c>
      <c r="G16" s="30" t="s">
        <v>30</v>
      </c>
      <c r="H16" s="34" t="s">
        <v>29</v>
      </c>
      <c r="I16" s="34" t="s">
        <v>29</v>
      </c>
      <c r="J16" s="34" t="s">
        <v>29</v>
      </c>
      <c r="K16" s="103" t="s">
        <v>0</v>
      </c>
      <c r="M16" s="104" t="str">
        <f>IF(_30_Geo_West&gt;0,"IRP - Wyo NE",IF(_436_CCCT_WestMain&gt;0,"West Side","IRP - Utah Greenfield"))</f>
        <v>IRP - Utah Greenfield</v>
      </c>
      <c r="N16" s="104" t="s">
        <v>114</v>
      </c>
      <c r="O16" s="104" t="s">
        <v>69</v>
      </c>
    </row>
    <row r="17" spans="2:15" ht="13.5" thickBot="1">
      <c r="B17" s="26">
        <f t="shared" si="0"/>
        <v>2019</v>
      </c>
      <c r="C17" s="27">
        <f t="shared" si="1"/>
        <v>2.09</v>
      </c>
      <c r="D17" s="27">
        <f t="shared" si="2"/>
        <v>1.99</v>
      </c>
      <c r="E17" s="27">
        <f t="shared" si="3"/>
        <v>2.02</v>
      </c>
      <c r="G17" s="31">
        <v>42370</v>
      </c>
      <c r="H17" s="35">
        <v>2.2763825364431489</v>
      </c>
      <c r="I17" s="35">
        <v>2.3748742653912789</v>
      </c>
      <c r="J17" s="35">
        <v>2.2757987901986261</v>
      </c>
      <c r="K17" s="105">
        <f t="shared" ref="K17:K64" si="4">YEAR(G17)</f>
        <v>2016</v>
      </c>
      <c r="M17" s="106">
        <v>47</v>
      </c>
      <c r="N17" s="106">
        <v>43</v>
      </c>
      <c r="O17" s="106">
        <v>46</v>
      </c>
    </row>
    <row r="18" spans="2:15">
      <c r="B18" s="26">
        <f t="shared" si="0"/>
        <v>2020</v>
      </c>
      <c r="C18" s="27">
        <f t="shared" si="1"/>
        <v>1.97</v>
      </c>
      <c r="D18" s="27">
        <f t="shared" si="2"/>
        <v>1.88</v>
      </c>
      <c r="E18" s="27">
        <f t="shared" si="3"/>
        <v>1.9</v>
      </c>
      <c r="G18" s="31">
        <v>42401</v>
      </c>
      <c r="H18" s="35">
        <v>1.8452064945978397</v>
      </c>
      <c r="I18" s="35">
        <v>1.7746276302006363</v>
      </c>
      <c r="J18" s="35">
        <v>1.8289735727586562</v>
      </c>
      <c r="K18" s="105">
        <f t="shared" si="4"/>
        <v>2016</v>
      </c>
    </row>
    <row r="19" spans="2:15">
      <c r="B19" s="26">
        <f t="shared" si="0"/>
        <v>2021</v>
      </c>
      <c r="C19" s="27">
        <f t="shared" si="1"/>
        <v>1.94</v>
      </c>
      <c r="D19" s="27">
        <f t="shared" si="2"/>
        <v>1.9</v>
      </c>
      <c r="E19" s="27">
        <f t="shared" si="3"/>
        <v>1.94</v>
      </c>
      <c r="G19" s="31">
        <v>42430</v>
      </c>
      <c r="H19" s="35">
        <v>1.5253593249607535</v>
      </c>
      <c r="I19" s="35">
        <v>1.4851256469456469</v>
      </c>
      <c r="J19" s="35">
        <v>1.5765269848510393</v>
      </c>
      <c r="K19" s="105">
        <f t="shared" si="4"/>
        <v>2016</v>
      </c>
    </row>
    <row r="20" spans="2:15">
      <c r="B20" s="26">
        <f t="shared" si="0"/>
        <v>2022</v>
      </c>
      <c r="C20" s="27">
        <f t="shared" si="1"/>
        <v>2.0099999999999998</v>
      </c>
      <c r="D20" s="27">
        <f t="shared" si="2"/>
        <v>2</v>
      </c>
      <c r="E20" s="27">
        <f t="shared" si="3"/>
        <v>2.0099999999999998</v>
      </c>
      <c r="G20" s="31">
        <v>42461</v>
      </c>
      <c r="H20" s="35">
        <v>1.6910448299319725</v>
      </c>
      <c r="I20" s="35">
        <v>1.4973848492599942</v>
      </c>
      <c r="J20" s="35">
        <v>1.7513146360624383</v>
      </c>
      <c r="K20" s="105">
        <f t="shared" si="4"/>
        <v>2016</v>
      </c>
    </row>
    <row r="21" spans="2:15">
      <c r="B21" s="26">
        <f t="shared" si="0"/>
        <v>2023</v>
      </c>
      <c r="C21" s="27">
        <f t="shared" si="1"/>
        <v>2.16</v>
      </c>
      <c r="D21" s="27">
        <f t="shared" si="2"/>
        <v>2.11</v>
      </c>
      <c r="E21" s="27">
        <f t="shared" si="3"/>
        <v>2.12</v>
      </c>
      <c r="G21" s="31">
        <v>42491</v>
      </c>
      <c r="H21" s="35">
        <v>1.7310108163265305</v>
      </c>
      <c r="I21" s="35">
        <v>1.5718715629148743</v>
      </c>
      <c r="J21" s="35">
        <v>1.8004724578470166</v>
      </c>
      <c r="K21" s="105">
        <f t="shared" si="4"/>
        <v>2016</v>
      </c>
    </row>
    <row r="22" spans="2:15">
      <c r="B22" s="26">
        <f t="shared" si="0"/>
        <v>2024</v>
      </c>
      <c r="C22" s="27">
        <f t="shared" si="1"/>
        <v>2.5499999999999998</v>
      </c>
      <c r="D22" s="27">
        <f t="shared" si="2"/>
        <v>2.5</v>
      </c>
      <c r="E22" s="27">
        <f t="shared" si="3"/>
        <v>2.5</v>
      </c>
      <c r="G22" s="31">
        <v>42522</v>
      </c>
      <c r="H22" s="35">
        <v>2.3388150491307629</v>
      </c>
      <c r="I22" s="35">
        <v>2.1751230113991165</v>
      </c>
      <c r="J22" s="35">
        <v>2.3647654677733372</v>
      </c>
      <c r="K22" s="105">
        <f t="shared" si="4"/>
        <v>2016</v>
      </c>
    </row>
    <row r="23" spans="2:15">
      <c r="B23" s="26">
        <f t="shared" si="0"/>
        <v>2025</v>
      </c>
      <c r="C23" s="27">
        <f t="shared" si="1"/>
        <v>3.34</v>
      </c>
      <c r="D23" s="27">
        <f t="shared" si="2"/>
        <v>3.3</v>
      </c>
      <c r="E23" s="27">
        <f t="shared" si="3"/>
        <v>3.28</v>
      </c>
      <c r="G23" s="31">
        <v>42552</v>
      </c>
      <c r="H23" s="35">
        <v>2.58101081632653</v>
      </c>
      <c r="I23" s="35">
        <v>2.5037871798230165</v>
      </c>
      <c r="J23" s="35">
        <v>2.6063456138089238</v>
      </c>
      <c r="K23" s="105">
        <f t="shared" si="4"/>
        <v>2016</v>
      </c>
    </row>
    <row r="24" spans="2:15">
      <c r="B24" s="26">
        <f t="shared" si="0"/>
        <v>2026</v>
      </c>
      <c r="C24" s="27">
        <f t="shared" si="1"/>
        <v>3.81</v>
      </c>
      <c r="D24" s="27">
        <f t="shared" si="2"/>
        <v>3.79</v>
      </c>
      <c r="E24" s="27">
        <f t="shared" si="3"/>
        <v>3.74</v>
      </c>
      <c r="G24" s="31">
        <v>42583</v>
      </c>
      <c r="H24" s="35">
        <v>2.6353985714285706</v>
      </c>
      <c r="I24" s="35">
        <v>2.6477537958754924</v>
      </c>
      <c r="J24" s="35">
        <v>2.6355990076984344</v>
      </c>
      <c r="K24" s="105">
        <f t="shared" si="4"/>
        <v>2016</v>
      </c>
    </row>
    <row r="25" spans="2:15">
      <c r="B25" s="26">
        <f t="shared" si="0"/>
        <v>2027</v>
      </c>
      <c r="C25" s="27">
        <f t="shared" si="1"/>
        <v>3.93</v>
      </c>
      <c r="D25" s="27">
        <f t="shared" si="2"/>
        <v>3.92</v>
      </c>
      <c r="E25" s="27">
        <f t="shared" si="3"/>
        <v>3.86</v>
      </c>
      <c r="G25" s="31">
        <v>42614</v>
      </c>
      <c r="H25" s="35">
        <v>2.7123373469387757</v>
      </c>
      <c r="I25" s="35">
        <v>2.7714741535603351</v>
      </c>
      <c r="J25" s="35">
        <v>2.7681537930798932</v>
      </c>
      <c r="K25" s="105">
        <f t="shared" si="4"/>
        <v>2016</v>
      </c>
    </row>
    <row r="26" spans="2:15">
      <c r="B26" s="26">
        <f t="shared" si="0"/>
        <v>2028</v>
      </c>
      <c r="C26" s="27">
        <f t="shared" si="1"/>
        <v>4.1399999999999997</v>
      </c>
      <c r="D26" s="27">
        <f t="shared" si="2"/>
        <v>4.18</v>
      </c>
      <c r="E26" s="27">
        <f t="shared" si="3"/>
        <v>4.08</v>
      </c>
      <c r="G26" s="31">
        <v>42644</v>
      </c>
      <c r="H26" s="35">
        <v>2.6862698430141281</v>
      </c>
      <c r="I26" s="35">
        <v>2.6942040298820258</v>
      </c>
      <c r="J26" s="35">
        <v>2.7499682086675996</v>
      </c>
      <c r="K26" s="105">
        <f t="shared" si="4"/>
        <v>2016</v>
      </c>
    </row>
    <row r="27" spans="2:15">
      <c r="B27" s="26">
        <f t="shared" si="0"/>
        <v>2029</v>
      </c>
      <c r="C27" s="27">
        <f t="shared" si="1"/>
        <v>4.5199999999999996</v>
      </c>
      <c r="D27" s="27">
        <f t="shared" si="2"/>
        <v>4.62</v>
      </c>
      <c r="E27" s="27">
        <f t="shared" si="3"/>
        <v>4.4400000000000004</v>
      </c>
      <c r="G27" s="31">
        <v>42675</v>
      </c>
      <c r="H27" s="35">
        <v>2.269616258503401</v>
      </c>
      <c r="I27" s="35">
        <v>2.2676824839611038</v>
      </c>
      <c r="J27" s="35">
        <v>2.3066994090924613</v>
      </c>
      <c r="K27" s="105">
        <f t="shared" si="4"/>
        <v>2016</v>
      </c>
    </row>
    <row r="28" spans="2:15">
      <c r="B28" s="26">
        <f t="shared" si="0"/>
        <v>2030</v>
      </c>
      <c r="C28" s="27">
        <f t="shared" si="1"/>
        <v>4.96</v>
      </c>
      <c r="D28" s="27">
        <f t="shared" si="2"/>
        <v>5.07</v>
      </c>
      <c r="E28" s="27">
        <f t="shared" si="3"/>
        <v>4.88</v>
      </c>
      <c r="G28" s="31">
        <v>42705</v>
      </c>
      <c r="H28" s="35">
        <v>3.5123636800526663</v>
      </c>
      <c r="I28" s="35">
        <v>3.8167860057158185</v>
      </c>
      <c r="J28" s="35">
        <v>3.5518748027461844</v>
      </c>
      <c r="K28" s="105">
        <f t="shared" si="4"/>
        <v>2016</v>
      </c>
    </row>
    <row r="29" spans="2:15">
      <c r="B29" s="26">
        <f t="shared" si="0"/>
        <v>2031</v>
      </c>
      <c r="C29" s="27">
        <f t="shared" si="1"/>
        <v>4.9800000000000004</v>
      </c>
      <c r="D29" s="27">
        <f t="shared" si="2"/>
        <v>5.0599999999999996</v>
      </c>
      <c r="E29" s="27">
        <f t="shared" si="3"/>
        <v>4.9000000000000004</v>
      </c>
      <c r="G29" s="31">
        <v>42736</v>
      </c>
      <c r="H29" s="35">
        <v>3.2524393877551017</v>
      </c>
      <c r="I29" s="35">
        <v>3.5318468800105713</v>
      </c>
      <c r="J29" s="35">
        <v>3.2192827656100813</v>
      </c>
      <c r="K29" s="105">
        <f t="shared" si="4"/>
        <v>2017</v>
      </c>
    </row>
    <row r="30" spans="2:15">
      <c r="B30" s="26">
        <f t="shared" si="0"/>
        <v>2032</v>
      </c>
      <c r="C30" s="27">
        <f t="shared" si="1"/>
        <v>5.36</v>
      </c>
      <c r="D30" s="27">
        <f t="shared" si="2"/>
        <v>5.44</v>
      </c>
      <c r="E30" s="27">
        <f t="shared" si="3"/>
        <v>5.27</v>
      </c>
      <c r="G30" s="31">
        <v>42767</v>
      </c>
      <c r="H30" s="35">
        <v>2.6306099416909614</v>
      </c>
      <c r="I30" s="35">
        <v>2.6903633755419278</v>
      </c>
      <c r="J30" s="35">
        <v>2.6163905589309167</v>
      </c>
      <c r="K30" s="105">
        <f t="shared" si="4"/>
        <v>2017</v>
      </c>
    </row>
    <row r="31" spans="2:15">
      <c r="B31" s="26">
        <f t="shared" si="0"/>
        <v>2033</v>
      </c>
      <c r="C31" s="27">
        <f t="shared" si="1"/>
        <v>5.63</v>
      </c>
      <c r="D31" s="27">
        <f t="shared" si="2"/>
        <v>5.73</v>
      </c>
      <c r="E31" s="27">
        <f t="shared" si="3"/>
        <v>5.54</v>
      </c>
      <c r="G31" s="31">
        <v>42795</v>
      </c>
      <c r="H31" s="35">
        <v>2.5701319486504275</v>
      </c>
      <c r="I31" s="35">
        <v>2.5432095807524639</v>
      </c>
      <c r="J31" s="35">
        <v>2.568842349667122</v>
      </c>
      <c r="K31" s="105">
        <f t="shared" si="4"/>
        <v>2017</v>
      </c>
    </row>
    <row r="32" spans="2:15">
      <c r="B32" s="26">
        <f t="shared" si="0"/>
        <v>2034</v>
      </c>
      <c r="C32" s="27">
        <f t="shared" si="1"/>
        <v>5.56</v>
      </c>
      <c r="D32" s="27">
        <f t="shared" si="2"/>
        <v>5.62</v>
      </c>
      <c r="E32" s="27">
        <f t="shared" si="3"/>
        <v>5.48</v>
      </c>
      <c r="G32" s="31">
        <v>42826</v>
      </c>
      <c r="H32" s="35">
        <v>2.7337319047619042</v>
      </c>
      <c r="I32" s="35">
        <v>2.7294485434555877</v>
      </c>
      <c r="J32" s="35">
        <v>2.7630022897935822</v>
      </c>
      <c r="K32" s="105">
        <f t="shared" si="4"/>
        <v>2017</v>
      </c>
    </row>
    <row r="33" spans="2:11">
      <c r="B33" s="26">
        <f t="shared" si="0"/>
        <v>2035</v>
      </c>
      <c r="C33" s="27">
        <f t="shared" si="1"/>
        <v>5.75</v>
      </c>
      <c r="D33" s="27">
        <f t="shared" si="2"/>
        <v>5.76</v>
      </c>
      <c r="E33" s="27">
        <f t="shared" si="3"/>
        <v>5.66</v>
      </c>
      <c r="G33" s="31">
        <v>42856</v>
      </c>
      <c r="H33" s="35">
        <v>2.793469670836076</v>
      </c>
      <c r="I33" s="35">
        <v>2.7211925722904748</v>
      </c>
      <c r="J33" s="35">
        <v>2.7948345482925934</v>
      </c>
      <c r="K33" s="105">
        <f t="shared" si="4"/>
        <v>2017</v>
      </c>
    </row>
    <row r="34" spans="2:11">
      <c r="B34" s="26">
        <f t="shared" si="0"/>
        <v>2036</v>
      </c>
      <c r="C34" s="27">
        <f t="shared" si="1"/>
        <v>5.69</v>
      </c>
      <c r="D34" s="27">
        <f t="shared" si="2"/>
        <v>5.71</v>
      </c>
      <c r="E34" s="27">
        <f t="shared" si="3"/>
        <v>5.61</v>
      </c>
      <c r="G34" s="31">
        <v>42887</v>
      </c>
      <c r="H34" s="35">
        <v>2.8754985714285715</v>
      </c>
      <c r="I34" s="35">
        <v>2.8528564316455696</v>
      </c>
      <c r="J34" s="35">
        <v>2.9027304231990985</v>
      </c>
      <c r="K34" s="105">
        <f t="shared" si="4"/>
        <v>2017</v>
      </c>
    </row>
    <row r="35" spans="2:11">
      <c r="B35" s="26">
        <f t="shared" si="0"/>
        <v>2037</v>
      </c>
      <c r="C35" s="27">
        <f t="shared" si="1"/>
        <v>6.03</v>
      </c>
      <c r="D35" s="27">
        <f t="shared" si="2"/>
        <v>6.09</v>
      </c>
      <c r="E35" s="27">
        <f t="shared" si="3"/>
        <v>5.94</v>
      </c>
      <c r="G35" s="31">
        <v>42917</v>
      </c>
      <c r="H35" s="35">
        <v>2.6189359863945567</v>
      </c>
      <c r="I35" s="35">
        <v>2.4945553517572598</v>
      </c>
      <c r="J35" s="35">
        <v>2.6362978437052949</v>
      </c>
      <c r="K35" s="105">
        <f t="shared" si="4"/>
        <v>2017</v>
      </c>
    </row>
    <row r="36" spans="2:11">
      <c r="B36" s="26">
        <f t="shared" si="0"/>
        <v>2038</v>
      </c>
      <c r="C36" s="27">
        <f t="shared" si="1"/>
        <v>6.44</v>
      </c>
      <c r="D36" s="27">
        <f t="shared" si="2"/>
        <v>6.53</v>
      </c>
      <c r="E36" s="27">
        <f t="shared" si="3"/>
        <v>6.35</v>
      </c>
      <c r="G36" s="31">
        <v>42948</v>
      </c>
      <c r="H36" s="35">
        <v>2.6204058600583098</v>
      </c>
      <c r="I36" s="35">
        <v>2.6662174520070065</v>
      </c>
      <c r="J36" s="35">
        <v>2.5882317308036979</v>
      </c>
      <c r="K36" s="105">
        <f t="shared" si="4"/>
        <v>2017</v>
      </c>
    </row>
    <row r="37" spans="2:11">
      <c r="B37" s="26">
        <f t="shared" si="0"/>
        <v>2039</v>
      </c>
      <c r="C37" s="27">
        <f t="shared" si="1"/>
        <v>6.68</v>
      </c>
      <c r="D37" s="27">
        <f t="shared" si="2"/>
        <v>6.81</v>
      </c>
      <c r="E37" s="27">
        <f t="shared" si="3"/>
        <v>6.59</v>
      </c>
      <c r="G37" s="31">
        <v>42979</v>
      </c>
      <c r="H37" s="35">
        <v>2.6225484658691061</v>
      </c>
      <c r="I37" s="35">
        <v>2.6887120624951599</v>
      </c>
      <c r="J37" s="35">
        <v>2.6331911977640843</v>
      </c>
      <c r="K37" s="105">
        <f t="shared" si="4"/>
        <v>2017</v>
      </c>
    </row>
    <row r="38" spans="2:11">
      <c r="B38" s="26">
        <f t="shared" si="0"/>
        <v>2040</v>
      </c>
      <c r="C38" s="27">
        <f t="shared" si="1"/>
        <v>7.08</v>
      </c>
      <c r="D38" s="27">
        <f t="shared" si="2"/>
        <v>7.22</v>
      </c>
      <c r="E38" s="27">
        <f t="shared" si="3"/>
        <v>6.98</v>
      </c>
      <c r="G38" s="31">
        <v>43009</v>
      </c>
      <c r="H38" s="35">
        <v>2.5740380272108854</v>
      </c>
      <c r="I38" s="35">
        <v>2.6534093301860455</v>
      </c>
      <c r="J38" s="35">
        <v>2.5597179350146151</v>
      </c>
      <c r="K38" s="105">
        <f t="shared" si="4"/>
        <v>2017</v>
      </c>
    </row>
    <row r="39" spans="2:11">
      <c r="B39" s="26">
        <f t="shared" si="0"/>
        <v>2041</v>
      </c>
      <c r="C39" s="27">
        <f t="shared" si="1"/>
        <v>7.23</v>
      </c>
      <c r="D39" s="27">
        <f t="shared" si="2"/>
        <v>7.38</v>
      </c>
      <c r="E39" s="27">
        <f t="shared" si="3"/>
        <v>7.13</v>
      </c>
      <c r="G39" s="31">
        <v>43040</v>
      </c>
      <c r="H39" s="35">
        <v>2.7398543537414972</v>
      </c>
      <c r="I39" s="35">
        <v>2.7910689165539582</v>
      </c>
      <c r="J39" s="35">
        <v>2.7286553860659333</v>
      </c>
      <c r="K39" s="105">
        <f t="shared" si="4"/>
        <v>2017</v>
      </c>
    </row>
    <row r="40" spans="2:11">
      <c r="B40" s="26">
        <f t="shared" si="0"/>
        <v>2042</v>
      </c>
      <c r="C40" s="27">
        <f>ROUND(SUMIF($K$17:$K$340,$B40,$H$17:$H$340)/COUNTIF($K$17:$K$340,$B40),2)</f>
        <v>4.84</v>
      </c>
      <c r="D40" s="27">
        <f t="shared" si="2"/>
        <v>4.91</v>
      </c>
      <c r="E40" s="27">
        <f t="shared" si="3"/>
        <v>4.7699999999999996</v>
      </c>
      <c r="G40" s="31">
        <v>43070</v>
      </c>
      <c r="H40" s="35">
        <v>2.5383676300197497</v>
      </c>
      <c r="I40" s="35">
        <v>2.822493172147158</v>
      </c>
      <c r="J40" s="35">
        <v>2.5087189745461411</v>
      </c>
      <c r="K40" s="105">
        <f t="shared" si="4"/>
        <v>2017</v>
      </c>
    </row>
    <row r="41" spans="2:11">
      <c r="B41" s="26"/>
      <c r="C41" s="27"/>
      <c r="G41" s="31">
        <v>43101</v>
      </c>
      <c r="H41" s="35">
        <v>2.9554183212639882</v>
      </c>
      <c r="I41" s="35">
        <v>2.8239902253470102</v>
      </c>
      <c r="J41" s="35">
        <v>3.0850235214374857</v>
      </c>
      <c r="K41" s="105">
        <f t="shared" si="4"/>
        <v>2018</v>
      </c>
    </row>
    <row r="42" spans="2:11">
      <c r="B42" s="26"/>
      <c r="C42" s="27"/>
      <c r="G42" s="31">
        <v>43132</v>
      </c>
      <c r="H42" s="35">
        <v>2.2568854518950432</v>
      </c>
      <c r="I42" s="35">
        <v>2.2686339840438139</v>
      </c>
      <c r="J42" s="35">
        <v>2.2460429047667154</v>
      </c>
      <c r="K42" s="105">
        <f t="shared" si="4"/>
        <v>2018</v>
      </c>
    </row>
    <row r="43" spans="2:11">
      <c r="G43" s="31">
        <v>43160</v>
      </c>
      <c r="H43" s="35">
        <v>2.1272418894009211</v>
      </c>
      <c r="I43" s="35">
        <v>2.1973902915865509</v>
      </c>
      <c r="J43" s="35">
        <v>2.1577548823765187</v>
      </c>
      <c r="K43" s="105">
        <f t="shared" si="4"/>
        <v>2018</v>
      </c>
    </row>
    <row r="44" spans="2:11">
      <c r="B44" s="107" t="str">
        <f>"Official Forward Price Curve Forecast dated   "&amp;TEXT(G5,"MMM dd, YYYY")</f>
        <v>Official Forward Price Curve Forecast dated   Jun 29, 2018</v>
      </c>
      <c r="G44" s="31">
        <v>43191</v>
      </c>
      <c r="H44" s="35">
        <v>1.9903645578231297</v>
      </c>
      <c r="I44" s="35">
        <v>2.0363267735276125</v>
      </c>
      <c r="J44" s="35">
        <v>2.0652887160319229</v>
      </c>
      <c r="K44" s="105">
        <f t="shared" si="4"/>
        <v>2018</v>
      </c>
    </row>
    <row r="45" spans="2:11">
      <c r="G45" s="31">
        <v>43221</v>
      </c>
      <c r="H45" s="35">
        <v>1.7946217445687955</v>
      </c>
      <c r="I45" s="35">
        <v>1.5864262468023287</v>
      </c>
      <c r="J45" s="35">
        <v>1.8740833482691301</v>
      </c>
      <c r="K45" s="105">
        <f t="shared" si="4"/>
        <v>2018</v>
      </c>
    </row>
    <row r="46" spans="2:11">
      <c r="G46" s="31">
        <v>43252</v>
      </c>
      <c r="H46" s="35">
        <v>2.1570312244897956</v>
      </c>
      <c r="I46" s="35">
        <v>1.8624662229306752</v>
      </c>
      <c r="J46" s="35">
        <v>2.2496507728053339</v>
      </c>
      <c r="K46" s="105">
        <f t="shared" si="4"/>
        <v>2018</v>
      </c>
    </row>
    <row r="47" spans="2:11">
      <c r="G47" s="31">
        <v>43282</v>
      </c>
      <c r="H47" s="35">
        <v>2.2284597959183672</v>
      </c>
      <c r="I47" s="35">
        <v>1.8469966731988667</v>
      </c>
      <c r="J47" s="35">
        <v>2.2294467117890697</v>
      </c>
      <c r="K47" s="105">
        <f t="shared" si="4"/>
        <v>2018</v>
      </c>
    </row>
    <row r="48" spans="2:11">
      <c r="G48" s="31">
        <v>43313</v>
      </c>
      <c r="H48" s="35">
        <v>2.3753985714285712</v>
      </c>
      <c r="I48" s="35">
        <v>2.1321520399218703</v>
      </c>
      <c r="J48" s="35">
        <v>2.3016762299222142</v>
      </c>
      <c r="K48" s="105">
        <f t="shared" si="4"/>
        <v>2018</v>
      </c>
    </row>
    <row r="49" spans="7:13">
      <c r="G49" s="31">
        <v>43344</v>
      </c>
      <c r="H49" s="35">
        <v>2.3417251020408161</v>
      </c>
      <c r="I49" s="35">
        <v>1.9949886989665016</v>
      </c>
      <c r="J49" s="35">
        <v>2.2683395292453783</v>
      </c>
      <c r="K49" s="105">
        <f t="shared" si="4"/>
        <v>2018</v>
      </c>
      <c r="L49" s="3"/>
      <c r="M49" s="3"/>
    </row>
    <row r="50" spans="7:13">
      <c r="G50" s="31">
        <v>43374</v>
      </c>
      <c r="H50" s="35">
        <v>2.2264189795918363</v>
      </c>
      <c r="I50" s="35">
        <v>2.0524838588030563</v>
      </c>
      <c r="J50" s="35">
        <v>2.1541865845034853</v>
      </c>
      <c r="K50" s="105">
        <f t="shared" si="4"/>
        <v>2018</v>
      </c>
      <c r="L50" s="3"/>
      <c r="M50" s="3"/>
    </row>
    <row r="51" spans="7:13">
      <c r="G51" s="31">
        <v>43405</v>
      </c>
      <c r="H51" s="35">
        <v>2.28866387755102</v>
      </c>
      <c r="I51" s="35">
        <v>2.3164975075592551</v>
      </c>
      <c r="J51" s="35">
        <v>2.1880283867057275</v>
      </c>
      <c r="K51" s="105">
        <f t="shared" si="4"/>
        <v>2018</v>
      </c>
      <c r="L51" s="3"/>
      <c r="M51" s="3"/>
    </row>
    <row r="52" spans="7:13">
      <c r="G52" s="31">
        <v>43435</v>
      </c>
      <c r="H52" s="35">
        <v>2.6289699999999998</v>
      </c>
      <c r="I52" s="35">
        <v>2.7480979450767133</v>
      </c>
      <c r="J52" s="35">
        <v>2.5299821194060006</v>
      </c>
      <c r="K52" s="105">
        <f t="shared" si="4"/>
        <v>2018</v>
      </c>
      <c r="L52" s="3"/>
      <c r="M52" s="3"/>
    </row>
    <row r="53" spans="7:13">
      <c r="G53" s="31">
        <v>43466</v>
      </c>
      <c r="H53" s="35">
        <v>2.7539699999999998</v>
      </c>
      <c r="I53" s="35">
        <v>2.710094417902237</v>
      </c>
      <c r="J53" s="35">
        <v>2.663834023638751</v>
      </c>
      <c r="K53" s="105">
        <f t="shared" si="4"/>
        <v>2019</v>
      </c>
      <c r="L53" s="3"/>
      <c r="M53" s="3"/>
    </row>
    <row r="54" spans="7:13">
      <c r="G54" s="31">
        <v>43497</v>
      </c>
      <c r="H54" s="35">
        <v>2.6371332653061219</v>
      </c>
      <c r="I54" s="35">
        <v>2.4714508307062037</v>
      </c>
      <c r="J54" s="35">
        <v>2.5481657743206383</v>
      </c>
      <c r="K54" s="105">
        <f t="shared" si="4"/>
        <v>2019</v>
      </c>
      <c r="L54" s="3"/>
      <c r="M54" s="3"/>
    </row>
    <row r="55" spans="7:13">
      <c r="G55" s="31">
        <v>43525</v>
      </c>
      <c r="H55" s="35">
        <v>2.204990408163265</v>
      </c>
      <c r="I55" s="35">
        <v>2.1932567613625138</v>
      </c>
      <c r="J55" s="35">
        <v>2.1354978280634409</v>
      </c>
      <c r="K55" s="105">
        <f t="shared" si="4"/>
        <v>2019</v>
      </c>
      <c r="L55" s="3"/>
      <c r="M55" s="3"/>
    </row>
    <row r="56" spans="7:13">
      <c r="G56" s="31">
        <v>43556</v>
      </c>
      <c r="H56" s="35">
        <v>1.7876434693877552</v>
      </c>
      <c r="I56" s="35">
        <v>1.576176422560672</v>
      </c>
      <c r="J56" s="35">
        <v>1.7400033336700675</v>
      </c>
      <c r="K56" s="105">
        <f t="shared" si="4"/>
        <v>2019</v>
      </c>
      <c r="L56" s="3"/>
      <c r="M56" s="3"/>
    </row>
    <row r="57" spans="7:13">
      <c r="G57" s="31">
        <v>43586</v>
      </c>
      <c r="H57" s="35">
        <v>1.7651944897959184</v>
      </c>
      <c r="I57" s="35">
        <v>1.545752974754782</v>
      </c>
      <c r="J57" s="35">
        <v>1.7177788665521767</v>
      </c>
      <c r="K57" s="105">
        <f t="shared" si="4"/>
        <v>2019</v>
      </c>
      <c r="L57" s="3"/>
      <c r="M57" s="3"/>
    </row>
    <row r="58" spans="7:13">
      <c r="G58" s="31">
        <v>43617</v>
      </c>
      <c r="H58" s="35">
        <v>1.7963169387755102</v>
      </c>
      <c r="I58" s="35">
        <v>1.5758670315660361</v>
      </c>
      <c r="J58" s="35">
        <v>1.7662686129912111</v>
      </c>
      <c r="K58" s="105">
        <f t="shared" si="4"/>
        <v>2019</v>
      </c>
      <c r="L58" s="3"/>
      <c r="M58" s="3"/>
    </row>
    <row r="59" spans="7:13">
      <c r="G59" s="31">
        <v>43647</v>
      </c>
      <c r="H59" s="35">
        <v>1.9606026530612246</v>
      </c>
      <c r="I59" s="35">
        <v>1.7709380536841417</v>
      </c>
      <c r="J59" s="35">
        <v>1.8607225982422464</v>
      </c>
      <c r="K59" s="105">
        <f t="shared" si="4"/>
        <v>2019</v>
      </c>
      <c r="L59" s="3"/>
      <c r="M59" s="3"/>
    </row>
    <row r="60" spans="7:13">
      <c r="G60" s="31">
        <v>43678</v>
      </c>
      <c r="H60" s="35">
        <v>1.9738679591836736</v>
      </c>
      <c r="I60" s="35">
        <v>1.7920797716509465</v>
      </c>
      <c r="J60" s="35">
        <v>1.8789062531568843</v>
      </c>
      <c r="K60" s="105">
        <f t="shared" si="4"/>
        <v>2019</v>
      </c>
      <c r="L60" s="3"/>
      <c r="M60" s="3"/>
    </row>
    <row r="61" spans="7:13">
      <c r="G61" s="31">
        <v>43709</v>
      </c>
      <c r="H61" s="35">
        <v>1.9478475510204083</v>
      </c>
      <c r="I61" s="35">
        <v>1.7767133522506833</v>
      </c>
      <c r="J61" s="35">
        <v>1.8859776745125769</v>
      </c>
      <c r="K61" s="105">
        <f t="shared" si="4"/>
        <v>2019</v>
      </c>
      <c r="L61" s="3"/>
      <c r="M61" s="3"/>
    </row>
    <row r="62" spans="7:13">
      <c r="G62" s="31">
        <v>43739</v>
      </c>
      <c r="H62" s="35">
        <v>1.9488679591836735</v>
      </c>
      <c r="I62" s="35">
        <v>1.8518953639472726</v>
      </c>
      <c r="J62" s="35">
        <v>1.9299215072229516</v>
      </c>
      <c r="K62" s="105">
        <f t="shared" si="4"/>
        <v>2019</v>
      </c>
      <c r="L62" s="3"/>
      <c r="M62" s="3"/>
    </row>
    <row r="63" spans="7:13">
      <c r="G63" s="31">
        <v>43770</v>
      </c>
      <c r="H63" s="35">
        <v>2.0621332653061222</v>
      </c>
      <c r="I63" s="35">
        <v>2.1023989392710254</v>
      </c>
      <c r="J63" s="35">
        <v>1.9763908475603593</v>
      </c>
      <c r="K63" s="105">
        <f t="shared" si="4"/>
        <v>2019</v>
      </c>
      <c r="L63" s="3"/>
      <c r="M63" s="3"/>
    </row>
    <row r="64" spans="7:13">
      <c r="G64" s="31">
        <v>43800</v>
      </c>
      <c r="H64" s="35">
        <v>2.2958067346938775</v>
      </c>
      <c r="I64" s="35">
        <v>2.469388224075296</v>
      </c>
      <c r="J64" s="35">
        <v>2.1950998080614204</v>
      </c>
      <c r="K64" s="105">
        <f t="shared" si="4"/>
        <v>2019</v>
      </c>
      <c r="L64" s="3"/>
      <c r="M64" s="3"/>
    </row>
    <row r="65" spans="7:13">
      <c r="G65" s="31">
        <v>43831</v>
      </c>
      <c r="H65" s="35">
        <v>2.3774393877551021</v>
      </c>
      <c r="I65" s="35">
        <v>2.4004455974372028</v>
      </c>
      <c r="J65" s="35">
        <v>2.3163241741590057</v>
      </c>
      <c r="K65" s="105">
        <f t="shared" ref="K65:K112" si="5">YEAR(G65)</f>
        <v>2020</v>
      </c>
      <c r="L65" s="3"/>
      <c r="M65" s="3"/>
    </row>
    <row r="66" spans="7:13">
      <c r="G66" s="31">
        <v>43862</v>
      </c>
      <c r="H66" s="35">
        <v>2.2723373469387753</v>
      </c>
      <c r="I66" s="35">
        <v>2.2974183962233576</v>
      </c>
      <c r="J66" s="35">
        <v>2.2350028285685419</v>
      </c>
      <c r="K66" s="105">
        <f t="shared" si="5"/>
        <v>2020</v>
      </c>
      <c r="L66" s="3"/>
      <c r="M66" s="3"/>
    </row>
    <row r="67" spans="7:13">
      <c r="G67" s="31">
        <v>43891</v>
      </c>
      <c r="H67" s="35">
        <v>2.1060108163265303</v>
      </c>
      <c r="I67" s="35">
        <v>2.1042037200730692</v>
      </c>
      <c r="J67" s="35">
        <v>2.0046765329831295</v>
      </c>
      <c r="K67" s="105">
        <f t="shared" si="5"/>
        <v>2020</v>
      </c>
      <c r="L67" s="3"/>
      <c r="M67" s="3"/>
    </row>
    <row r="68" spans="7:13">
      <c r="G68" s="31">
        <v>43922</v>
      </c>
      <c r="H68" s="35">
        <v>1.7386638775510204</v>
      </c>
      <c r="I68" s="35">
        <v>1.5498266228508251</v>
      </c>
      <c r="J68" s="35">
        <v>1.6814115567229011</v>
      </c>
      <c r="K68" s="105">
        <f t="shared" si="5"/>
        <v>2020</v>
      </c>
      <c r="L68" s="3"/>
      <c r="M68" s="3"/>
    </row>
    <row r="69" spans="7:13">
      <c r="G69" s="31">
        <v>43952</v>
      </c>
      <c r="H69" s="35">
        <v>1.7075414285714285</v>
      </c>
      <c r="I69" s="35">
        <v>1.5087291857299872</v>
      </c>
      <c r="J69" s="35">
        <v>1.6556513789271641</v>
      </c>
      <c r="K69" s="105">
        <f t="shared" si="5"/>
        <v>2020</v>
      </c>
      <c r="L69" s="3"/>
      <c r="M69" s="3"/>
    </row>
    <row r="70" spans="7:13">
      <c r="G70" s="31">
        <v>43983</v>
      </c>
      <c r="H70" s="35">
        <v>1.7350924489795918</v>
      </c>
      <c r="I70" s="35">
        <v>1.5423496738137845</v>
      </c>
      <c r="J70" s="35">
        <v>1.6829268612991208</v>
      </c>
      <c r="K70" s="105">
        <f t="shared" si="5"/>
        <v>2020</v>
      </c>
      <c r="L70" s="3"/>
      <c r="M70" s="3"/>
    </row>
    <row r="71" spans="7:13">
      <c r="G71" s="31">
        <v>44013</v>
      </c>
      <c r="H71" s="35">
        <v>1.8677455102040816</v>
      </c>
      <c r="I71" s="35">
        <v>1.6745111936892019</v>
      </c>
      <c r="J71" s="35">
        <v>1.7662686129912111</v>
      </c>
      <c r="K71" s="105">
        <f t="shared" si="5"/>
        <v>2020</v>
      </c>
      <c r="L71" s="3"/>
      <c r="M71" s="3"/>
    </row>
    <row r="72" spans="7:13">
      <c r="G72" s="31">
        <v>44044</v>
      </c>
      <c r="H72" s="35">
        <v>1.8774393877551021</v>
      </c>
      <c r="I72" s="35">
        <v>1.6952403903298252</v>
      </c>
      <c r="J72" s="35">
        <v>1.7733400343469035</v>
      </c>
      <c r="K72" s="105">
        <f t="shared" si="5"/>
        <v>2020</v>
      </c>
      <c r="L72" s="3"/>
      <c r="M72" s="3"/>
    </row>
    <row r="73" spans="7:13">
      <c r="G73" s="31">
        <v>44075</v>
      </c>
      <c r="H73" s="35">
        <v>1.8503985714285716</v>
      </c>
      <c r="I73" s="35">
        <v>1.6975608227895964</v>
      </c>
      <c r="J73" s="35">
        <v>1.7566716840084855</v>
      </c>
      <c r="K73" s="105">
        <f t="shared" si="5"/>
        <v>2020</v>
      </c>
      <c r="L73" s="3"/>
      <c r="M73" s="3"/>
    </row>
    <row r="74" spans="7:13">
      <c r="G74" s="31">
        <v>44105</v>
      </c>
      <c r="H74" s="35">
        <v>1.8162148979591837</v>
      </c>
      <c r="I74" s="35">
        <v>1.7184962800933108</v>
      </c>
      <c r="J74" s="35">
        <v>1.811222648752399</v>
      </c>
      <c r="K74" s="105">
        <f t="shared" si="5"/>
        <v>2020</v>
      </c>
      <c r="L74" s="3"/>
      <c r="M74" s="3"/>
    </row>
    <row r="75" spans="7:13">
      <c r="G75" s="31">
        <v>44136</v>
      </c>
      <c r="H75" s="35">
        <v>2.0611128571428572</v>
      </c>
      <c r="I75" s="35">
        <v>2.067798713037547</v>
      </c>
      <c r="J75" s="35">
        <v>1.965278614001414</v>
      </c>
      <c r="K75" s="105">
        <f t="shared" si="5"/>
        <v>2020</v>
      </c>
      <c r="L75" s="3"/>
      <c r="M75" s="3"/>
    </row>
    <row r="76" spans="7:13">
      <c r="G76" s="31">
        <v>44166</v>
      </c>
      <c r="H76" s="35">
        <v>2.2733577551020407</v>
      </c>
      <c r="I76" s="35">
        <v>2.3345453155796982</v>
      </c>
      <c r="J76" s="35">
        <v>2.1602478028083643</v>
      </c>
      <c r="K76" s="105">
        <f t="shared" si="5"/>
        <v>2020</v>
      </c>
      <c r="L76" s="3"/>
      <c r="M76" s="3"/>
    </row>
    <row r="77" spans="7:13">
      <c r="G77" s="31">
        <v>44197</v>
      </c>
      <c r="H77" s="35">
        <v>2.3452965306122451</v>
      </c>
      <c r="I77" s="35">
        <v>2.3279449743607934</v>
      </c>
      <c r="J77" s="35">
        <v>2.2617732094150926</v>
      </c>
      <c r="K77" s="105">
        <f t="shared" si="5"/>
        <v>2021</v>
      </c>
      <c r="L77" s="3"/>
      <c r="M77" s="3"/>
    </row>
    <row r="78" spans="7:13">
      <c r="G78" s="31">
        <v>44228</v>
      </c>
      <c r="H78" s="35">
        <v>2.3039700000000001</v>
      </c>
      <c r="I78" s="35">
        <v>2.2378606297558949</v>
      </c>
      <c r="J78" s="35">
        <v>2.2612681078896859</v>
      </c>
      <c r="K78" s="105">
        <f t="shared" si="5"/>
        <v>2021</v>
      </c>
      <c r="L78" s="3"/>
      <c r="M78" s="3"/>
    </row>
    <row r="79" spans="7:13">
      <c r="G79" s="31">
        <v>44256</v>
      </c>
      <c r="H79" s="35">
        <v>2.1850924489795918</v>
      </c>
      <c r="I79" s="35">
        <v>2.0635703694441858</v>
      </c>
      <c r="J79" s="35">
        <v>2.1536814829780786</v>
      </c>
      <c r="K79" s="105">
        <f t="shared" si="5"/>
        <v>2021</v>
      </c>
      <c r="L79" s="3"/>
      <c r="M79" s="3"/>
    </row>
    <row r="80" spans="7:13">
      <c r="G80" s="31">
        <v>44287</v>
      </c>
      <c r="H80" s="35">
        <v>1.657031224489796</v>
      </c>
      <c r="I80" s="35">
        <v>1.6065483052007896</v>
      </c>
      <c r="J80" s="35">
        <v>1.7647533084149911</v>
      </c>
      <c r="K80" s="105">
        <f t="shared" si="5"/>
        <v>2021</v>
      </c>
      <c r="L80" s="3"/>
      <c r="M80" s="3"/>
    </row>
    <row r="81" spans="7:13">
      <c r="G81" s="31">
        <v>44317</v>
      </c>
      <c r="H81" s="35">
        <v>1.6299904081632652</v>
      </c>
      <c r="I81" s="35">
        <v>1.5631304356201803</v>
      </c>
      <c r="J81" s="35">
        <v>1.6622176987574502</v>
      </c>
      <c r="K81" s="105">
        <f t="shared" si="5"/>
        <v>2021</v>
      </c>
      <c r="L81" s="3"/>
      <c r="M81" s="3"/>
    </row>
    <row r="82" spans="7:13">
      <c r="G82" s="31">
        <v>44348</v>
      </c>
      <c r="H82" s="35">
        <v>1.6575414285714287</v>
      </c>
      <c r="I82" s="35">
        <v>1.5928835362710256</v>
      </c>
      <c r="J82" s="35">
        <v>1.702120719264572</v>
      </c>
      <c r="K82" s="105">
        <f t="shared" si="5"/>
        <v>2021</v>
      </c>
      <c r="L82" s="3"/>
      <c r="M82" s="3"/>
    </row>
    <row r="83" spans="7:13">
      <c r="G83" s="31">
        <v>44378</v>
      </c>
      <c r="H83" s="35">
        <v>1.7901944897959183</v>
      </c>
      <c r="I83" s="35">
        <v>1.7057081189816823</v>
      </c>
      <c r="J83" s="35">
        <v>1.7753604404485299</v>
      </c>
      <c r="K83" s="105">
        <f t="shared" si="5"/>
        <v>2021</v>
      </c>
      <c r="L83" s="3"/>
      <c r="M83" s="3"/>
    </row>
    <row r="84" spans="7:13">
      <c r="G84" s="31">
        <v>44409</v>
      </c>
      <c r="H84" s="35">
        <v>1.8039700000000001</v>
      </c>
      <c r="I84" s="35">
        <v>1.7331407871727562</v>
      </c>
      <c r="J84" s="35">
        <v>1.7864726740074752</v>
      </c>
      <c r="K84" s="105">
        <f t="shared" si="5"/>
        <v>2021</v>
      </c>
      <c r="L84" s="3"/>
      <c r="M84" s="3"/>
    </row>
    <row r="85" spans="7:13">
      <c r="G85" s="31">
        <v>44440</v>
      </c>
      <c r="H85" s="35">
        <v>1.7901944897959183</v>
      </c>
      <c r="I85" s="35">
        <v>1.7437116461561586</v>
      </c>
      <c r="J85" s="35">
        <v>1.798090009091827</v>
      </c>
      <c r="K85" s="105">
        <f t="shared" si="5"/>
        <v>2021</v>
      </c>
      <c r="L85" s="3"/>
      <c r="M85" s="3"/>
    </row>
    <row r="86" spans="7:13">
      <c r="G86" s="31">
        <v>44470</v>
      </c>
      <c r="H86" s="35">
        <v>1.7692761224489797</v>
      </c>
      <c r="I86" s="35">
        <v>1.7754242231063659</v>
      </c>
      <c r="J86" s="35">
        <v>1.8379930295989491</v>
      </c>
      <c r="K86" s="105">
        <f t="shared" si="5"/>
        <v>2021</v>
      </c>
      <c r="L86" s="3"/>
      <c r="M86" s="3"/>
    </row>
    <row r="87" spans="7:13">
      <c r="G87" s="31">
        <v>44501</v>
      </c>
      <c r="H87" s="35">
        <v>2.0958067346938773</v>
      </c>
      <c r="I87" s="35">
        <v>2.0829073066089467</v>
      </c>
      <c r="J87" s="35">
        <v>2.0147785634912618</v>
      </c>
      <c r="K87" s="105">
        <f t="shared" si="5"/>
        <v>2021</v>
      </c>
      <c r="L87" s="3"/>
      <c r="M87" s="3"/>
    </row>
    <row r="88" spans="7:13">
      <c r="G88" s="31">
        <v>44531</v>
      </c>
      <c r="H88" s="35">
        <v>2.3106026530612245</v>
      </c>
      <c r="I88" s="35">
        <v>2.3535212965840504</v>
      </c>
      <c r="J88" s="35">
        <v>2.2147987675522782</v>
      </c>
      <c r="K88" s="105">
        <f t="shared" si="5"/>
        <v>2021</v>
      </c>
      <c r="L88" s="3"/>
      <c r="M88" s="3"/>
    </row>
    <row r="89" spans="7:13">
      <c r="G89" s="31">
        <v>44562</v>
      </c>
      <c r="H89" s="35">
        <v>2.393255714285714</v>
      </c>
      <c r="I89" s="35">
        <v>2.3506336473007794</v>
      </c>
      <c r="J89" s="35">
        <v>2.337033336700677</v>
      </c>
      <c r="K89" s="105">
        <f t="shared" si="5"/>
        <v>2022</v>
      </c>
      <c r="L89" s="3"/>
      <c r="M89" s="3"/>
    </row>
    <row r="90" spans="7:13">
      <c r="G90" s="31">
        <v>44593</v>
      </c>
      <c r="H90" s="35">
        <v>2.3575414285714285</v>
      </c>
      <c r="I90" s="35">
        <v>2.2720483346631921</v>
      </c>
      <c r="J90" s="35">
        <v>2.3294568138195775</v>
      </c>
      <c r="K90" s="105">
        <f t="shared" si="5"/>
        <v>2022</v>
      </c>
      <c r="L90" s="3"/>
      <c r="M90" s="3"/>
    </row>
    <row r="91" spans="7:13">
      <c r="G91" s="31">
        <v>44621</v>
      </c>
      <c r="H91" s="35">
        <v>2.255500612244898</v>
      </c>
      <c r="I91" s="35">
        <v>2.1173012721793341</v>
      </c>
      <c r="J91" s="35">
        <v>2.2612681078896859</v>
      </c>
      <c r="K91" s="105">
        <f t="shared" si="5"/>
        <v>2022</v>
      </c>
      <c r="L91" s="3"/>
      <c r="M91" s="3"/>
    </row>
    <row r="92" spans="7:13">
      <c r="G92" s="31">
        <v>44652</v>
      </c>
      <c r="H92" s="35">
        <v>1.7146842857142859</v>
      </c>
      <c r="I92" s="35">
        <v>1.723498101173262</v>
      </c>
      <c r="J92" s="35">
        <v>1.826880796040004</v>
      </c>
      <c r="K92" s="105">
        <f t="shared" si="5"/>
        <v>2022</v>
      </c>
      <c r="L92" s="3"/>
      <c r="M92" s="3"/>
    </row>
    <row r="93" spans="7:13">
      <c r="G93" s="31">
        <v>44682</v>
      </c>
      <c r="H93" s="35">
        <v>1.7228475510204084</v>
      </c>
      <c r="I93" s="35">
        <v>1.6834319673678779</v>
      </c>
      <c r="J93" s="35">
        <v>1.7743502373977167</v>
      </c>
      <c r="K93" s="105">
        <f t="shared" si="5"/>
        <v>2022</v>
      </c>
      <c r="L93" s="3"/>
      <c r="M93" s="3"/>
    </row>
    <row r="94" spans="7:13">
      <c r="G94" s="31">
        <v>44713</v>
      </c>
      <c r="H94" s="35">
        <v>1.7151944897959184</v>
      </c>
      <c r="I94" s="35">
        <v>1.7104521142327704</v>
      </c>
      <c r="J94" s="35">
        <v>1.7591971916355185</v>
      </c>
      <c r="K94" s="105">
        <f t="shared" si="5"/>
        <v>2022</v>
      </c>
      <c r="L94" s="3"/>
      <c r="M94" s="3"/>
    </row>
    <row r="95" spans="7:13">
      <c r="G95" s="31">
        <v>44743</v>
      </c>
      <c r="H95" s="35">
        <v>1.8422353061224492</v>
      </c>
      <c r="I95" s="35">
        <v>1.8182233106977028</v>
      </c>
      <c r="J95" s="35">
        <v>1.836982826548136</v>
      </c>
      <c r="K95" s="105">
        <f t="shared" si="5"/>
        <v>2022</v>
      </c>
      <c r="L95" s="3"/>
      <c r="M95" s="3"/>
    </row>
    <row r="96" spans="7:13">
      <c r="G96" s="31">
        <v>44774</v>
      </c>
      <c r="H96" s="35">
        <v>1.8606026530612245</v>
      </c>
      <c r="I96" s="35">
        <v>1.8458106743860949</v>
      </c>
      <c r="J96" s="35">
        <v>1.8501154662087078</v>
      </c>
      <c r="K96" s="105">
        <f t="shared" si="5"/>
        <v>2022</v>
      </c>
      <c r="L96" s="3"/>
      <c r="M96" s="3"/>
    </row>
    <row r="97" spans="7:13">
      <c r="G97" s="31">
        <v>44805</v>
      </c>
      <c r="H97" s="35">
        <v>1.8488679591836736</v>
      </c>
      <c r="I97" s="35">
        <v>1.8578253580111328</v>
      </c>
      <c r="J97" s="35">
        <v>1.8435491463784219</v>
      </c>
      <c r="K97" s="105">
        <f t="shared" si="5"/>
        <v>2022</v>
      </c>
      <c r="L97" s="3"/>
      <c r="M97" s="3"/>
    </row>
    <row r="98" spans="7:13">
      <c r="G98" s="31">
        <v>44835</v>
      </c>
      <c r="H98" s="35">
        <v>1.8253985714285714</v>
      </c>
      <c r="I98" s="35">
        <v>1.8908270641056577</v>
      </c>
      <c r="J98" s="35">
        <v>1.9011307202747749</v>
      </c>
      <c r="K98" s="105">
        <f t="shared" si="5"/>
        <v>2022</v>
      </c>
      <c r="L98" s="3"/>
      <c r="M98" s="3"/>
    </row>
    <row r="99" spans="7:13">
      <c r="G99" s="31">
        <v>44866</v>
      </c>
      <c r="H99" s="35">
        <v>2.1799904081632651</v>
      </c>
      <c r="I99" s="35">
        <v>2.2034150990197348</v>
      </c>
      <c r="J99" s="35">
        <v>2.1183243761996158</v>
      </c>
      <c r="K99" s="105">
        <f t="shared" si="5"/>
        <v>2022</v>
      </c>
      <c r="L99" s="3"/>
      <c r="M99" s="3"/>
    </row>
    <row r="100" spans="7:13">
      <c r="G100" s="31">
        <v>44896</v>
      </c>
      <c r="H100" s="35">
        <v>2.4003985714285712</v>
      </c>
      <c r="I100" s="35">
        <v>2.4680990949309787</v>
      </c>
      <c r="J100" s="35">
        <v>2.3062221436508734</v>
      </c>
      <c r="K100" s="105">
        <f t="shared" si="5"/>
        <v>2022</v>
      </c>
      <c r="L100" s="3"/>
      <c r="M100" s="3"/>
    </row>
    <row r="101" spans="7:13">
      <c r="G101" s="31">
        <v>44927</v>
      </c>
      <c r="H101" s="35">
        <v>2.4901944897959183</v>
      </c>
      <c r="I101" s="35">
        <v>2.4770198686096552</v>
      </c>
      <c r="J101" s="35">
        <v>2.4077475502576018</v>
      </c>
      <c r="K101" s="105">
        <f t="shared" si="5"/>
        <v>2023</v>
      </c>
      <c r="L101" s="3"/>
      <c r="M101" s="3"/>
    </row>
    <row r="102" spans="7:13">
      <c r="G102" s="31">
        <v>44958</v>
      </c>
      <c r="H102" s="35">
        <v>2.4549904081632654</v>
      </c>
      <c r="I102" s="35">
        <v>2.3976095133197046</v>
      </c>
      <c r="J102" s="35">
        <v>2.4107781594100417</v>
      </c>
      <c r="K102" s="105">
        <f t="shared" si="5"/>
        <v>2023</v>
      </c>
      <c r="L102" s="3"/>
      <c r="M102" s="3"/>
    </row>
    <row r="103" spans="7:13">
      <c r="G103" s="31">
        <v>44986</v>
      </c>
      <c r="H103" s="35">
        <v>2.3606026530612243</v>
      </c>
      <c r="I103" s="35">
        <v>2.2525567020011139</v>
      </c>
      <c r="J103" s="35">
        <v>2.3274364077179515</v>
      </c>
      <c r="K103" s="105">
        <f t="shared" si="5"/>
        <v>2023</v>
      </c>
      <c r="L103" s="3"/>
      <c r="M103" s="3"/>
    </row>
    <row r="104" spans="7:13">
      <c r="G104" s="31">
        <v>45017</v>
      </c>
      <c r="H104" s="35">
        <v>1.9065210204081633</v>
      </c>
      <c r="I104" s="35">
        <v>1.8238954789326995</v>
      </c>
      <c r="J104" s="35">
        <v>1.9486102636629958</v>
      </c>
      <c r="K104" s="105">
        <f t="shared" si="5"/>
        <v>2023</v>
      </c>
      <c r="L104" s="3"/>
      <c r="M104" s="3"/>
    </row>
    <row r="105" spans="7:13">
      <c r="G105" s="31">
        <v>45047</v>
      </c>
      <c r="H105" s="35">
        <v>1.8856026530612247</v>
      </c>
      <c r="I105" s="35">
        <v>1.787954558389131</v>
      </c>
      <c r="J105" s="35">
        <v>1.8672889180725323</v>
      </c>
      <c r="K105" s="105">
        <f t="shared" si="5"/>
        <v>2023</v>
      </c>
      <c r="L105" s="3"/>
      <c r="M105" s="3"/>
    </row>
    <row r="106" spans="7:13">
      <c r="G106" s="31">
        <v>45078</v>
      </c>
      <c r="H106" s="35">
        <v>1.9111128571428573</v>
      </c>
      <c r="I106" s="35">
        <v>1.8169341815533857</v>
      </c>
      <c r="J106" s="35">
        <v>1.8950695019698958</v>
      </c>
      <c r="K106" s="105">
        <f t="shared" si="5"/>
        <v>2023</v>
      </c>
      <c r="L106" s="3"/>
      <c r="M106" s="3"/>
    </row>
    <row r="107" spans="7:13">
      <c r="G107" s="31">
        <v>45108</v>
      </c>
      <c r="H107" s="35">
        <v>2.033051632653061</v>
      </c>
      <c r="I107" s="35">
        <v>1.9163518211631416</v>
      </c>
      <c r="J107" s="35">
        <v>1.9374980301040508</v>
      </c>
      <c r="K107" s="105">
        <f t="shared" si="5"/>
        <v>2023</v>
      </c>
      <c r="L107" s="3"/>
      <c r="M107" s="3"/>
    </row>
    <row r="108" spans="7:13">
      <c r="G108" s="31">
        <v>45139</v>
      </c>
      <c r="H108" s="35">
        <v>2.0519291836734692</v>
      </c>
      <c r="I108" s="35">
        <v>1.9464143128086226</v>
      </c>
      <c r="J108" s="35">
        <v>1.9536612789170622</v>
      </c>
      <c r="K108" s="105">
        <f t="shared" si="5"/>
        <v>2023</v>
      </c>
      <c r="L108" s="3"/>
      <c r="M108" s="3"/>
    </row>
    <row r="109" spans="7:13">
      <c r="G109" s="31">
        <v>45170</v>
      </c>
      <c r="H109" s="35">
        <v>2.0412148979591835</v>
      </c>
      <c r="I109" s="35">
        <v>1.961316645716932</v>
      </c>
      <c r="J109" s="35">
        <v>1.9582071926457216</v>
      </c>
      <c r="K109" s="105">
        <f t="shared" si="5"/>
        <v>2023</v>
      </c>
      <c r="L109" s="3"/>
      <c r="M109" s="3"/>
    </row>
    <row r="110" spans="7:13">
      <c r="G110" s="31">
        <v>45200</v>
      </c>
      <c r="H110" s="35">
        <v>2.0238679591836735</v>
      </c>
      <c r="I110" s="35">
        <v>1.991533832859731</v>
      </c>
      <c r="J110" s="35">
        <v>2.019324477219921</v>
      </c>
      <c r="K110" s="105">
        <f t="shared" si="5"/>
        <v>2023</v>
      </c>
      <c r="L110" s="3"/>
      <c r="M110" s="3"/>
    </row>
    <row r="111" spans="7:13">
      <c r="G111" s="31">
        <v>45231</v>
      </c>
      <c r="H111" s="35">
        <v>2.3003985714285715</v>
      </c>
      <c r="I111" s="35">
        <v>2.3109800348215765</v>
      </c>
      <c r="J111" s="35">
        <v>2.2602579048388729</v>
      </c>
      <c r="K111" s="105">
        <f t="shared" si="5"/>
        <v>2023</v>
      </c>
      <c r="L111" s="3"/>
      <c r="M111" s="3"/>
    </row>
    <row r="112" spans="7:13">
      <c r="G112" s="31">
        <v>45261</v>
      </c>
      <c r="H112" s="35">
        <v>2.518255714285714</v>
      </c>
      <c r="I112" s="35">
        <v>2.5813877641335896</v>
      </c>
      <c r="J112" s="35">
        <v>2.4229005960198</v>
      </c>
      <c r="K112" s="105">
        <f t="shared" si="5"/>
        <v>2023</v>
      </c>
      <c r="L112" s="3"/>
      <c r="M112" s="3"/>
    </row>
    <row r="113" spans="7:13">
      <c r="G113" s="31">
        <v>45292</v>
      </c>
      <c r="H113" s="35">
        <v>2.5405006122448976</v>
      </c>
      <c r="I113" s="35">
        <v>2.5708684703159599</v>
      </c>
      <c r="J113" s="35">
        <v>2.4895739973734718</v>
      </c>
      <c r="K113" s="105">
        <f t="shared" ref="K113:K159" si="6">YEAR(G113)</f>
        <v>2024</v>
      </c>
      <c r="L113" s="3"/>
      <c r="M113" s="3"/>
    </row>
    <row r="114" spans="7:13">
      <c r="G114" s="31">
        <v>45323</v>
      </c>
      <c r="H114" s="35">
        <v>2.623561836734694</v>
      </c>
      <c r="I114" s="35">
        <v>2.4914581150260098</v>
      </c>
      <c r="J114" s="35">
        <v>2.4926046065259118</v>
      </c>
      <c r="K114" s="105">
        <f t="shared" si="6"/>
        <v>2024</v>
      </c>
      <c r="L114" s="3"/>
      <c r="M114" s="3"/>
    </row>
    <row r="115" spans="7:13">
      <c r="G115" s="31">
        <v>45352</v>
      </c>
      <c r="H115" s="35">
        <v>2.4007046938775511</v>
      </c>
      <c r="I115" s="35">
        <v>2.3464053037074182</v>
      </c>
      <c r="J115" s="35">
        <v>2.4092628548338215</v>
      </c>
      <c r="K115" s="105">
        <f t="shared" si="6"/>
        <v>2024</v>
      </c>
      <c r="L115" s="3"/>
      <c r="M115" s="3"/>
    </row>
    <row r="116" spans="7:13">
      <c r="G116" s="31">
        <v>45383</v>
      </c>
      <c r="H116" s="35">
        <v>1.968357755102041</v>
      </c>
      <c r="I116" s="35">
        <v>1.902274530907196</v>
      </c>
      <c r="J116" s="35">
        <v>2.0152836650166681</v>
      </c>
      <c r="K116" s="105">
        <f t="shared" si="6"/>
        <v>2024</v>
      </c>
      <c r="L116" s="3"/>
      <c r="M116" s="3"/>
    </row>
    <row r="117" spans="7:13">
      <c r="G117" s="31">
        <v>45413</v>
      </c>
      <c r="H117" s="35">
        <v>1.9448883673469388</v>
      </c>
      <c r="I117" s="35">
        <v>1.8663336103636274</v>
      </c>
      <c r="J117" s="35">
        <v>1.9339623194262043</v>
      </c>
      <c r="K117" s="105">
        <f t="shared" si="6"/>
        <v>2024</v>
      </c>
      <c r="L117" s="3"/>
      <c r="M117" s="3"/>
    </row>
    <row r="118" spans="7:13">
      <c r="G118" s="31">
        <v>45444</v>
      </c>
      <c r="H118" s="35">
        <v>1.9735618367346939</v>
      </c>
      <c r="I118" s="35">
        <v>1.8953647986936546</v>
      </c>
      <c r="J118" s="35">
        <v>1.9617429033235678</v>
      </c>
      <c r="K118" s="105">
        <f t="shared" si="6"/>
        <v>2024</v>
      </c>
      <c r="L118" s="3"/>
      <c r="M118" s="3"/>
    </row>
    <row r="119" spans="7:13">
      <c r="G119" s="31">
        <v>45474</v>
      </c>
      <c r="H119" s="35">
        <v>2.1313169387755102</v>
      </c>
      <c r="I119" s="35">
        <v>2.0199978043662585</v>
      </c>
      <c r="J119" s="35">
        <v>2.0061918375593493</v>
      </c>
      <c r="K119" s="105">
        <f t="shared" si="6"/>
        <v>2024</v>
      </c>
      <c r="L119" s="3"/>
      <c r="M119" s="3"/>
    </row>
    <row r="120" spans="7:13">
      <c r="G120" s="31">
        <v>45505</v>
      </c>
      <c r="H120" s="35">
        <v>2.8661128571428569</v>
      </c>
      <c r="I120" s="35">
        <v>2.7780573063906489</v>
      </c>
      <c r="J120" s="35">
        <v>2.7597022931609252</v>
      </c>
      <c r="K120" s="105">
        <f t="shared" si="6"/>
        <v>2024</v>
      </c>
      <c r="L120" s="3"/>
      <c r="M120" s="3"/>
    </row>
    <row r="121" spans="7:13">
      <c r="G121" s="31">
        <v>45536</v>
      </c>
      <c r="H121" s="35">
        <v>2.8608067346938775</v>
      </c>
      <c r="I121" s="35">
        <v>2.7921861618123676</v>
      </c>
      <c r="J121" s="35">
        <v>2.7696022830588949</v>
      </c>
      <c r="K121" s="105">
        <f t="shared" si="6"/>
        <v>2024</v>
      </c>
      <c r="L121" s="3"/>
      <c r="M121" s="3"/>
    </row>
    <row r="122" spans="7:13">
      <c r="G122" s="31">
        <v>45566</v>
      </c>
      <c r="H122" s="35">
        <v>2.8323373469387754</v>
      </c>
      <c r="I122" s="35">
        <v>2.8106464911589928</v>
      </c>
      <c r="J122" s="35">
        <v>2.8197083543792303</v>
      </c>
      <c r="K122" s="105">
        <f t="shared" si="6"/>
        <v>2024</v>
      </c>
      <c r="L122" s="3"/>
      <c r="M122" s="3"/>
    </row>
    <row r="123" spans="7:13">
      <c r="G123" s="31">
        <v>45597</v>
      </c>
      <c r="H123" s="35">
        <v>3.1353985714285715</v>
      </c>
      <c r="I123" s="35">
        <v>3.1469545023285095</v>
      </c>
      <c r="J123" s="35">
        <v>3.0869070613193248</v>
      </c>
      <c r="K123" s="105">
        <f t="shared" si="6"/>
        <v>2024</v>
      </c>
      <c r="L123" s="3"/>
      <c r="M123" s="3"/>
    </row>
    <row r="124" spans="7:13">
      <c r="G124" s="31">
        <v>45627</v>
      </c>
      <c r="H124" s="35">
        <v>3.3168271428571425</v>
      </c>
      <c r="I124" s="35">
        <v>3.4254063975010629</v>
      </c>
      <c r="J124" s="35">
        <v>3.2134855035862206</v>
      </c>
      <c r="K124" s="105">
        <f t="shared" si="6"/>
        <v>2024</v>
      </c>
      <c r="L124" s="3"/>
      <c r="M124" s="3"/>
    </row>
    <row r="125" spans="7:13">
      <c r="G125" s="31">
        <v>45658</v>
      </c>
      <c r="H125" s="35">
        <v>3.3666230612244896</v>
      </c>
      <c r="I125" s="35">
        <v>3.4326770858750129</v>
      </c>
      <c r="J125" s="35">
        <v>3.3074343873118495</v>
      </c>
      <c r="K125" s="105">
        <f t="shared" si="6"/>
        <v>2025</v>
      </c>
      <c r="L125" s="3"/>
      <c r="M125" s="3"/>
    </row>
    <row r="126" spans="7:13">
      <c r="G126" s="31">
        <v>45689</v>
      </c>
      <c r="H126" s="35">
        <v>3.3879495918367346</v>
      </c>
      <c r="I126" s="35">
        <v>3.3317124912920759</v>
      </c>
      <c r="J126" s="35">
        <v>3.2493477118900898</v>
      </c>
      <c r="K126" s="105">
        <f t="shared" si="6"/>
        <v>2025</v>
      </c>
      <c r="L126" s="3"/>
      <c r="M126" s="3"/>
    </row>
    <row r="127" spans="7:13">
      <c r="G127" s="31">
        <v>45717</v>
      </c>
      <c r="H127" s="35">
        <v>3.0744802040816328</v>
      </c>
      <c r="I127" s="35">
        <v>3.0310875748372639</v>
      </c>
      <c r="J127" s="35">
        <v>3.0761989089807047</v>
      </c>
      <c r="K127" s="105">
        <f t="shared" si="6"/>
        <v>2025</v>
      </c>
      <c r="L127" s="3"/>
      <c r="M127" s="3"/>
    </row>
    <row r="128" spans="7:13">
      <c r="G128" s="31">
        <v>45748</v>
      </c>
      <c r="H128" s="35">
        <v>2.7167251020408161</v>
      </c>
      <c r="I128" s="35">
        <v>2.6115533861106166</v>
      </c>
      <c r="J128" s="35">
        <v>2.756166582483079</v>
      </c>
      <c r="K128" s="105">
        <f t="shared" si="6"/>
        <v>2025</v>
      </c>
      <c r="L128" s="3"/>
      <c r="M128" s="3"/>
    </row>
    <row r="129" spans="7:13">
      <c r="G129" s="31">
        <v>45778</v>
      </c>
      <c r="H129" s="35">
        <v>2.7251944897959182</v>
      </c>
      <c r="I129" s="35">
        <v>2.6174318150087039</v>
      </c>
      <c r="J129" s="35">
        <v>2.7064645923830692</v>
      </c>
      <c r="K129" s="105">
        <f t="shared" si="6"/>
        <v>2025</v>
      </c>
      <c r="L129" s="3"/>
      <c r="M129" s="3"/>
    </row>
    <row r="130" spans="7:13">
      <c r="G130" s="31">
        <v>45809</v>
      </c>
      <c r="H130" s="35">
        <v>2.7530516326530612</v>
      </c>
      <c r="I130" s="35">
        <v>2.6659546360008095</v>
      </c>
      <c r="J130" s="35">
        <v>2.7334370138397817</v>
      </c>
      <c r="K130" s="105">
        <f t="shared" si="6"/>
        <v>2025</v>
      </c>
      <c r="L130" s="3"/>
      <c r="M130" s="3"/>
    </row>
    <row r="131" spans="7:13">
      <c r="G131" s="31">
        <v>45839</v>
      </c>
      <c r="H131" s="35">
        <v>2.9194802040816326</v>
      </c>
      <c r="I131" s="35">
        <v>2.8440607185796987</v>
      </c>
      <c r="J131" s="35">
        <v>2.7864726740074754</v>
      </c>
      <c r="K131" s="105">
        <f t="shared" si="6"/>
        <v>2025</v>
      </c>
      <c r="L131" s="3"/>
      <c r="M131" s="3"/>
    </row>
    <row r="132" spans="7:13">
      <c r="G132" s="31">
        <v>45870</v>
      </c>
      <c r="H132" s="35">
        <v>3.6803985714285714</v>
      </c>
      <c r="I132" s="35">
        <v>3.6097518651384477</v>
      </c>
      <c r="J132" s="35">
        <v>3.5658443277098693</v>
      </c>
      <c r="K132" s="105">
        <f t="shared" si="6"/>
        <v>2025</v>
      </c>
      <c r="L132" s="3"/>
      <c r="M132" s="3"/>
    </row>
    <row r="133" spans="7:13">
      <c r="G133" s="31">
        <v>45901</v>
      </c>
      <c r="H133" s="35">
        <v>3.6803985714285714</v>
      </c>
      <c r="I133" s="35">
        <v>3.6231072430735756</v>
      </c>
      <c r="J133" s="35">
        <v>3.5809973734720679</v>
      </c>
      <c r="K133" s="105">
        <f t="shared" si="6"/>
        <v>2025</v>
      </c>
      <c r="L133" s="3"/>
      <c r="M133" s="3"/>
    </row>
    <row r="134" spans="7:13">
      <c r="G134" s="31">
        <v>45931</v>
      </c>
      <c r="H134" s="35">
        <v>3.6408067346938773</v>
      </c>
      <c r="I134" s="35">
        <v>3.6297591494582528</v>
      </c>
      <c r="J134" s="35">
        <v>3.6200922315385391</v>
      </c>
      <c r="K134" s="105">
        <f t="shared" si="6"/>
        <v>2025</v>
      </c>
      <c r="L134" s="3"/>
      <c r="M134" s="3"/>
    </row>
    <row r="135" spans="7:13">
      <c r="G135" s="31">
        <v>45962</v>
      </c>
      <c r="H135" s="35">
        <v>3.9703985714285714</v>
      </c>
      <c r="I135" s="35">
        <v>3.9828774046696691</v>
      </c>
      <c r="J135" s="35">
        <v>3.9135562177997776</v>
      </c>
      <c r="K135" s="105">
        <f t="shared" si="6"/>
        <v>2025</v>
      </c>
      <c r="L135" s="3"/>
      <c r="M135" s="3"/>
    </row>
    <row r="136" spans="7:13">
      <c r="G136" s="31">
        <v>45992</v>
      </c>
      <c r="H136" s="35">
        <v>4.1155006122448983</v>
      </c>
      <c r="I136" s="35">
        <v>4.2694250308685353</v>
      </c>
      <c r="J136" s="35">
        <v>4.0041714314577224</v>
      </c>
      <c r="K136" s="105">
        <f t="shared" si="6"/>
        <v>2025</v>
      </c>
      <c r="L136" s="3"/>
      <c r="M136" s="3"/>
    </row>
    <row r="137" spans="7:13">
      <c r="G137" s="31">
        <v>46023</v>
      </c>
      <c r="H137" s="35">
        <v>4.192745510204082</v>
      </c>
      <c r="I137" s="35">
        <v>4.2945372665998383</v>
      </c>
      <c r="J137" s="35">
        <v>4.1252947772502262</v>
      </c>
      <c r="K137" s="105">
        <f t="shared" ref="K137:K148" si="7">YEAR(G137)</f>
        <v>2026</v>
      </c>
      <c r="L137" s="3"/>
      <c r="M137" s="3"/>
    </row>
    <row r="138" spans="7:13">
      <c r="G138" s="31">
        <v>46054</v>
      </c>
      <c r="H138" s="35">
        <v>4.1523373469387757</v>
      </c>
      <c r="I138" s="35">
        <v>4.1719668675581421</v>
      </c>
      <c r="J138" s="35">
        <v>4.0061918375593493</v>
      </c>
      <c r="K138" s="105">
        <f t="shared" si="7"/>
        <v>2026</v>
      </c>
      <c r="L138" s="3"/>
      <c r="M138" s="3"/>
    </row>
    <row r="139" spans="7:13">
      <c r="G139" s="31">
        <v>46082</v>
      </c>
      <c r="H139" s="35">
        <v>3.7481536734693872</v>
      </c>
      <c r="I139" s="35">
        <v>3.7157698459671087</v>
      </c>
      <c r="J139" s="35">
        <v>3.7431349631275883</v>
      </c>
      <c r="K139" s="105">
        <f t="shared" si="7"/>
        <v>2026</v>
      </c>
      <c r="L139" s="3"/>
      <c r="M139" s="3"/>
    </row>
    <row r="140" spans="7:13">
      <c r="G140" s="31">
        <v>46113</v>
      </c>
      <c r="H140" s="35">
        <v>3.4651944897959179</v>
      </c>
      <c r="I140" s="35">
        <v>3.3207806761482646</v>
      </c>
      <c r="J140" s="35">
        <v>3.497150520254571</v>
      </c>
      <c r="K140" s="105">
        <f t="shared" si="7"/>
        <v>2026</v>
      </c>
      <c r="L140" s="3"/>
      <c r="M140" s="3"/>
    </row>
    <row r="141" spans="7:13">
      <c r="G141" s="31">
        <v>46143</v>
      </c>
      <c r="H141" s="35">
        <v>3.5056026530612243</v>
      </c>
      <c r="I141" s="35">
        <v>3.3684784544880073</v>
      </c>
      <c r="J141" s="35">
        <v>3.4790678856450143</v>
      </c>
      <c r="K141" s="105">
        <f t="shared" si="7"/>
        <v>2026</v>
      </c>
      <c r="L141" s="3"/>
      <c r="M141" s="3"/>
    </row>
    <row r="142" spans="7:13">
      <c r="G142" s="31">
        <v>46174</v>
      </c>
      <c r="H142" s="35">
        <v>3.5325414285714287</v>
      </c>
      <c r="I142" s="35">
        <v>3.4365960384737377</v>
      </c>
      <c r="J142" s="35">
        <v>3.5051311243559957</v>
      </c>
      <c r="K142" s="105">
        <f t="shared" si="7"/>
        <v>2026</v>
      </c>
      <c r="L142" s="3"/>
      <c r="M142" s="3"/>
    </row>
    <row r="143" spans="7:13">
      <c r="G143" s="31">
        <v>46204</v>
      </c>
      <c r="H143" s="35">
        <v>3.7077455102040817</v>
      </c>
      <c r="I143" s="35">
        <v>3.6680720676273655</v>
      </c>
      <c r="J143" s="35">
        <v>3.5667535104556016</v>
      </c>
      <c r="K143" s="105">
        <f t="shared" si="7"/>
        <v>2026</v>
      </c>
      <c r="L143" s="3"/>
      <c r="M143" s="3"/>
    </row>
    <row r="144" spans="7:13">
      <c r="G144" s="31">
        <v>46235</v>
      </c>
      <c r="H144" s="35">
        <v>3.7212148979591837</v>
      </c>
      <c r="I144" s="35">
        <v>3.66126546574537</v>
      </c>
      <c r="J144" s="35">
        <v>3.606252449742398</v>
      </c>
      <c r="K144" s="105">
        <f t="shared" si="7"/>
        <v>2026</v>
      </c>
      <c r="L144" s="3"/>
      <c r="M144" s="3"/>
    </row>
    <row r="145" spans="7:13">
      <c r="G145" s="31">
        <v>46266</v>
      </c>
      <c r="H145" s="35">
        <v>3.7212148979591837</v>
      </c>
      <c r="I145" s="35">
        <v>3.6476522619813787</v>
      </c>
      <c r="J145" s="35">
        <v>3.6214054955045962</v>
      </c>
      <c r="K145" s="105">
        <f t="shared" si="7"/>
        <v>2026</v>
      </c>
      <c r="L145" s="3"/>
      <c r="M145" s="3"/>
    </row>
    <row r="146" spans="7:13">
      <c r="G146" s="31">
        <v>46296</v>
      </c>
      <c r="H146" s="35">
        <v>3.6807046938775509</v>
      </c>
      <c r="I146" s="35">
        <v>3.6748786695093614</v>
      </c>
      <c r="J146" s="35">
        <v>3.6595911708253355</v>
      </c>
      <c r="K146" s="105">
        <f t="shared" si="7"/>
        <v>2026</v>
      </c>
      <c r="L146" s="3"/>
      <c r="M146" s="3"/>
    </row>
    <row r="147" spans="7:13">
      <c r="G147" s="31">
        <v>46327</v>
      </c>
      <c r="H147" s="35">
        <v>4.0445822448979589</v>
      </c>
      <c r="I147" s="35">
        <v>4.0766228760444285</v>
      </c>
      <c r="J147" s="35">
        <v>3.9869979795938981</v>
      </c>
      <c r="K147" s="105">
        <f t="shared" si="7"/>
        <v>2026</v>
      </c>
      <c r="L147" s="3"/>
      <c r="M147" s="3"/>
    </row>
    <row r="148" spans="7:13">
      <c r="G148" s="31">
        <v>46357</v>
      </c>
      <c r="H148" s="35">
        <v>4.2332557142857148</v>
      </c>
      <c r="I148" s="35">
        <v>4.4443856383352909</v>
      </c>
      <c r="J148" s="35">
        <v>4.120748863521567</v>
      </c>
      <c r="K148" s="105">
        <f t="shared" si="7"/>
        <v>2026</v>
      </c>
      <c r="L148" s="3"/>
      <c r="M148" s="3"/>
    </row>
    <row r="149" spans="7:13">
      <c r="G149" s="31">
        <v>46388</v>
      </c>
      <c r="H149" s="35">
        <v>4.2852965306122455</v>
      </c>
      <c r="I149" s="35">
        <v>4.4370118196297952</v>
      </c>
      <c r="J149" s="35">
        <v>4.2168191736539038</v>
      </c>
      <c r="K149" s="105">
        <f t="shared" si="6"/>
        <v>2027</v>
      </c>
      <c r="L149" s="3"/>
      <c r="M149" s="3"/>
    </row>
    <row r="150" spans="7:13">
      <c r="G150" s="31">
        <v>46419</v>
      </c>
      <c r="H150" s="35">
        <v>4.2301944897959185</v>
      </c>
      <c r="I150" s="35">
        <v>4.2908761398299768</v>
      </c>
      <c r="J150" s="35">
        <v>4.083169310031316</v>
      </c>
      <c r="K150" s="105">
        <f t="shared" si="6"/>
        <v>2027</v>
      </c>
      <c r="L150" s="3"/>
      <c r="M150" s="3"/>
    </row>
    <row r="151" spans="7:13">
      <c r="G151" s="31">
        <v>46447</v>
      </c>
      <c r="H151" s="35">
        <v>3.8445822448979587</v>
      </c>
      <c r="I151" s="35">
        <v>3.8524691004305236</v>
      </c>
      <c r="J151" s="35">
        <v>3.8387001717345184</v>
      </c>
      <c r="K151" s="105">
        <f t="shared" si="6"/>
        <v>2027</v>
      </c>
      <c r="L151" s="3"/>
      <c r="M151" s="3"/>
    </row>
    <row r="152" spans="7:13">
      <c r="G152" s="31">
        <v>46478</v>
      </c>
      <c r="H152" s="35">
        <v>3.5967251020408164</v>
      </c>
      <c r="I152" s="35">
        <v>3.5045073617963771</v>
      </c>
      <c r="J152" s="35">
        <v>3.6273656935043945</v>
      </c>
      <c r="K152" s="105">
        <f t="shared" si="6"/>
        <v>2027</v>
      </c>
      <c r="L152" s="3"/>
      <c r="M152" s="3"/>
    </row>
    <row r="153" spans="7:13">
      <c r="G153" s="31">
        <v>46508</v>
      </c>
      <c r="H153" s="35">
        <v>3.638051632653061</v>
      </c>
      <c r="I153" s="35">
        <v>3.5253912539343188</v>
      </c>
      <c r="J153" s="35">
        <v>3.6101922416405698</v>
      </c>
      <c r="K153" s="105">
        <f t="shared" si="6"/>
        <v>2027</v>
      </c>
      <c r="L153" s="3"/>
      <c r="M153" s="3"/>
    </row>
    <row r="154" spans="7:13">
      <c r="G154" s="31">
        <v>46539</v>
      </c>
      <c r="H154" s="35">
        <v>3.6656026530612245</v>
      </c>
      <c r="I154" s="35">
        <v>3.4975460644170635</v>
      </c>
      <c r="J154" s="35">
        <v>3.6368616021820386</v>
      </c>
      <c r="K154" s="105">
        <f t="shared" si="6"/>
        <v>2027</v>
      </c>
      <c r="L154" s="3"/>
      <c r="M154" s="3"/>
    </row>
    <row r="155" spans="7:13">
      <c r="G155" s="31">
        <v>46569</v>
      </c>
      <c r="H155" s="35">
        <v>3.8583577551020407</v>
      </c>
      <c r="I155" s="35">
        <v>3.7759463944238436</v>
      </c>
      <c r="J155" s="35">
        <v>3.7159605010607129</v>
      </c>
      <c r="K155" s="105">
        <f t="shared" si="6"/>
        <v>2027</v>
      </c>
      <c r="L155" s="3"/>
      <c r="M155" s="3"/>
    </row>
    <row r="156" spans="7:13">
      <c r="G156" s="31">
        <v>46600</v>
      </c>
      <c r="H156" s="35">
        <v>3.8721332653061222</v>
      </c>
      <c r="I156" s="35">
        <v>3.7898689891824713</v>
      </c>
      <c r="J156" s="35">
        <v>3.7556614809576723</v>
      </c>
      <c r="K156" s="105">
        <f t="shared" si="6"/>
        <v>2027</v>
      </c>
      <c r="L156" s="3"/>
      <c r="M156" s="3"/>
    </row>
    <row r="157" spans="7:13">
      <c r="G157" s="31">
        <v>46631</v>
      </c>
      <c r="H157" s="35">
        <v>3.8445822448979587</v>
      </c>
      <c r="I157" s="35">
        <v>3.7619722344994435</v>
      </c>
      <c r="J157" s="35">
        <v>3.7435390443479135</v>
      </c>
      <c r="K157" s="105">
        <f t="shared" si="6"/>
        <v>2027</v>
      </c>
      <c r="L157" s="3"/>
      <c r="M157" s="3"/>
    </row>
    <row r="158" spans="7:13">
      <c r="G158" s="31">
        <v>46661</v>
      </c>
      <c r="H158" s="35">
        <v>3.8170312244897961</v>
      </c>
      <c r="I158" s="35">
        <v>3.7898689891824713</v>
      </c>
      <c r="J158" s="35">
        <v>3.7945542984139808</v>
      </c>
      <c r="K158" s="105">
        <f t="shared" si="6"/>
        <v>2027</v>
      </c>
      <c r="L158" s="3"/>
      <c r="M158" s="3"/>
    </row>
    <row r="159" spans="7:13">
      <c r="G159" s="31">
        <v>46692</v>
      </c>
      <c r="H159" s="35">
        <v>4.1475414285714285</v>
      </c>
      <c r="I159" s="35">
        <v>4.2421470581747807</v>
      </c>
      <c r="J159" s="35">
        <v>4.0889274674209508</v>
      </c>
      <c r="K159" s="105">
        <f t="shared" si="6"/>
        <v>2027</v>
      </c>
      <c r="L159" s="3"/>
      <c r="M159" s="3"/>
    </row>
    <row r="160" spans="7:13">
      <c r="G160" s="31">
        <v>46722</v>
      </c>
      <c r="H160" s="35">
        <v>4.3817251020408161</v>
      </c>
      <c r="I160" s="35">
        <v>4.6318765810848088</v>
      </c>
      <c r="J160" s="35">
        <v>4.2677334074148892</v>
      </c>
      <c r="K160" s="105">
        <f t="shared" ref="K160:K223" si="8">YEAR(G160)</f>
        <v>2027</v>
      </c>
      <c r="L160" s="3"/>
      <c r="M160" s="3"/>
    </row>
    <row r="161" spans="7:13">
      <c r="G161" s="31">
        <v>46753</v>
      </c>
      <c r="H161" s="35">
        <v>4.4361128571428567</v>
      </c>
      <c r="I161" s="35">
        <v>4.6406426592661685</v>
      </c>
      <c r="J161" s="35">
        <v>4.3662282048691781</v>
      </c>
      <c r="K161" s="105">
        <f t="shared" si="8"/>
        <v>2028</v>
      </c>
      <c r="L161" s="3"/>
      <c r="M161" s="3"/>
    </row>
    <row r="162" spans="7:13">
      <c r="G162" s="31">
        <v>46784</v>
      </c>
      <c r="H162" s="35">
        <v>4.3516230612244895</v>
      </c>
      <c r="I162" s="35">
        <v>4.4414464238862461</v>
      </c>
      <c r="J162" s="35">
        <v>4.2034844933831694</v>
      </c>
      <c r="K162" s="105">
        <f t="shared" si="8"/>
        <v>2028</v>
      </c>
      <c r="L162" s="3"/>
      <c r="M162" s="3"/>
    </row>
    <row r="163" spans="7:13">
      <c r="G163" s="31">
        <v>46813</v>
      </c>
      <c r="H163" s="35">
        <v>4.0701944897959184</v>
      </c>
      <c r="I163" s="35">
        <v>4.1285489979775329</v>
      </c>
      <c r="J163" s="35">
        <v>4.0619550459642388</v>
      </c>
      <c r="K163" s="105">
        <f t="shared" si="8"/>
        <v>2028</v>
      </c>
      <c r="L163" s="3"/>
      <c r="M163" s="3"/>
    </row>
    <row r="164" spans="7:13">
      <c r="G164" s="31">
        <v>46844</v>
      </c>
      <c r="H164" s="35">
        <v>3.8027455102040815</v>
      </c>
      <c r="I164" s="35">
        <v>3.7017956860427086</v>
      </c>
      <c r="J164" s="35">
        <v>3.8313256894635819</v>
      </c>
      <c r="K164" s="105">
        <f t="shared" si="8"/>
        <v>2028</v>
      </c>
      <c r="L164" s="3"/>
      <c r="M164" s="3"/>
    </row>
    <row r="165" spans="7:13">
      <c r="G165" s="31">
        <v>46874</v>
      </c>
      <c r="H165" s="35">
        <v>3.8027455102040815</v>
      </c>
      <c r="I165" s="35">
        <v>3.7089116789193404</v>
      </c>
      <c r="J165" s="35">
        <v>3.7732390140418226</v>
      </c>
      <c r="K165" s="105">
        <f t="shared" si="8"/>
        <v>2028</v>
      </c>
      <c r="L165" s="3"/>
      <c r="M165" s="3"/>
    </row>
    <row r="166" spans="7:13">
      <c r="G166" s="31">
        <v>46905</v>
      </c>
      <c r="H166" s="35">
        <v>3.830908775510204</v>
      </c>
      <c r="I166" s="35">
        <v>3.7373756504258684</v>
      </c>
      <c r="J166" s="35">
        <v>3.8005144964137787</v>
      </c>
      <c r="K166" s="105">
        <f t="shared" si="8"/>
        <v>2028</v>
      </c>
      <c r="L166" s="3"/>
      <c r="M166" s="3"/>
    </row>
    <row r="167" spans="7:13">
      <c r="G167" s="31">
        <v>46935</v>
      </c>
      <c r="H167" s="35">
        <v>3.9997863265306122</v>
      </c>
      <c r="I167" s="35">
        <v>4.0503246415003549</v>
      </c>
      <c r="J167" s="35">
        <v>3.8559746439034241</v>
      </c>
      <c r="K167" s="105">
        <f t="shared" si="8"/>
        <v>2028</v>
      </c>
      <c r="L167" s="3"/>
      <c r="M167" s="3"/>
    </row>
    <row r="168" spans="7:13">
      <c r="G168" s="31">
        <v>46966</v>
      </c>
      <c r="H168" s="35">
        <v>4.0701944897959184</v>
      </c>
      <c r="I168" s="35">
        <v>4.0859046058835133</v>
      </c>
      <c r="J168" s="35">
        <v>3.9517418931205173</v>
      </c>
      <c r="K168" s="105">
        <f t="shared" si="8"/>
        <v>2028</v>
      </c>
      <c r="L168" s="3"/>
      <c r="M168" s="3"/>
    </row>
    <row r="169" spans="7:13">
      <c r="G169" s="31">
        <v>46997</v>
      </c>
      <c r="H169" s="35">
        <v>4.0561128571428569</v>
      </c>
      <c r="I169" s="35">
        <v>4.0218606699938269</v>
      </c>
      <c r="J169" s="35">
        <v>3.9529541367814929</v>
      </c>
      <c r="K169" s="105">
        <f t="shared" si="8"/>
        <v>2028</v>
      </c>
      <c r="L169" s="3"/>
      <c r="M169" s="3"/>
    </row>
    <row r="170" spans="7:13">
      <c r="G170" s="31">
        <v>47027</v>
      </c>
      <c r="H170" s="35">
        <v>4.1405006122448977</v>
      </c>
      <c r="I170" s="35">
        <v>4.1285489979775329</v>
      </c>
      <c r="J170" s="35">
        <v>4.1147886655217691</v>
      </c>
      <c r="K170" s="105">
        <f t="shared" si="8"/>
        <v>2028</v>
      </c>
      <c r="L170" s="3"/>
      <c r="M170" s="3"/>
    </row>
    <row r="171" spans="7:13">
      <c r="G171" s="31">
        <v>47058</v>
      </c>
      <c r="H171" s="35">
        <v>4.3797863265306116</v>
      </c>
      <c r="I171" s="35">
        <v>4.4983743668993021</v>
      </c>
      <c r="J171" s="35">
        <v>4.3188496817860385</v>
      </c>
      <c r="K171" s="105">
        <f t="shared" si="8"/>
        <v>2028</v>
      </c>
      <c r="L171" s="3"/>
      <c r="M171" s="3"/>
    </row>
    <row r="172" spans="7:13">
      <c r="G172" s="31">
        <v>47088</v>
      </c>
      <c r="H172" s="35">
        <v>4.7879495918367345</v>
      </c>
      <c r="I172" s="35">
        <v>5.0104680281879368</v>
      </c>
      <c r="J172" s="35">
        <v>4.6698952419436299</v>
      </c>
      <c r="K172" s="105">
        <f t="shared" si="8"/>
        <v>2028</v>
      </c>
      <c r="L172" s="3"/>
      <c r="M172" s="3"/>
    </row>
    <row r="173" spans="7:13">
      <c r="G173" s="31">
        <v>47119</v>
      </c>
      <c r="H173" s="35">
        <v>4.6588679591836728</v>
      </c>
      <c r="I173" s="35">
        <v>4.9697831123932801</v>
      </c>
      <c r="J173" s="35">
        <v>4.5866545105566212</v>
      </c>
      <c r="K173" s="105">
        <f t="shared" si="8"/>
        <v>2029</v>
      </c>
      <c r="L173" s="3"/>
      <c r="M173" s="3"/>
    </row>
    <row r="174" spans="7:13">
      <c r="G174" s="31">
        <v>47150</v>
      </c>
      <c r="H174" s="35">
        <v>4.6444802040816322</v>
      </c>
      <c r="I174" s="35">
        <v>4.8027635404555209</v>
      </c>
      <c r="J174" s="35">
        <v>4.4933117486614798</v>
      </c>
      <c r="K174" s="105">
        <f t="shared" si="8"/>
        <v>2029</v>
      </c>
      <c r="L174" s="3"/>
      <c r="M174" s="3"/>
    </row>
    <row r="175" spans="7:13">
      <c r="G175" s="31">
        <v>47178</v>
      </c>
      <c r="H175" s="35">
        <v>4.4001944897959184</v>
      </c>
      <c r="I175" s="35">
        <v>4.5268383384058302</v>
      </c>
      <c r="J175" s="35">
        <v>4.3886547125972308</v>
      </c>
      <c r="K175" s="105">
        <f t="shared" si="8"/>
        <v>2029</v>
      </c>
      <c r="L175" s="3"/>
      <c r="M175" s="3"/>
    </row>
    <row r="176" spans="7:13">
      <c r="G176" s="31">
        <v>47209</v>
      </c>
      <c r="H176" s="35">
        <v>4.112745510204082</v>
      </c>
      <c r="I176" s="35">
        <v>4.0911126876265564</v>
      </c>
      <c r="J176" s="35">
        <v>4.1382253763006362</v>
      </c>
      <c r="K176" s="105">
        <f t="shared" si="8"/>
        <v>2029</v>
      </c>
      <c r="L176" s="3"/>
      <c r="M176" s="3"/>
    </row>
    <row r="177" spans="7:13">
      <c r="G177" s="31">
        <v>47239</v>
      </c>
      <c r="H177" s="35">
        <v>4.112745510204082</v>
      </c>
      <c r="I177" s="35">
        <v>4.1056540643744555</v>
      </c>
      <c r="J177" s="35">
        <v>4.0801387008788756</v>
      </c>
      <c r="K177" s="105">
        <f t="shared" si="8"/>
        <v>2029</v>
      </c>
      <c r="L177" s="3"/>
      <c r="M177" s="3"/>
    </row>
    <row r="178" spans="7:13">
      <c r="G178" s="31">
        <v>47270</v>
      </c>
      <c r="H178" s="35">
        <v>4.2277455102040822</v>
      </c>
      <c r="I178" s="35">
        <v>4.1927991945303109</v>
      </c>
      <c r="J178" s="35">
        <v>4.1933824628750367</v>
      </c>
      <c r="K178" s="105">
        <f t="shared" si="8"/>
        <v>2029</v>
      </c>
      <c r="L178" s="3"/>
      <c r="M178" s="3"/>
    </row>
    <row r="179" spans="7:13">
      <c r="G179" s="31">
        <v>47300</v>
      </c>
      <c r="H179" s="35">
        <v>4.500806734693878</v>
      </c>
      <c r="I179" s="35">
        <v>4.5849007150658849</v>
      </c>
      <c r="J179" s="35">
        <v>4.3518833215476302</v>
      </c>
      <c r="K179" s="105">
        <f t="shared" si="8"/>
        <v>2029</v>
      </c>
      <c r="L179" s="3"/>
      <c r="M179" s="3"/>
    </row>
    <row r="180" spans="7:13">
      <c r="G180" s="31">
        <v>47331</v>
      </c>
      <c r="H180" s="35">
        <v>4.5869291836734689</v>
      </c>
      <c r="I180" s="35">
        <v>4.6284732801438118</v>
      </c>
      <c r="J180" s="35">
        <v>4.4633087180523274</v>
      </c>
      <c r="K180" s="105">
        <f t="shared" si="8"/>
        <v>2029</v>
      </c>
      <c r="L180" s="3"/>
      <c r="M180" s="3"/>
    </row>
    <row r="181" spans="7:13">
      <c r="G181" s="31">
        <v>47362</v>
      </c>
      <c r="H181" s="35">
        <v>4.4432557142857148</v>
      </c>
      <c r="I181" s="35">
        <v>4.4759950849539525</v>
      </c>
      <c r="J181" s="35">
        <v>4.3362251742600257</v>
      </c>
      <c r="K181" s="105">
        <f t="shared" si="8"/>
        <v>2029</v>
      </c>
      <c r="L181" s="3"/>
      <c r="M181" s="3"/>
    </row>
    <row r="182" spans="7:13">
      <c r="G182" s="31">
        <v>47392</v>
      </c>
      <c r="H182" s="35">
        <v>4.5150924489795914</v>
      </c>
      <c r="I182" s="35">
        <v>4.5776300266919341</v>
      </c>
      <c r="J182" s="35">
        <v>4.4856342054753</v>
      </c>
      <c r="K182" s="105">
        <f t="shared" si="8"/>
        <v>2029</v>
      </c>
      <c r="L182" s="3"/>
      <c r="M182" s="3"/>
    </row>
    <row r="183" spans="7:13">
      <c r="G183" s="31">
        <v>47423</v>
      </c>
      <c r="H183" s="35">
        <v>4.8025414285714287</v>
      </c>
      <c r="I183" s="35">
        <v>5.0060849890972579</v>
      </c>
      <c r="J183" s="35">
        <v>4.7373768057379522</v>
      </c>
      <c r="K183" s="105">
        <f t="shared" si="8"/>
        <v>2029</v>
      </c>
      <c r="L183" s="3"/>
      <c r="M183" s="3"/>
    </row>
    <row r="184" spans="7:13">
      <c r="G184" s="31">
        <v>47453</v>
      </c>
      <c r="H184" s="35">
        <v>5.1905006122448976</v>
      </c>
      <c r="I184" s="35">
        <v>5.4998730165365854</v>
      </c>
      <c r="J184" s="35">
        <v>5.068420345489443</v>
      </c>
      <c r="K184" s="105">
        <f t="shared" si="8"/>
        <v>2029</v>
      </c>
      <c r="L184" s="3"/>
      <c r="M184" s="3"/>
    </row>
    <row r="185" spans="7:13">
      <c r="G185" s="31">
        <v>47484</v>
      </c>
      <c r="H185" s="35">
        <v>5.1039700000000003</v>
      </c>
      <c r="I185" s="35">
        <v>5.4684698305810144</v>
      </c>
      <c r="J185" s="35">
        <v>5.0274061016264255</v>
      </c>
      <c r="K185" s="105">
        <f t="shared" si="8"/>
        <v>2030</v>
      </c>
      <c r="L185" s="3"/>
      <c r="M185" s="3"/>
    </row>
    <row r="186" spans="7:13">
      <c r="G186" s="31">
        <v>47515</v>
      </c>
      <c r="H186" s="35">
        <v>5.030704693877551</v>
      </c>
      <c r="I186" s="35">
        <v>5.2537009151377392</v>
      </c>
      <c r="J186" s="35">
        <v>4.8756736033942811</v>
      </c>
      <c r="K186" s="105">
        <f t="shared" si="8"/>
        <v>2030</v>
      </c>
      <c r="L186" s="3"/>
      <c r="M186" s="3"/>
    </row>
    <row r="187" spans="7:13">
      <c r="G187" s="31">
        <v>47543</v>
      </c>
      <c r="H187" s="35">
        <v>4.7815210204081637</v>
      </c>
      <c r="I187" s="35">
        <v>4.9055844810062741</v>
      </c>
      <c r="J187" s="35">
        <v>4.76626861299121</v>
      </c>
      <c r="K187" s="105">
        <f t="shared" si="8"/>
        <v>2030</v>
      </c>
      <c r="L187" s="3"/>
      <c r="M187" s="3"/>
    </row>
    <row r="188" spans="7:13">
      <c r="G188" s="31">
        <v>47574</v>
      </c>
      <c r="H188" s="35">
        <v>4.5030516326530607</v>
      </c>
      <c r="I188" s="35">
        <v>4.5130188739787469</v>
      </c>
      <c r="J188" s="35">
        <v>4.5246280432366905</v>
      </c>
      <c r="K188" s="105">
        <f t="shared" si="8"/>
        <v>2030</v>
      </c>
      <c r="L188" s="3"/>
      <c r="M188" s="3"/>
    </row>
    <row r="189" spans="7:13">
      <c r="G189" s="31">
        <v>47604</v>
      </c>
      <c r="H189" s="35">
        <v>4.5177455102040813</v>
      </c>
      <c r="I189" s="35">
        <v>4.5352434604267788</v>
      </c>
      <c r="J189" s="35">
        <v>4.4810882917466399</v>
      </c>
      <c r="K189" s="105">
        <f t="shared" si="8"/>
        <v>2030</v>
      </c>
      <c r="L189" s="3"/>
      <c r="M189" s="3"/>
    </row>
    <row r="190" spans="7:13">
      <c r="G190" s="31">
        <v>47635</v>
      </c>
      <c r="H190" s="35">
        <v>4.5910108163265306</v>
      </c>
      <c r="I190" s="35">
        <v>4.5944918358996061</v>
      </c>
      <c r="J190" s="35">
        <v>4.5530147489645412</v>
      </c>
      <c r="K190" s="105">
        <f t="shared" si="8"/>
        <v>2030</v>
      </c>
      <c r="L190" s="3"/>
      <c r="M190" s="3"/>
    </row>
    <row r="191" spans="7:13">
      <c r="G191" s="31">
        <v>47665</v>
      </c>
      <c r="H191" s="35">
        <v>4.9721332653061223</v>
      </c>
      <c r="I191" s="35">
        <v>5.0759042235534872</v>
      </c>
      <c r="J191" s="35">
        <v>4.8184961107182538</v>
      </c>
      <c r="K191" s="105">
        <f t="shared" si="8"/>
        <v>2030</v>
      </c>
      <c r="L191" s="3"/>
      <c r="M191" s="3"/>
    </row>
    <row r="192" spans="7:13">
      <c r="G192" s="31">
        <v>47696</v>
      </c>
      <c r="H192" s="35">
        <v>5.0160108163265313</v>
      </c>
      <c r="I192" s="35">
        <v>5.1203533964495502</v>
      </c>
      <c r="J192" s="35">
        <v>4.888099100919284</v>
      </c>
      <c r="K192" s="105">
        <f t="shared" si="8"/>
        <v>2030</v>
      </c>
      <c r="L192" s="3"/>
      <c r="M192" s="3"/>
    </row>
    <row r="193" spans="7:13">
      <c r="G193" s="31">
        <v>47727</v>
      </c>
      <c r="H193" s="35">
        <v>4.9574393877551017</v>
      </c>
      <c r="I193" s="35">
        <v>5.0018566455038966</v>
      </c>
      <c r="J193" s="35">
        <v>4.8452664915648036</v>
      </c>
      <c r="K193" s="105">
        <f t="shared" si="8"/>
        <v>2030</v>
      </c>
      <c r="L193" s="3"/>
      <c r="M193" s="3"/>
    </row>
    <row r="194" spans="7:13">
      <c r="G194" s="31">
        <v>47757</v>
      </c>
      <c r="H194" s="35">
        <v>4.9867251020408156</v>
      </c>
      <c r="I194" s="35">
        <v>5.0389319996944639</v>
      </c>
      <c r="J194" s="35">
        <v>4.9525500555611668</v>
      </c>
      <c r="K194" s="105">
        <f t="shared" si="8"/>
        <v>2030</v>
      </c>
      <c r="L194" s="3"/>
      <c r="M194" s="3"/>
    </row>
    <row r="195" spans="7:13">
      <c r="G195" s="31">
        <v>47788</v>
      </c>
      <c r="H195" s="35">
        <v>5.3824393877551024</v>
      </c>
      <c r="I195" s="35">
        <v>5.498119800900314</v>
      </c>
      <c r="J195" s="35">
        <v>5.3114751995151011</v>
      </c>
      <c r="K195" s="105">
        <f t="shared" si="8"/>
        <v>2030</v>
      </c>
      <c r="L195" s="3"/>
      <c r="M195" s="3"/>
    </row>
    <row r="196" spans="7:13">
      <c r="G196" s="31">
        <v>47818</v>
      </c>
      <c r="H196" s="35">
        <v>5.6463169387755094</v>
      </c>
      <c r="I196" s="35">
        <v>5.8906854079278421</v>
      </c>
      <c r="J196" s="35">
        <v>5.5196780482877053</v>
      </c>
      <c r="K196" s="105">
        <f t="shared" si="8"/>
        <v>2030</v>
      </c>
      <c r="L196" s="3"/>
      <c r="M196" s="3"/>
    </row>
    <row r="197" spans="7:13">
      <c r="G197" s="31">
        <v>47849</v>
      </c>
      <c r="H197" s="35">
        <v>5.654786326530612</v>
      </c>
      <c r="I197" s="35">
        <v>5.8945012301950213</v>
      </c>
      <c r="J197" s="35">
        <v>5.5727137084553986</v>
      </c>
      <c r="K197" s="105">
        <f t="shared" si="8"/>
        <v>2031</v>
      </c>
      <c r="L197" s="3"/>
      <c r="M197" s="3"/>
    </row>
    <row r="198" spans="7:13">
      <c r="G198" s="31">
        <v>47880</v>
      </c>
      <c r="H198" s="35">
        <v>5.490398571428571</v>
      </c>
      <c r="I198" s="35">
        <v>5.6754524059926119</v>
      </c>
      <c r="J198" s="35">
        <v>5.3307700777856342</v>
      </c>
      <c r="K198" s="105">
        <f t="shared" si="8"/>
        <v>2031</v>
      </c>
      <c r="L198" s="3"/>
      <c r="M198" s="3"/>
    </row>
    <row r="199" spans="7:13">
      <c r="G199" s="31">
        <v>47908</v>
      </c>
      <c r="H199" s="35">
        <v>4.8026434693877551</v>
      </c>
      <c r="I199" s="35">
        <v>4.9123910828882709</v>
      </c>
      <c r="J199" s="35">
        <v>4.7871798161430448</v>
      </c>
      <c r="K199" s="105">
        <f t="shared" si="8"/>
        <v>2031</v>
      </c>
      <c r="L199" s="3"/>
      <c r="M199" s="3"/>
    </row>
    <row r="200" spans="7:13">
      <c r="G200" s="31">
        <v>47939</v>
      </c>
      <c r="H200" s="35">
        <v>4.5185618367346931</v>
      </c>
      <c r="I200" s="35">
        <v>4.4590817105805085</v>
      </c>
      <c r="J200" s="35">
        <v>4.53998312960905</v>
      </c>
      <c r="K200" s="105">
        <f t="shared" si="8"/>
        <v>2031</v>
      </c>
      <c r="L200" s="3"/>
      <c r="M200" s="3"/>
    </row>
    <row r="201" spans="7:13">
      <c r="G201" s="31">
        <v>47969</v>
      </c>
      <c r="H201" s="35">
        <v>4.5185618367346931</v>
      </c>
      <c r="I201" s="35">
        <v>4.4666617899490948</v>
      </c>
      <c r="J201" s="35">
        <v>4.4818964541872912</v>
      </c>
      <c r="K201" s="105">
        <f t="shared" si="8"/>
        <v>2031</v>
      </c>
      <c r="L201" s="3"/>
      <c r="M201" s="3"/>
    </row>
    <row r="202" spans="7:13">
      <c r="G202" s="31">
        <v>48000</v>
      </c>
      <c r="H202" s="35">
        <v>4.5783577551020409</v>
      </c>
      <c r="I202" s="35">
        <v>4.4892988977233079</v>
      </c>
      <c r="J202" s="35">
        <v>4.5404882311344572</v>
      </c>
      <c r="K202" s="105">
        <f t="shared" si="8"/>
        <v>2031</v>
      </c>
      <c r="L202" s="3"/>
      <c r="M202" s="3"/>
    </row>
    <row r="203" spans="7:13">
      <c r="G203" s="31">
        <v>48030</v>
      </c>
      <c r="H203" s="35">
        <v>4.7727455102040812</v>
      </c>
      <c r="I203" s="35">
        <v>4.8293196008284589</v>
      </c>
      <c r="J203" s="35">
        <v>4.6212034548944327</v>
      </c>
      <c r="K203" s="105">
        <f t="shared" si="8"/>
        <v>2031</v>
      </c>
      <c r="L203" s="3"/>
      <c r="M203" s="3"/>
    </row>
    <row r="204" spans="7:13">
      <c r="G204" s="31">
        <v>48061</v>
      </c>
      <c r="H204" s="35">
        <v>4.8923373469387759</v>
      </c>
      <c r="I204" s="35">
        <v>4.9048625686854574</v>
      </c>
      <c r="J204" s="35">
        <v>4.7656624911607226</v>
      </c>
      <c r="K204" s="105">
        <f t="shared" si="8"/>
        <v>2031</v>
      </c>
      <c r="L204" s="3"/>
      <c r="M204" s="3"/>
    </row>
    <row r="205" spans="7:13">
      <c r="G205" s="31">
        <v>48092</v>
      </c>
      <c r="H205" s="35">
        <v>4.8774393877551017</v>
      </c>
      <c r="I205" s="35">
        <v>4.8821738957454714</v>
      </c>
      <c r="J205" s="35">
        <v>4.7660665723810478</v>
      </c>
      <c r="K205" s="105">
        <f t="shared" si="8"/>
        <v>2031</v>
      </c>
      <c r="L205" s="3"/>
      <c r="M205" s="3"/>
    </row>
    <row r="206" spans="7:13">
      <c r="G206" s="31">
        <v>48122</v>
      </c>
      <c r="H206" s="35">
        <v>4.9372353061224485</v>
      </c>
      <c r="I206" s="35">
        <v>4.9501883493996557</v>
      </c>
      <c r="J206" s="35">
        <v>4.9035552075967264</v>
      </c>
      <c r="K206" s="105">
        <f t="shared" si="8"/>
        <v>2031</v>
      </c>
      <c r="L206" s="3"/>
      <c r="M206" s="3"/>
    </row>
    <row r="207" spans="7:13">
      <c r="G207" s="31">
        <v>48153</v>
      </c>
      <c r="H207" s="35">
        <v>5.1764189795918369</v>
      </c>
      <c r="I207" s="35">
        <v>5.3354832680532329</v>
      </c>
      <c r="J207" s="35">
        <v>5.1075152035559146</v>
      </c>
      <c r="K207" s="105">
        <f t="shared" si="8"/>
        <v>2031</v>
      </c>
      <c r="L207" s="3"/>
      <c r="M207" s="3"/>
    </row>
    <row r="208" spans="7:13">
      <c r="G208" s="31">
        <v>48183</v>
      </c>
      <c r="H208" s="35">
        <v>5.5650924489795921</v>
      </c>
      <c r="I208" s="35">
        <v>5.8718641224208081</v>
      </c>
      <c r="J208" s="35">
        <v>5.439265885442973</v>
      </c>
      <c r="K208" s="105">
        <f t="shared" si="8"/>
        <v>2031</v>
      </c>
      <c r="L208" s="3"/>
      <c r="M208" s="3"/>
    </row>
    <row r="209" spans="7:13">
      <c r="G209" s="31">
        <v>48214</v>
      </c>
      <c r="H209" s="35">
        <v>5.524174081632653</v>
      </c>
      <c r="I209" s="35">
        <v>5.7883285538690421</v>
      </c>
      <c r="J209" s="35">
        <v>5.4433066976462268</v>
      </c>
      <c r="K209" s="105">
        <f t="shared" si="8"/>
        <v>2032</v>
      </c>
      <c r="L209" s="3"/>
      <c r="M209" s="3"/>
    </row>
    <row r="210" spans="7:13">
      <c r="G210" s="31">
        <v>48245</v>
      </c>
      <c r="H210" s="35">
        <v>5.3564189795918367</v>
      </c>
      <c r="I210" s="35">
        <v>5.5494271408441449</v>
      </c>
      <c r="J210" s="35">
        <v>5.1981304172138589</v>
      </c>
      <c r="K210" s="105">
        <f t="shared" si="8"/>
        <v>2032</v>
      </c>
      <c r="L210" s="3"/>
      <c r="M210" s="3"/>
    </row>
    <row r="211" spans="7:13">
      <c r="G211" s="31">
        <v>48274</v>
      </c>
      <c r="H211" s="35">
        <v>5.1886638775510203</v>
      </c>
      <c r="I211" s="35">
        <v>5.2951077432532134</v>
      </c>
      <c r="J211" s="35">
        <v>5.1693396302656822</v>
      </c>
      <c r="K211" s="105">
        <f t="shared" si="8"/>
        <v>2032</v>
      </c>
      <c r="L211" s="3"/>
      <c r="M211" s="3"/>
    </row>
    <row r="212" spans="7:13">
      <c r="G212" s="31">
        <v>48305</v>
      </c>
      <c r="H212" s="35">
        <v>4.9141740816326536</v>
      </c>
      <c r="I212" s="35">
        <v>4.8789768554675641</v>
      </c>
      <c r="J212" s="35">
        <v>4.9316388524093338</v>
      </c>
      <c r="K212" s="105">
        <f t="shared" si="8"/>
        <v>2032</v>
      </c>
      <c r="L212" s="3"/>
      <c r="M212" s="3"/>
    </row>
    <row r="213" spans="7:13">
      <c r="G213" s="31">
        <v>48335</v>
      </c>
      <c r="H213" s="35">
        <v>4.9141740816326536</v>
      </c>
      <c r="I213" s="35">
        <v>4.8867116303334699</v>
      </c>
      <c r="J213" s="35">
        <v>4.873552176987574</v>
      </c>
      <c r="K213" s="105">
        <f t="shared" si="8"/>
        <v>2032</v>
      </c>
      <c r="L213" s="3"/>
      <c r="M213" s="3"/>
    </row>
    <row r="214" spans="7:13">
      <c r="G214" s="31">
        <v>48366</v>
      </c>
      <c r="H214" s="35">
        <v>4.9903985714285719</v>
      </c>
      <c r="I214" s="35">
        <v>4.9560152131319715</v>
      </c>
      <c r="J214" s="35">
        <v>4.9484082230528328</v>
      </c>
      <c r="K214" s="105">
        <f t="shared" si="8"/>
        <v>2032</v>
      </c>
      <c r="L214" s="3"/>
      <c r="M214" s="3"/>
    </row>
    <row r="215" spans="7:13">
      <c r="G215" s="31">
        <v>48396</v>
      </c>
      <c r="H215" s="35">
        <v>5.2801944897959183</v>
      </c>
      <c r="I215" s="35">
        <v>5.3567796815173567</v>
      </c>
      <c r="J215" s="35">
        <v>5.1234764117587623</v>
      </c>
      <c r="K215" s="105">
        <f t="shared" si="8"/>
        <v>2032</v>
      </c>
      <c r="L215" s="3"/>
      <c r="M215" s="3"/>
    </row>
    <row r="216" spans="7:13">
      <c r="G216" s="31">
        <v>48427</v>
      </c>
      <c r="H216" s="35">
        <v>5.4174393877551017</v>
      </c>
      <c r="I216" s="35">
        <v>5.4492360237477993</v>
      </c>
      <c r="J216" s="35">
        <v>5.2855129811092025</v>
      </c>
      <c r="K216" s="105">
        <f t="shared" si="8"/>
        <v>2032</v>
      </c>
      <c r="L216" s="3"/>
      <c r="M216" s="3"/>
    </row>
    <row r="217" spans="7:13">
      <c r="G217" s="31">
        <v>48458</v>
      </c>
      <c r="H217" s="35">
        <v>5.402133265306122</v>
      </c>
      <c r="I217" s="35">
        <v>5.410716844915596</v>
      </c>
      <c r="J217" s="35">
        <v>5.2855129811092025</v>
      </c>
      <c r="K217" s="105">
        <f t="shared" si="8"/>
        <v>2032</v>
      </c>
      <c r="L217" s="3"/>
      <c r="M217" s="3"/>
    </row>
    <row r="218" spans="7:13">
      <c r="G218" s="31">
        <v>48488</v>
      </c>
      <c r="H218" s="35">
        <v>5.4479495918367347</v>
      </c>
      <c r="I218" s="35">
        <v>5.5031731871460376</v>
      </c>
      <c r="J218" s="35">
        <v>5.4091618345287396</v>
      </c>
      <c r="K218" s="105">
        <f t="shared" si="8"/>
        <v>2032</v>
      </c>
      <c r="L218" s="3"/>
      <c r="M218" s="3"/>
    </row>
    <row r="219" spans="7:13">
      <c r="G219" s="31">
        <v>48519</v>
      </c>
      <c r="H219" s="35">
        <v>5.6919291836734693</v>
      </c>
      <c r="I219" s="35">
        <v>5.8576837018333174</v>
      </c>
      <c r="J219" s="35">
        <v>5.6178697848267491</v>
      </c>
      <c r="K219" s="105">
        <f t="shared" si="8"/>
        <v>2032</v>
      </c>
      <c r="L219" s="3"/>
      <c r="M219" s="3"/>
    </row>
    <row r="220" spans="7:13">
      <c r="G220" s="31">
        <v>48549</v>
      </c>
      <c r="H220" s="35">
        <v>6.134072040816327</v>
      </c>
      <c r="I220" s="35">
        <v>6.3893721261155765</v>
      </c>
      <c r="J220" s="35">
        <v>6.0025551065764207</v>
      </c>
      <c r="K220" s="105">
        <f t="shared" si="8"/>
        <v>2032</v>
      </c>
      <c r="L220" s="3"/>
      <c r="M220" s="3"/>
    </row>
    <row r="221" spans="7:13">
      <c r="G221" s="31">
        <v>48580</v>
      </c>
      <c r="H221" s="35">
        <v>6.1015210204081631</v>
      </c>
      <c r="I221" s="35">
        <v>6.3593611996358668</v>
      </c>
      <c r="J221" s="35">
        <v>6.0148795837963416</v>
      </c>
      <c r="K221" s="105">
        <f t="shared" si="8"/>
        <v>2033</v>
      </c>
      <c r="L221" s="3"/>
      <c r="M221" s="3"/>
    </row>
    <row r="222" spans="7:13">
      <c r="G222" s="31">
        <v>48611</v>
      </c>
      <c r="H222" s="35">
        <v>6.0081536734693879</v>
      </c>
      <c r="I222" s="35">
        <v>6.1785221632710261</v>
      </c>
      <c r="J222" s="35">
        <v>5.8433471057682587</v>
      </c>
      <c r="K222" s="105">
        <f t="shared" si="8"/>
        <v>2033</v>
      </c>
      <c r="L222" s="3"/>
      <c r="M222" s="3"/>
    </row>
    <row r="223" spans="7:13">
      <c r="G223" s="31">
        <v>48639</v>
      </c>
      <c r="H223" s="35">
        <v>5.463765918367347</v>
      </c>
      <c r="I223" s="35">
        <v>5.6047565637182464</v>
      </c>
      <c r="J223" s="35">
        <v>5.4416903727649251</v>
      </c>
      <c r="K223" s="105">
        <f t="shared" si="8"/>
        <v>2033</v>
      </c>
      <c r="L223" s="3"/>
      <c r="M223" s="3"/>
    </row>
    <row r="224" spans="7:13">
      <c r="G224" s="31">
        <v>48670</v>
      </c>
      <c r="H224" s="35">
        <v>5.1371332653061224</v>
      </c>
      <c r="I224" s="35">
        <v>5.1410310279244005</v>
      </c>
      <c r="J224" s="35">
        <v>5.152368219012021</v>
      </c>
      <c r="K224" s="105">
        <f t="shared" ref="K224:K311" si="9">YEAR(G224)</f>
        <v>2033</v>
      </c>
      <c r="L224" s="3"/>
      <c r="M224" s="3"/>
    </row>
    <row r="225" spans="7:13">
      <c r="G225" s="31">
        <v>48700</v>
      </c>
      <c r="H225" s="35">
        <v>5.1060108163265303</v>
      </c>
      <c r="I225" s="35">
        <v>5.1095762768030566</v>
      </c>
      <c r="J225" s="35">
        <v>5.0634703505404577</v>
      </c>
      <c r="K225" s="105">
        <f t="shared" si="9"/>
        <v>2033</v>
      </c>
      <c r="L225" s="3"/>
      <c r="M225" s="3"/>
    </row>
    <row r="226" spans="7:13">
      <c r="G226" s="31">
        <v>48731</v>
      </c>
      <c r="H226" s="35">
        <v>5.1837659183673468</v>
      </c>
      <c r="I226" s="35">
        <v>5.1724342138799706</v>
      </c>
      <c r="J226" s="35">
        <v>5.1398417011819371</v>
      </c>
      <c r="K226" s="105">
        <f t="shared" si="9"/>
        <v>2033</v>
      </c>
      <c r="L226" s="3"/>
      <c r="M226" s="3"/>
    </row>
    <row r="227" spans="7:13">
      <c r="G227" s="31">
        <v>48761</v>
      </c>
      <c r="H227" s="35">
        <v>5.5103985714285715</v>
      </c>
      <c r="I227" s="35">
        <v>5.6204839392789196</v>
      </c>
      <c r="J227" s="35">
        <v>5.351479240327305</v>
      </c>
      <c r="K227" s="105">
        <f t="shared" si="9"/>
        <v>2033</v>
      </c>
      <c r="L227" s="3"/>
      <c r="M227" s="3"/>
    </row>
    <row r="228" spans="7:13">
      <c r="G228" s="31">
        <v>48792</v>
      </c>
      <c r="H228" s="35">
        <v>5.6348883673469388</v>
      </c>
      <c r="I228" s="35">
        <v>5.7069071571139567</v>
      </c>
      <c r="J228" s="35">
        <v>5.5007872512374982</v>
      </c>
      <c r="K228" s="105">
        <f t="shared" si="9"/>
        <v>2033</v>
      </c>
      <c r="L228" s="3"/>
      <c r="M228" s="3"/>
    </row>
    <row r="229" spans="7:13">
      <c r="G229" s="31">
        <v>48823</v>
      </c>
      <c r="H229" s="35">
        <v>5.5571332653061223</v>
      </c>
      <c r="I229" s="35">
        <v>5.5890291881575758</v>
      </c>
      <c r="J229" s="35">
        <v>5.4389628245277297</v>
      </c>
      <c r="K229" s="105">
        <f t="shared" si="9"/>
        <v>2033</v>
      </c>
      <c r="L229" s="3"/>
      <c r="M229" s="3"/>
    </row>
    <row r="230" spans="7:13">
      <c r="G230" s="31">
        <v>48853</v>
      </c>
      <c r="H230" s="35">
        <v>5.588153673469388</v>
      </c>
      <c r="I230" s="35">
        <v>5.6362113148395911</v>
      </c>
      <c r="J230" s="35">
        <v>5.5479637337104757</v>
      </c>
      <c r="K230" s="105">
        <f t="shared" si="9"/>
        <v>2033</v>
      </c>
      <c r="L230" s="3"/>
      <c r="M230" s="3"/>
    </row>
    <row r="231" spans="7:13">
      <c r="G231" s="31">
        <v>48884</v>
      </c>
      <c r="H231" s="35">
        <v>5.9303985714285714</v>
      </c>
      <c r="I231" s="35">
        <v>6.0763715698753167</v>
      </c>
      <c r="J231" s="35">
        <v>5.8539542378017968</v>
      </c>
      <c r="K231" s="105">
        <f t="shared" si="9"/>
        <v>2033</v>
      </c>
      <c r="L231" s="3"/>
      <c r="M231" s="3"/>
    </row>
    <row r="232" spans="7:13">
      <c r="G232" s="31">
        <v>48914</v>
      </c>
      <c r="H232" s="35">
        <v>6.3036638775510205</v>
      </c>
      <c r="I232" s="35">
        <v>6.5872792323511788</v>
      </c>
      <c r="J232" s="35">
        <v>6.1704508536215776</v>
      </c>
      <c r="K232" s="105">
        <f t="shared" si="9"/>
        <v>2033</v>
      </c>
      <c r="L232" s="3"/>
      <c r="M232" s="3"/>
    </row>
    <row r="233" spans="7:13">
      <c r="G233" s="31">
        <v>48945</v>
      </c>
      <c r="H233" s="35">
        <v>6.255500612244898</v>
      </c>
      <c r="I233" s="35">
        <v>6.5420050168027526</v>
      </c>
      <c r="J233" s="35">
        <v>6.1673192241640562</v>
      </c>
      <c r="K233" s="105">
        <f t="shared" si="9"/>
        <v>2034</v>
      </c>
      <c r="L233" s="3"/>
      <c r="M233" s="3"/>
    </row>
    <row r="234" spans="7:13">
      <c r="G234" s="31">
        <v>48976</v>
      </c>
      <c r="H234" s="35">
        <v>6.1920312244897957</v>
      </c>
      <c r="I234" s="35">
        <v>6.3656521498601366</v>
      </c>
      <c r="J234" s="35">
        <v>6.0253856955247995</v>
      </c>
      <c r="K234" s="105">
        <f t="shared" si="9"/>
        <v>2034</v>
      </c>
      <c r="L234" s="3"/>
      <c r="M234" s="3"/>
    </row>
    <row r="235" spans="7:13">
      <c r="G235" s="31">
        <v>49004</v>
      </c>
      <c r="H235" s="35">
        <v>5.3670312244897955</v>
      </c>
      <c r="I235" s="35">
        <v>5.4676963530944249</v>
      </c>
      <c r="J235" s="35">
        <v>5.3458221032427513</v>
      </c>
      <c r="K235" s="105">
        <f t="shared" si="9"/>
        <v>2034</v>
      </c>
      <c r="L235" s="3"/>
      <c r="M235" s="3"/>
    </row>
    <row r="236" spans="7:13">
      <c r="G236" s="31">
        <v>49035</v>
      </c>
      <c r="H236" s="35">
        <v>5.0338679591836728</v>
      </c>
      <c r="I236" s="35">
        <v>4.9626155543508759</v>
      </c>
      <c r="J236" s="35">
        <v>5.0501356702697242</v>
      </c>
      <c r="K236" s="105">
        <f t="shared" si="9"/>
        <v>2034</v>
      </c>
      <c r="L236" s="3"/>
      <c r="M236" s="3"/>
    </row>
    <row r="237" spans="7:13">
      <c r="G237" s="31">
        <v>49065</v>
      </c>
      <c r="H237" s="35">
        <v>5.0179495918367349</v>
      </c>
      <c r="I237" s="35">
        <v>4.9706081550456442</v>
      </c>
      <c r="J237" s="35">
        <v>4.976289827255278</v>
      </c>
      <c r="K237" s="105">
        <f t="shared" si="9"/>
        <v>2034</v>
      </c>
      <c r="L237" s="3"/>
      <c r="M237" s="3"/>
    </row>
    <row r="238" spans="7:13">
      <c r="G238" s="31">
        <v>49096</v>
      </c>
      <c r="H238" s="35">
        <v>5.0814189795918372</v>
      </c>
      <c r="I238" s="35">
        <v>5.0186668895457949</v>
      </c>
      <c r="J238" s="35">
        <v>5.0385183351853708</v>
      </c>
      <c r="K238" s="105">
        <f t="shared" si="9"/>
        <v>2034</v>
      </c>
      <c r="L238" s="3"/>
      <c r="M238" s="3"/>
    </row>
    <row r="239" spans="7:13">
      <c r="G239" s="31">
        <v>49126</v>
      </c>
      <c r="H239" s="35">
        <v>5.3987659183673467</v>
      </c>
      <c r="I239" s="35">
        <v>5.4356228199838075</v>
      </c>
      <c r="J239" s="35">
        <v>5.2408620062632583</v>
      </c>
      <c r="K239" s="105">
        <f t="shared" si="9"/>
        <v>2034</v>
      </c>
      <c r="L239" s="3"/>
      <c r="M239" s="3"/>
    </row>
    <row r="240" spans="7:13">
      <c r="G240" s="31">
        <v>49157</v>
      </c>
      <c r="H240" s="35">
        <v>5.5257046938775511</v>
      </c>
      <c r="I240" s="35">
        <v>5.5237992534551168</v>
      </c>
      <c r="J240" s="35">
        <v>5.3926955248004838</v>
      </c>
      <c r="K240" s="105">
        <f t="shared" si="9"/>
        <v>2034</v>
      </c>
      <c r="L240" s="3"/>
      <c r="M240" s="3"/>
    </row>
    <row r="241" spans="7:13">
      <c r="G241" s="31">
        <v>49188</v>
      </c>
      <c r="H241" s="35">
        <v>5.4463169387755102</v>
      </c>
      <c r="I241" s="35">
        <v>5.4034977217074189</v>
      </c>
      <c r="J241" s="35">
        <v>5.3292547732094144</v>
      </c>
      <c r="K241" s="105">
        <f t="shared" si="9"/>
        <v>2034</v>
      </c>
      <c r="L241" s="3"/>
      <c r="M241" s="3"/>
    </row>
    <row r="242" spans="7:13">
      <c r="G242" s="31">
        <v>49218</v>
      </c>
      <c r="H242" s="35">
        <v>5.4780516326530613</v>
      </c>
      <c r="I242" s="35">
        <v>5.4355712548180355</v>
      </c>
      <c r="J242" s="35">
        <v>5.4389628245277297</v>
      </c>
      <c r="K242" s="105">
        <f t="shared" si="9"/>
        <v>2034</v>
      </c>
      <c r="L242" s="3"/>
      <c r="M242" s="3"/>
    </row>
    <row r="243" spans="7:13">
      <c r="G243" s="31">
        <v>49249</v>
      </c>
      <c r="H243" s="35">
        <v>5.8112148979591831</v>
      </c>
      <c r="I243" s="35">
        <v>5.90863008561674</v>
      </c>
      <c r="J243" s="35">
        <v>5.7359625214668144</v>
      </c>
      <c r="K243" s="105">
        <f t="shared" si="9"/>
        <v>2034</v>
      </c>
      <c r="L243" s="3"/>
      <c r="M243" s="3"/>
    </row>
    <row r="244" spans="7:13">
      <c r="G244" s="31">
        <v>49279</v>
      </c>
      <c r="H244" s="35">
        <v>6.1602965306122446</v>
      </c>
      <c r="I244" s="35">
        <v>6.4297992160813688</v>
      </c>
      <c r="J244" s="35">
        <v>6.028517324982321</v>
      </c>
      <c r="K244" s="105">
        <f t="shared" si="9"/>
        <v>2034</v>
      </c>
      <c r="L244" s="3"/>
      <c r="M244" s="3"/>
    </row>
    <row r="245" spans="7:13">
      <c r="G245" s="31">
        <v>49310</v>
      </c>
      <c r="H245" s="35">
        <v>6.1380516326530614</v>
      </c>
      <c r="I245" s="35">
        <v>6.3696226676246335</v>
      </c>
      <c r="J245" s="35">
        <v>6.0511458733205368</v>
      </c>
      <c r="K245" s="105">
        <f t="shared" si="9"/>
        <v>2035</v>
      </c>
      <c r="L245" s="3"/>
      <c r="M245" s="3"/>
    </row>
    <row r="246" spans="7:13">
      <c r="G246" s="31">
        <v>49341</v>
      </c>
      <c r="H246" s="35">
        <v>6.1219291836734691</v>
      </c>
      <c r="I246" s="35">
        <v>6.2551479996092505</v>
      </c>
      <c r="J246" s="35">
        <v>5.9559847459339315</v>
      </c>
      <c r="K246" s="105">
        <f t="shared" si="9"/>
        <v>2035</v>
      </c>
      <c r="L246" s="3"/>
      <c r="M246" s="3"/>
    </row>
    <row r="247" spans="7:13">
      <c r="G247" s="31">
        <v>49369</v>
      </c>
      <c r="H247" s="35">
        <v>5.6525414285714284</v>
      </c>
      <c r="I247" s="35">
        <v>5.715415409466452</v>
      </c>
      <c r="J247" s="35">
        <v>5.6285779371653692</v>
      </c>
      <c r="K247" s="105">
        <f t="shared" si="9"/>
        <v>2035</v>
      </c>
      <c r="L247" s="3"/>
      <c r="M247" s="3"/>
    </row>
    <row r="248" spans="7:13">
      <c r="G248" s="31">
        <v>49400</v>
      </c>
      <c r="H248" s="35">
        <v>5.3613169387755102</v>
      </c>
      <c r="I248" s="35">
        <v>5.3147025062468378</v>
      </c>
      <c r="J248" s="35">
        <v>5.3743098292756839</v>
      </c>
      <c r="K248" s="105">
        <f t="shared" si="9"/>
        <v>2035</v>
      </c>
      <c r="L248" s="3"/>
      <c r="M248" s="3"/>
    </row>
    <row r="249" spans="7:13">
      <c r="G249" s="31">
        <v>49430</v>
      </c>
      <c r="H249" s="35">
        <v>5.3774393877551017</v>
      </c>
      <c r="I249" s="35">
        <v>5.2738113297890905</v>
      </c>
      <c r="J249" s="35">
        <v>5.3322853823618539</v>
      </c>
      <c r="K249" s="105">
        <f t="shared" si="9"/>
        <v>2035</v>
      </c>
      <c r="L249" s="3"/>
      <c r="M249" s="3"/>
    </row>
    <row r="250" spans="7:13">
      <c r="G250" s="31">
        <v>49461</v>
      </c>
      <c r="H250" s="35">
        <v>5.3774393877551017</v>
      </c>
      <c r="I250" s="35">
        <v>5.2738113297890905</v>
      </c>
      <c r="J250" s="35">
        <v>5.3315782402262855</v>
      </c>
      <c r="K250" s="105">
        <f t="shared" si="9"/>
        <v>2035</v>
      </c>
      <c r="L250" s="3"/>
      <c r="M250" s="3"/>
    </row>
    <row r="251" spans="7:13">
      <c r="G251" s="31">
        <v>49491</v>
      </c>
      <c r="H251" s="35">
        <v>5.587847551020408</v>
      </c>
      <c r="I251" s="35">
        <v>5.6254341951930975</v>
      </c>
      <c r="J251" s="35">
        <v>5.4281536518840277</v>
      </c>
      <c r="K251" s="105">
        <f t="shared" si="9"/>
        <v>2035</v>
      </c>
      <c r="L251" s="3"/>
      <c r="M251" s="3"/>
    </row>
    <row r="252" spans="7:13">
      <c r="G252" s="31">
        <v>49522</v>
      </c>
      <c r="H252" s="35">
        <v>5.7496842857142854</v>
      </c>
      <c r="I252" s="35">
        <v>5.7072165481085921</v>
      </c>
      <c r="J252" s="35">
        <v>5.6144350944539845</v>
      </c>
      <c r="K252" s="105">
        <f t="shared" si="9"/>
        <v>2035</v>
      </c>
      <c r="L252" s="3"/>
      <c r="M252" s="3"/>
    </row>
    <row r="253" spans="7:13">
      <c r="G253" s="31">
        <v>49553</v>
      </c>
      <c r="H253" s="35">
        <v>5.6525414285714284</v>
      </c>
      <c r="I253" s="35">
        <v>5.5682484263511798</v>
      </c>
      <c r="J253" s="35">
        <v>5.5334168097787648</v>
      </c>
      <c r="K253" s="105">
        <f t="shared" si="9"/>
        <v>2035</v>
      </c>
      <c r="L253" s="3"/>
      <c r="M253" s="3"/>
    </row>
    <row r="254" spans="7:13">
      <c r="G254" s="31">
        <v>49583</v>
      </c>
      <c r="H254" s="35">
        <v>5.7011128571428564</v>
      </c>
      <c r="I254" s="35">
        <v>5.5763957225432659</v>
      </c>
      <c r="J254" s="35">
        <v>5.6597932114354981</v>
      </c>
      <c r="K254" s="105">
        <f t="shared" si="9"/>
        <v>2035</v>
      </c>
      <c r="L254" s="3"/>
      <c r="M254" s="3"/>
    </row>
    <row r="255" spans="7:13">
      <c r="G255" s="31">
        <v>49614</v>
      </c>
      <c r="H255" s="35">
        <v>5.9600924489795917</v>
      </c>
      <c r="I255" s="35">
        <v>6.0016536446706823</v>
      </c>
      <c r="J255" s="35">
        <v>5.8833511465804618</v>
      </c>
      <c r="K255" s="105">
        <f t="shared" si="9"/>
        <v>2035</v>
      </c>
      <c r="L255" s="3"/>
      <c r="M255" s="3"/>
    </row>
    <row r="256" spans="7:13">
      <c r="G256" s="31">
        <v>49644</v>
      </c>
      <c r="H256" s="35">
        <v>6.2675414285714286</v>
      </c>
      <c r="I256" s="35">
        <v>6.4759500394479304</v>
      </c>
      <c r="J256" s="35">
        <v>6.1346896656227896</v>
      </c>
      <c r="K256" s="105">
        <f t="shared" si="9"/>
        <v>2035</v>
      </c>
      <c r="L256" s="3"/>
      <c r="M256" s="3"/>
    </row>
    <row r="257" spans="7:13">
      <c r="G257" s="31">
        <v>49675</v>
      </c>
      <c r="H257" s="35">
        <v>6.1785618367346942</v>
      </c>
      <c r="I257" s="35">
        <v>6.3712727529293591</v>
      </c>
      <c r="J257" s="35">
        <v>6.0911499141327399</v>
      </c>
      <c r="K257" s="105">
        <f t="shared" si="9"/>
        <v>2036</v>
      </c>
      <c r="L257" s="3"/>
      <c r="M257" s="3"/>
    </row>
    <row r="258" spans="7:13">
      <c r="G258" s="31">
        <v>49706</v>
      </c>
      <c r="H258" s="35">
        <v>6.1785618367346942</v>
      </c>
      <c r="I258" s="35">
        <v>6.2961938715643155</v>
      </c>
      <c r="J258" s="35">
        <v>6.0120510152540652</v>
      </c>
      <c r="K258" s="105">
        <f t="shared" si="9"/>
        <v>2036</v>
      </c>
      <c r="L258" s="3"/>
      <c r="M258" s="3"/>
    </row>
    <row r="259" spans="7:13">
      <c r="G259" s="31">
        <v>49735</v>
      </c>
      <c r="H259" s="35">
        <v>5.4687659183673469</v>
      </c>
      <c r="I259" s="35">
        <v>5.4703777417146044</v>
      </c>
      <c r="J259" s="35">
        <v>5.4466403677139095</v>
      </c>
      <c r="K259" s="105">
        <f t="shared" si="9"/>
        <v>2036</v>
      </c>
      <c r="L259" s="3"/>
      <c r="M259" s="3"/>
    </row>
    <row r="260" spans="7:13">
      <c r="G260" s="31">
        <v>49766</v>
      </c>
      <c r="H260" s="35">
        <v>5.2046842857142854</v>
      </c>
      <c r="I260" s="35">
        <v>5.1283975623100906</v>
      </c>
      <c r="J260" s="35">
        <v>5.2192436609758559</v>
      </c>
      <c r="K260" s="105">
        <f t="shared" si="9"/>
        <v>2036</v>
      </c>
      <c r="L260" s="3"/>
      <c r="M260" s="3"/>
    </row>
    <row r="261" spans="7:13">
      <c r="G261" s="31">
        <v>49796</v>
      </c>
      <c r="H261" s="35">
        <v>5.1881536734693876</v>
      </c>
      <c r="I261" s="35">
        <v>5.0783793515105762</v>
      </c>
      <c r="J261" s="35">
        <v>5.1447916961309215</v>
      </c>
      <c r="K261" s="105">
        <f t="shared" si="9"/>
        <v>2036</v>
      </c>
      <c r="L261" s="3"/>
      <c r="M261" s="3"/>
    </row>
    <row r="262" spans="7:13">
      <c r="G262" s="31">
        <v>49827</v>
      </c>
      <c r="H262" s="35">
        <v>5.2046842857142854</v>
      </c>
      <c r="I262" s="35">
        <v>5.1117420137655092</v>
      </c>
      <c r="J262" s="35">
        <v>5.1605508637236071</v>
      </c>
      <c r="K262" s="105">
        <f t="shared" si="9"/>
        <v>2036</v>
      </c>
      <c r="L262" s="3"/>
      <c r="M262" s="3"/>
    </row>
    <row r="263" spans="7:13">
      <c r="G263" s="31">
        <v>49857</v>
      </c>
      <c r="H263" s="35">
        <v>5.6008067346938768</v>
      </c>
      <c r="I263" s="35">
        <v>5.5872244073555315</v>
      </c>
      <c r="J263" s="35">
        <v>5.4409832306293557</v>
      </c>
      <c r="K263" s="105">
        <f t="shared" si="9"/>
        <v>2036</v>
      </c>
      <c r="L263" s="3"/>
      <c r="M263" s="3"/>
    </row>
    <row r="264" spans="7:13">
      <c r="G264" s="31">
        <v>49888</v>
      </c>
      <c r="H264" s="35">
        <v>5.6998883673469383</v>
      </c>
      <c r="I264" s="35">
        <v>5.6789588372651547</v>
      </c>
      <c r="J264" s="35">
        <v>5.565137185574299</v>
      </c>
      <c r="K264" s="105">
        <f t="shared" si="9"/>
        <v>2036</v>
      </c>
      <c r="L264" s="3"/>
      <c r="M264" s="3"/>
    </row>
    <row r="265" spans="7:13">
      <c r="G265" s="31">
        <v>49919</v>
      </c>
      <c r="H265" s="35">
        <v>5.5842761224489799</v>
      </c>
      <c r="I265" s="35">
        <v>5.5621637367900014</v>
      </c>
      <c r="J265" s="35">
        <v>5.4658342256793606</v>
      </c>
      <c r="K265" s="105">
        <f t="shared" si="9"/>
        <v>2036</v>
      </c>
      <c r="L265" s="3"/>
      <c r="M265" s="3"/>
    </row>
    <row r="266" spans="7:13">
      <c r="G266" s="31">
        <v>49949</v>
      </c>
      <c r="H266" s="35">
        <v>5.6502965306122448</v>
      </c>
      <c r="I266" s="35">
        <v>5.6205355044446916</v>
      </c>
      <c r="J266" s="35">
        <v>5.6094850995049992</v>
      </c>
      <c r="K266" s="105">
        <f t="shared" si="9"/>
        <v>2036</v>
      </c>
      <c r="L266" s="3"/>
      <c r="M266" s="3"/>
    </row>
    <row r="267" spans="7:13">
      <c r="G267" s="31">
        <v>49980</v>
      </c>
      <c r="H267" s="35">
        <v>5.9969291836734691</v>
      </c>
      <c r="I267" s="35">
        <v>6.0626036706140063</v>
      </c>
      <c r="J267" s="35">
        <v>5.9198194767148191</v>
      </c>
      <c r="K267" s="105">
        <f t="shared" si="9"/>
        <v>2036</v>
      </c>
      <c r="L267" s="3"/>
      <c r="M267" s="3"/>
    </row>
    <row r="268" spans="7:13">
      <c r="G268" s="31">
        <v>50010</v>
      </c>
      <c r="H268" s="35">
        <v>6.3271332653061219</v>
      </c>
      <c r="I268" s="35">
        <v>6.554793177914382</v>
      </c>
      <c r="J268" s="35">
        <v>6.1936855237902808</v>
      </c>
      <c r="K268" s="105">
        <f t="shared" si="9"/>
        <v>2036</v>
      </c>
      <c r="L268" s="3"/>
      <c r="M268" s="3"/>
    </row>
    <row r="269" spans="7:13">
      <c r="G269" s="31">
        <v>50041</v>
      </c>
      <c r="H269" s="35">
        <v>6.3590720408163266</v>
      </c>
      <c r="I269" s="35">
        <v>6.5640233425876939</v>
      </c>
      <c r="J269" s="35">
        <v>6.2699558541266782</v>
      </c>
      <c r="K269" s="105">
        <f t="shared" si="9"/>
        <v>2037</v>
      </c>
      <c r="L269" s="3"/>
      <c r="M269" s="3"/>
    </row>
    <row r="270" spans="7:13">
      <c r="G270" s="31">
        <v>50072</v>
      </c>
      <c r="H270" s="35">
        <v>6.3422353061224488</v>
      </c>
      <c r="I270" s="35">
        <v>6.4703294363787069</v>
      </c>
      <c r="J270" s="35">
        <v>6.1740875846045045</v>
      </c>
      <c r="K270" s="105">
        <f t="shared" si="9"/>
        <v>2037</v>
      </c>
      <c r="L270" s="3"/>
      <c r="M270" s="3"/>
    </row>
    <row r="271" spans="7:13">
      <c r="G271" s="31">
        <v>50100</v>
      </c>
      <c r="H271" s="35">
        <v>5.8029495918367342</v>
      </c>
      <c r="I271" s="35">
        <v>5.8315917279523326</v>
      </c>
      <c r="J271" s="35">
        <v>5.7773808465501562</v>
      </c>
      <c r="K271" s="105">
        <f t="shared" si="9"/>
        <v>2037</v>
      </c>
      <c r="L271" s="3"/>
      <c r="M271" s="3"/>
    </row>
    <row r="272" spans="7:13">
      <c r="G272" s="31">
        <v>50131</v>
      </c>
      <c r="H272" s="35">
        <v>5.6007046938775504</v>
      </c>
      <c r="I272" s="35">
        <v>5.5420533221386501</v>
      </c>
      <c r="J272" s="35">
        <v>5.611303464996463</v>
      </c>
      <c r="K272" s="105">
        <f t="shared" si="9"/>
        <v>2037</v>
      </c>
      <c r="L272" s="3"/>
      <c r="M272" s="3"/>
    </row>
    <row r="273" spans="7:13">
      <c r="G273" s="31">
        <v>50161</v>
      </c>
      <c r="H273" s="35">
        <v>5.5838679591836735</v>
      </c>
      <c r="I273" s="35">
        <v>5.5335450697861548</v>
      </c>
      <c r="J273" s="35">
        <v>5.5365484392362854</v>
      </c>
      <c r="K273" s="105">
        <f t="shared" si="9"/>
        <v>2037</v>
      </c>
      <c r="L273" s="3"/>
      <c r="M273" s="3"/>
    </row>
    <row r="274" spans="7:13">
      <c r="G274" s="31">
        <v>50192</v>
      </c>
      <c r="H274" s="35">
        <v>5.634378163265306</v>
      </c>
      <c r="I274" s="35">
        <v>5.5760863315486286</v>
      </c>
      <c r="J274" s="35">
        <v>5.5859473684210519</v>
      </c>
      <c r="K274" s="105">
        <f t="shared" si="9"/>
        <v>2037</v>
      </c>
      <c r="L274" s="3"/>
      <c r="M274" s="3"/>
    </row>
    <row r="275" spans="7:13">
      <c r="G275" s="31">
        <v>50222</v>
      </c>
      <c r="H275" s="35">
        <v>5.9377455102040821</v>
      </c>
      <c r="I275" s="35">
        <v>6.0019630356653186</v>
      </c>
      <c r="J275" s="35">
        <v>5.7745522780078788</v>
      </c>
      <c r="K275" s="105">
        <f t="shared" si="9"/>
        <v>2037</v>
      </c>
      <c r="L275" s="3"/>
      <c r="M275" s="3"/>
    </row>
    <row r="276" spans="7:13">
      <c r="G276" s="31">
        <v>50253</v>
      </c>
      <c r="H276" s="35">
        <v>6.0725414285714283</v>
      </c>
      <c r="I276" s="35">
        <v>6.121130133766016</v>
      </c>
      <c r="J276" s="35">
        <v>5.9340633397312859</v>
      </c>
      <c r="K276" s="105">
        <f t="shared" si="9"/>
        <v>2037</v>
      </c>
      <c r="L276" s="3"/>
      <c r="M276" s="3"/>
    </row>
    <row r="277" spans="7:13">
      <c r="G277" s="31">
        <v>50284</v>
      </c>
      <c r="H277" s="35">
        <v>5.9377455102040821</v>
      </c>
      <c r="I277" s="35">
        <v>5.9848949657945552</v>
      </c>
      <c r="J277" s="35">
        <v>5.8157685624810576</v>
      </c>
      <c r="K277" s="105">
        <f t="shared" si="9"/>
        <v>2037</v>
      </c>
      <c r="L277" s="3"/>
      <c r="M277" s="3"/>
    </row>
    <row r="278" spans="7:13">
      <c r="G278" s="31">
        <v>50314</v>
      </c>
      <c r="H278" s="35">
        <v>6.005194489795918</v>
      </c>
      <c r="I278" s="35">
        <v>6.001911470499544</v>
      </c>
      <c r="J278" s="35">
        <v>5.9608337205778357</v>
      </c>
      <c r="K278" s="105">
        <f t="shared" si="9"/>
        <v>2037</v>
      </c>
      <c r="L278" s="3"/>
      <c r="M278" s="3"/>
    </row>
    <row r="279" spans="7:13">
      <c r="G279" s="31">
        <v>50345</v>
      </c>
      <c r="H279" s="35">
        <v>6.3422353061224488</v>
      </c>
      <c r="I279" s="35">
        <v>6.4362448618029546</v>
      </c>
      <c r="J279" s="35">
        <v>6.2616721891100102</v>
      </c>
      <c r="K279" s="105">
        <f t="shared" si="9"/>
        <v>2037</v>
      </c>
      <c r="L279" s="3"/>
      <c r="M279" s="3"/>
    </row>
    <row r="280" spans="7:13">
      <c r="G280" s="31">
        <v>50375</v>
      </c>
      <c r="H280" s="35">
        <v>6.7297863265306122</v>
      </c>
      <c r="I280" s="35">
        <v>7.0409495608193504</v>
      </c>
      <c r="J280" s="35">
        <v>6.5923116476411749</v>
      </c>
      <c r="K280" s="105">
        <f t="shared" si="9"/>
        <v>2037</v>
      </c>
      <c r="L280" s="3"/>
      <c r="M280" s="3"/>
    </row>
    <row r="281" spans="7:13">
      <c r="G281" s="31">
        <v>50406</v>
      </c>
      <c r="H281" s="35">
        <v>6.6993781632653056</v>
      </c>
      <c r="I281" s="35">
        <v>6.9707693702027127</v>
      </c>
      <c r="J281" s="35">
        <v>6.6067575512678038</v>
      </c>
      <c r="K281" s="105">
        <f t="shared" ref="K281:K304" si="10">YEAR(G281)</f>
        <v>2038</v>
      </c>
      <c r="L281" s="3"/>
      <c r="M281" s="3"/>
    </row>
    <row r="282" spans="7:13">
      <c r="G282" s="31">
        <v>50437</v>
      </c>
      <c r="H282" s="35">
        <v>6.6993781632653056</v>
      </c>
      <c r="I282" s="35">
        <v>6.8403095007977948</v>
      </c>
      <c r="J282" s="35">
        <v>6.5276586523891291</v>
      </c>
      <c r="K282" s="105">
        <f t="shared" si="10"/>
        <v>2038</v>
      </c>
      <c r="L282" s="3"/>
      <c r="M282" s="3"/>
    </row>
    <row r="283" spans="7:13">
      <c r="G283" s="31">
        <v>50465</v>
      </c>
      <c r="H283" s="35">
        <v>6.1831536734693877</v>
      </c>
      <c r="I283" s="35">
        <v>6.2316342840169021</v>
      </c>
      <c r="J283" s="35">
        <v>6.1537825032831588</v>
      </c>
      <c r="K283" s="105">
        <f t="shared" si="10"/>
        <v>2038</v>
      </c>
      <c r="L283" s="3"/>
      <c r="M283" s="3"/>
    </row>
    <row r="284" spans="7:13">
      <c r="G284" s="31">
        <v>50496</v>
      </c>
      <c r="H284" s="35">
        <v>6.0110108163265306</v>
      </c>
      <c r="I284" s="35">
        <v>5.9794806233884223</v>
      </c>
      <c r="J284" s="35">
        <v>6.0176071320335387</v>
      </c>
      <c r="K284" s="105">
        <f t="shared" si="10"/>
        <v>2038</v>
      </c>
      <c r="L284" s="3"/>
      <c r="M284" s="3"/>
    </row>
    <row r="285" spans="7:13">
      <c r="G285" s="31">
        <v>50526</v>
      </c>
      <c r="H285" s="35">
        <v>5.9766230612244895</v>
      </c>
      <c r="I285" s="35">
        <v>5.9533886495074384</v>
      </c>
      <c r="J285" s="35">
        <v>5.9253755934942918</v>
      </c>
      <c r="K285" s="105">
        <f t="shared" si="10"/>
        <v>2038</v>
      </c>
      <c r="L285" s="3"/>
      <c r="M285" s="3"/>
    </row>
    <row r="286" spans="7:13">
      <c r="G286" s="31">
        <v>50557</v>
      </c>
      <c r="H286" s="35">
        <v>6.0282557142857147</v>
      </c>
      <c r="I286" s="35">
        <v>6.0229500581348052</v>
      </c>
      <c r="J286" s="35">
        <v>5.9758857460349519</v>
      </c>
      <c r="K286" s="105">
        <f t="shared" si="10"/>
        <v>2038</v>
      </c>
      <c r="L286" s="3"/>
      <c r="M286" s="3"/>
    </row>
    <row r="287" spans="7:13">
      <c r="G287" s="31">
        <v>50587</v>
      </c>
      <c r="H287" s="35">
        <v>6.4240720408163261</v>
      </c>
      <c r="I287" s="35">
        <v>6.5011654055107782</v>
      </c>
      <c r="J287" s="35">
        <v>6.2559140317203754</v>
      </c>
      <c r="K287" s="105">
        <f t="shared" si="10"/>
        <v>2038</v>
      </c>
      <c r="L287" s="3"/>
      <c r="M287" s="3"/>
    </row>
    <row r="288" spans="7:13">
      <c r="G288" s="31">
        <v>50618</v>
      </c>
      <c r="H288" s="35">
        <v>6.4756026530612241</v>
      </c>
      <c r="I288" s="35">
        <v>6.5707783793039169</v>
      </c>
      <c r="J288" s="35">
        <v>6.3330935448025043</v>
      </c>
      <c r="K288" s="105">
        <f t="shared" si="10"/>
        <v>2038</v>
      </c>
      <c r="L288" s="3"/>
      <c r="M288" s="3"/>
    </row>
    <row r="289" spans="7:13">
      <c r="G289" s="31">
        <v>50649</v>
      </c>
      <c r="H289" s="35">
        <v>6.3551944897959176</v>
      </c>
      <c r="I289" s="35">
        <v>6.431655562049186</v>
      </c>
      <c r="J289" s="35">
        <v>6.2290426305687436</v>
      </c>
      <c r="K289" s="105">
        <f t="shared" si="10"/>
        <v>2038</v>
      </c>
      <c r="L289" s="3"/>
      <c r="M289" s="3"/>
    </row>
    <row r="290" spans="7:13">
      <c r="G290" s="31">
        <v>50679</v>
      </c>
      <c r="H290" s="35">
        <v>6.4412148979591839</v>
      </c>
      <c r="I290" s="35">
        <v>6.4576959707643971</v>
      </c>
      <c r="J290" s="35">
        <v>6.3924934841903216</v>
      </c>
      <c r="K290" s="105">
        <f t="shared" si="10"/>
        <v>2038</v>
      </c>
      <c r="L290" s="3"/>
      <c r="M290" s="3"/>
    </row>
    <row r="291" spans="7:13">
      <c r="G291" s="31">
        <v>50710</v>
      </c>
      <c r="H291" s="35">
        <v>6.8025414285714287</v>
      </c>
      <c r="I291" s="35">
        <v>6.9272483702905587</v>
      </c>
      <c r="J291" s="35">
        <v>6.7173747853318506</v>
      </c>
      <c r="K291" s="105">
        <f t="shared" si="10"/>
        <v>2038</v>
      </c>
      <c r="L291" s="3"/>
      <c r="M291" s="3"/>
    </row>
    <row r="292" spans="7:13">
      <c r="G292" s="31">
        <v>50740</v>
      </c>
      <c r="H292" s="35">
        <v>7.198357755102041</v>
      </c>
      <c r="I292" s="35">
        <v>7.5098316131904674</v>
      </c>
      <c r="J292" s="35">
        <v>7.0561968885746023</v>
      </c>
      <c r="K292" s="105">
        <f t="shared" si="10"/>
        <v>2038</v>
      </c>
      <c r="L292" s="3"/>
      <c r="M292" s="3"/>
    </row>
    <row r="293" spans="7:13">
      <c r="G293" s="31">
        <v>50771</v>
      </c>
      <c r="H293" s="35">
        <v>7.1565210204081637</v>
      </c>
      <c r="I293" s="35">
        <v>7.4715702601871286</v>
      </c>
      <c r="J293" s="35">
        <v>7.0593285180321228</v>
      </c>
      <c r="K293" s="105">
        <f t="shared" si="10"/>
        <v>2039</v>
      </c>
      <c r="L293" s="3"/>
      <c r="M293" s="3"/>
    </row>
    <row r="294" spans="7:13">
      <c r="G294" s="31">
        <v>50802</v>
      </c>
      <c r="H294" s="35">
        <v>7.1740720408163261</v>
      </c>
      <c r="I294" s="35">
        <v>7.3029006029446419</v>
      </c>
      <c r="J294" s="35">
        <v>6.9976051116274363</v>
      </c>
      <c r="K294" s="105">
        <f t="shared" si="10"/>
        <v>2039</v>
      </c>
      <c r="L294" s="3"/>
      <c r="M294" s="3"/>
    </row>
    <row r="295" spans="7:13">
      <c r="G295" s="31">
        <v>50830</v>
      </c>
      <c r="H295" s="35">
        <v>6.3308067346938781</v>
      </c>
      <c r="I295" s="35">
        <v>6.3973131616445702</v>
      </c>
      <c r="J295" s="35">
        <v>6.2999588847358314</v>
      </c>
      <c r="K295" s="105">
        <f t="shared" si="10"/>
        <v>2039</v>
      </c>
      <c r="L295" s="3"/>
      <c r="M295" s="3"/>
    </row>
    <row r="296" spans="7:13">
      <c r="G296" s="31">
        <v>50861</v>
      </c>
      <c r="H296" s="35">
        <v>6.1024393877551013</v>
      </c>
      <c r="I296" s="35">
        <v>6.122109871915697</v>
      </c>
      <c r="J296" s="35">
        <v>6.10802030508132</v>
      </c>
      <c r="K296" s="105">
        <f t="shared" si="10"/>
        <v>2039</v>
      </c>
      <c r="L296" s="3"/>
      <c r="M296" s="3"/>
    </row>
    <row r="297" spans="7:13">
      <c r="G297" s="31">
        <v>50891</v>
      </c>
      <c r="H297" s="35">
        <v>6.1199904081632646</v>
      </c>
      <c r="I297" s="35">
        <v>6.1842458966717953</v>
      </c>
      <c r="J297" s="35">
        <v>6.0673091221335484</v>
      </c>
      <c r="K297" s="105">
        <f t="shared" si="10"/>
        <v>2039</v>
      </c>
      <c r="L297" s="3"/>
      <c r="M297" s="3"/>
    </row>
    <row r="298" spans="7:13">
      <c r="G298" s="31">
        <v>50922</v>
      </c>
      <c r="H298" s="35">
        <v>6.1901944897959185</v>
      </c>
      <c r="I298" s="35">
        <v>6.2197742958891826</v>
      </c>
      <c r="J298" s="35">
        <v>6.1362049701990093</v>
      </c>
      <c r="K298" s="105">
        <f t="shared" si="10"/>
        <v>2039</v>
      </c>
      <c r="L298" s="3"/>
      <c r="M298" s="3"/>
    </row>
    <row r="299" spans="7:13">
      <c r="G299" s="31">
        <v>50952</v>
      </c>
      <c r="H299" s="35">
        <v>6.6470312244897958</v>
      </c>
      <c r="I299" s="35">
        <v>6.6903064335650235</v>
      </c>
      <c r="J299" s="35">
        <v>6.4766433983230618</v>
      </c>
      <c r="K299" s="105">
        <f t="shared" si="10"/>
        <v>2039</v>
      </c>
      <c r="L299" s="3"/>
      <c r="M299" s="3"/>
    </row>
    <row r="300" spans="7:13">
      <c r="G300" s="31">
        <v>50983</v>
      </c>
      <c r="H300" s="35">
        <v>6.7699904081632649</v>
      </c>
      <c r="I300" s="35">
        <v>6.8767145078333174</v>
      </c>
      <c r="J300" s="35">
        <v>6.6245371249621163</v>
      </c>
      <c r="K300" s="105">
        <f t="shared" si="10"/>
        <v>2039</v>
      </c>
      <c r="L300" s="3"/>
      <c r="M300" s="3"/>
    </row>
    <row r="301" spans="7:13">
      <c r="G301" s="31">
        <v>51014</v>
      </c>
      <c r="H301" s="35">
        <v>6.5591740816326531</v>
      </c>
      <c r="I301" s="35">
        <v>6.7080964157566036</v>
      </c>
      <c r="J301" s="35">
        <v>6.430982220426305</v>
      </c>
      <c r="K301" s="105">
        <f t="shared" si="10"/>
        <v>2039</v>
      </c>
      <c r="L301" s="3"/>
      <c r="M301" s="3"/>
    </row>
    <row r="302" spans="7:13">
      <c r="G302" s="31">
        <v>51044</v>
      </c>
      <c r="H302" s="35">
        <v>6.6294802040816325</v>
      </c>
      <c r="I302" s="35">
        <v>6.7435732498082182</v>
      </c>
      <c r="J302" s="35">
        <v>6.5788759470653586</v>
      </c>
      <c r="K302" s="105">
        <f t="shared" si="10"/>
        <v>2039</v>
      </c>
      <c r="L302" s="3"/>
      <c r="M302" s="3"/>
    </row>
    <row r="303" spans="7:13">
      <c r="G303" s="31">
        <v>51075</v>
      </c>
      <c r="H303" s="35">
        <v>7.0686638775510202</v>
      </c>
      <c r="I303" s="35">
        <v>7.1963669704582536</v>
      </c>
      <c r="J303" s="35">
        <v>6.9808357409839372</v>
      </c>
      <c r="K303" s="105">
        <f t="shared" si="10"/>
        <v>2039</v>
      </c>
      <c r="L303" s="3"/>
      <c r="M303" s="3"/>
    </row>
    <row r="304" spans="7:13">
      <c r="G304" s="31">
        <v>51105</v>
      </c>
      <c r="H304" s="35">
        <v>7.4550924489795918</v>
      </c>
      <c r="I304" s="35">
        <v>7.7734327406204846</v>
      </c>
      <c r="J304" s="35">
        <v>7.3103639761592065</v>
      </c>
      <c r="K304" s="105">
        <f t="shared" si="10"/>
        <v>2039</v>
      </c>
      <c r="L304" s="3"/>
      <c r="M304" s="3"/>
    </row>
    <row r="305" spans="7:13">
      <c r="G305" s="31">
        <v>51136</v>
      </c>
      <c r="H305" s="35">
        <v>7.3967251020408167</v>
      </c>
      <c r="I305" s="35">
        <v>7.7275397430827866</v>
      </c>
      <c r="J305" s="35">
        <v>7.2971303161935541</v>
      </c>
      <c r="K305" s="105">
        <f t="shared" si="9"/>
        <v>2040</v>
      </c>
      <c r="L305" s="3"/>
      <c r="M305" s="3"/>
    </row>
    <row r="306" spans="7:13">
      <c r="G306" s="31">
        <v>51167</v>
      </c>
      <c r="H306" s="35">
        <v>7.4325414285714286</v>
      </c>
      <c r="I306" s="35">
        <v>7.5824353665984212</v>
      </c>
      <c r="J306" s="35">
        <v>7.2535905647035044</v>
      </c>
      <c r="K306" s="105">
        <f t="shared" si="9"/>
        <v>2040</v>
      </c>
      <c r="L306" s="3"/>
      <c r="M306" s="3"/>
    </row>
    <row r="307" spans="7:13">
      <c r="G307" s="31">
        <v>51196</v>
      </c>
      <c r="H307" s="35">
        <v>6.8227455102040819</v>
      </c>
      <c r="I307" s="35">
        <v>6.9479775669311818</v>
      </c>
      <c r="J307" s="35">
        <v>6.7869777755328808</v>
      </c>
      <c r="K307" s="105">
        <f t="shared" si="9"/>
        <v>2040</v>
      </c>
      <c r="L307" s="3"/>
      <c r="M307" s="3"/>
    </row>
    <row r="308" spans="7:13">
      <c r="G308" s="31">
        <v>51227</v>
      </c>
      <c r="H308" s="35">
        <v>6.5177455102040813</v>
      </c>
      <c r="I308" s="35">
        <v>6.5672719480313724</v>
      </c>
      <c r="J308" s="35">
        <v>6.5191729467622981</v>
      </c>
      <c r="K308" s="105">
        <f t="shared" si="9"/>
        <v>2040</v>
      </c>
      <c r="L308" s="3"/>
      <c r="M308" s="3"/>
    </row>
    <row r="309" spans="7:13">
      <c r="G309" s="31">
        <v>51257</v>
      </c>
      <c r="H309" s="35">
        <v>6.5177455102040813</v>
      </c>
      <c r="I309" s="35">
        <v>6.5672719480313724</v>
      </c>
      <c r="J309" s="35">
        <v>6.4610862713405384</v>
      </c>
      <c r="K309" s="105">
        <f t="shared" si="9"/>
        <v>2040</v>
      </c>
      <c r="L309" s="3"/>
      <c r="M309" s="3"/>
    </row>
    <row r="310" spans="7:13">
      <c r="G310" s="31">
        <v>51288</v>
      </c>
      <c r="H310" s="35">
        <v>6.5894802040816325</v>
      </c>
      <c r="I310" s="35">
        <v>6.5581964788553799</v>
      </c>
      <c r="J310" s="35">
        <v>6.531497423982219</v>
      </c>
      <c r="K310" s="105">
        <f t="shared" si="9"/>
        <v>2040</v>
      </c>
      <c r="L310" s="3"/>
      <c r="M310" s="3"/>
    </row>
    <row r="311" spans="7:13">
      <c r="G311" s="31">
        <v>51318</v>
      </c>
      <c r="H311" s="35">
        <v>7.1096842857142857</v>
      </c>
      <c r="I311" s="35">
        <v>7.2108567820403815</v>
      </c>
      <c r="J311" s="35">
        <v>6.9347704818668543</v>
      </c>
      <c r="K311" s="105">
        <f t="shared" si="9"/>
        <v>2040</v>
      </c>
      <c r="L311" s="3"/>
      <c r="M311" s="3"/>
    </row>
    <row r="312" spans="7:13">
      <c r="G312" s="31">
        <v>51349</v>
      </c>
      <c r="H312" s="35">
        <v>7.1635618367346936</v>
      </c>
      <c r="I312" s="35">
        <v>7.3015083434687789</v>
      </c>
      <c r="J312" s="35">
        <v>7.0141724416607731</v>
      </c>
      <c r="K312" s="105">
        <f t="shared" ref="K312:K328" si="11">YEAR(G312)</f>
        <v>2040</v>
      </c>
      <c r="L312" s="3"/>
      <c r="M312" s="3"/>
    </row>
    <row r="313" spans="7:13">
      <c r="G313" s="31">
        <v>51380</v>
      </c>
      <c r="H313" s="35">
        <v>7.0199904081632658</v>
      </c>
      <c r="I313" s="35">
        <v>7.1746064705021766</v>
      </c>
      <c r="J313" s="35">
        <v>6.8871899181735516</v>
      </c>
      <c r="K313" s="105">
        <f t="shared" si="11"/>
        <v>2040</v>
      </c>
      <c r="L313" s="3"/>
      <c r="M313" s="3"/>
    </row>
    <row r="314" spans="7:13">
      <c r="G314" s="31">
        <v>51410</v>
      </c>
      <c r="H314" s="35">
        <v>7.0020312244897962</v>
      </c>
      <c r="I314" s="35">
        <v>7.1292806897879775</v>
      </c>
      <c r="J314" s="35">
        <v>6.9477010809172635</v>
      </c>
      <c r="K314" s="105">
        <f t="shared" si="11"/>
        <v>2040</v>
      </c>
      <c r="L314" s="3"/>
      <c r="M314" s="3"/>
    </row>
    <row r="315" spans="7:13">
      <c r="G315" s="31">
        <v>51441</v>
      </c>
      <c r="H315" s="35">
        <v>7.540194489795919</v>
      </c>
      <c r="I315" s="35">
        <v>7.6822139623685866</v>
      </c>
      <c r="J315" s="35">
        <v>7.4476505707647229</v>
      </c>
      <c r="K315" s="105">
        <f t="shared" si="11"/>
        <v>2040</v>
      </c>
      <c r="L315" s="3"/>
      <c r="M315" s="3"/>
    </row>
    <row r="316" spans="7:13">
      <c r="G316" s="31">
        <v>51471</v>
      </c>
      <c r="H316" s="35">
        <v>7.8092761224489804</v>
      </c>
      <c r="I316" s="35">
        <v>8.2079208274212139</v>
      </c>
      <c r="J316" s="35">
        <v>7.6610054550964728</v>
      </c>
      <c r="K316" s="105">
        <f t="shared" si="11"/>
        <v>2040</v>
      </c>
      <c r="L316" s="3"/>
      <c r="M316" s="3"/>
    </row>
    <row r="317" spans="7:13">
      <c r="G317" s="31">
        <v>51502</v>
      </c>
      <c r="H317" s="35">
        <v>7.5596842857142859</v>
      </c>
      <c r="I317" s="35">
        <v>7.8967766171487712</v>
      </c>
      <c r="J317" s="35">
        <v>7.4585607637135052</v>
      </c>
      <c r="K317" s="105">
        <f t="shared" si="11"/>
        <v>2041</v>
      </c>
      <c r="L317" s="3"/>
      <c r="M317" s="3"/>
    </row>
    <row r="318" spans="7:13">
      <c r="G318" s="31">
        <v>51533</v>
      </c>
      <c r="H318" s="35">
        <v>7.5963169387755105</v>
      </c>
      <c r="I318" s="35">
        <v>7.7486298958838171</v>
      </c>
      <c r="J318" s="35">
        <v>7.4156271340539437</v>
      </c>
      <c r="K318" s="105">
        <f t="shared" si="11"/>
        <v>2041</v>
      </c>
      <c r="L318" s="3"/>
      <c r="M318" s="3"/>
    </row>
    <row r="319" spans="7:13">
      <c r="G319" s="31">
        <v>51561</v>
      </c>
      <c r="H319" s="35">
        <v>6.9730516326530614</v>
      </c>
      <c r="I319" s="35">
        <v>7.1001463711264048</v>
      </c>
      <c r="J319" s="35">
        <v>6.9358817052227488</v>
      </c>
      <c r="K319" s="105">
        <f t="shared" si="11"/>
        <v>2041</v>
      </c>
      <c r="L319" s="3"/>
      <c r="M319" s="3"/>
    </row>
    <row r="320" spans="7:13">
      <c r="G320" s="31">
        <v>51592</v>
      </c>
      <c r="H320" s="35">
        <v>6.6614189795918373</v>
      </c>
      <c r="I320" s="35">
        <v>6.7110356302056475</v>
      </c>
      <c r="J320" s="35">
        <v>6.6614095363167989</v>
      </c>
      <c r="K320" s="105">
        <f t="shared" si="11"/>
        <v>2041</v>
      </c>
      <c r="L320" s="3"/>
      <c r="M320" s="3"/>
    </row>
    <row r="321" spans="7:13">
      <c r="G321" s="31">
        <v>51622</v>
      </c>
      <c r="H321" s="35">
        <v>6.6614189795918373</v>
      </c>
      <c r="I321" s="35">
        <v>6.7110871953714204</v>
      </c>
      <c r="J321" s="35">
        <v>6.6033228608950392</v>
      </c>
      <c r="K321" s="105">
        <f t="shared" si="11"/>
        <v>2041</v>
      </c>
      <c r="L321" s="3"/>
      <c r="M321" s="3"/>
    </row>
    <row r="322" spans="7:13">
      <c r="G322" s="31">
        <v>51653</v>
      </c>
      <c r="H322" s="35">
        <v>6.734786326530612</v>
      </c>
      <c r="I322" s="35">
        <v>6.7018054655323365</v>
      </c>
      <c r="J322" s="35">
        <v>6.6752493181129404</v>
      </c>
      <c r="K322" s="105">
        <f t="shared" si="11"/>
        <v>2041</v>
      </c>
      <c r="L322" s="3"/>
      <c r="M322" s="3"/>
    </row>
    <row r="323" spans="7:13">
      <c r="G323" s="31">
        <v>51683</v>
      </c>
      <c r="H323" s="35">
        <v>7.2663169387755095</v>
      </c>
      <c r="I323" s="35">
        <v>7.3688008848021465</v>
      </c>
      <c r="J323" s="35">
        <v>7.0898366501666832</v>
      </c>
      <c r="K323" s="105">
        <f t="shared" si="11"/>
        <v>2041</v>
      </c>
      <c r="L323" s="3"/>
      <c r="M323" s="3"/>
    </row>
    <row r="324" spans="7:13">
      <c r="G324" s="31">
        <v>51714</v>
      </c>
      <c r="H324" s="35">
        <v>7.3213169387755102</v>
      </c>
      <c r="I324" s="35">
        <v>7.4614119225299058</v>
      </c>
      <c r="J324" s="35">
        <v>7.1703498333164957</v>
      </c>
      <c r="K324" s="105">
        <f t="shared" si="11"/>
        <v>2041</v>
      </c>
      <c r="L324" s="3"/>
      <c r="M324" s="3"/>
    </row>
    <row r="325" spans="7:13">
      <c r="G325" s="31">
        <v>51745</v>
      </c>
      <c r="H325" s="35">
        <v>7.1746842857142861</v>
      </c>
      <c r="I325" s="35">
        <v>7.3317255306115783</v>
      </c>
      <c r="J325" s="35">
        <v>7.0403367006768347</v>
      </c>
      <c r="K325" s="105">
        <f t="shared" si="11"/>
        <v>2041</v>
      </c>
      <c r="L325" s="3"/>
      <c r="M325" s="3"/>
    </row>
    <row r="326" spans="7:13">
      <c r="G326" s="31">
        <v>51775</v>
      </c>
      <c r="H326" s="35">
        <v>7.1564189795918374</v>
      </c>
      <c r="I326" s="35">
        <v>7.2854200117476982</v>
      </c>
      <c r="J326" s="35">
        <v>7.1005448025053024</v>
      </c>
      <c r="K326" s="105">
        <f t="shared" si="11"/>
        <v>2041</v>
      </c>
      <c r="L326" s="3"/>
      <c r="M326" s="3"/>
    </row>
    <row r="327" spans="7:13">
      <c r="G327" s="31">
        <v>51806</v>
      </c>
      <c r="H327" s="35">
        <v>7.7063169387755108</v>
      </c>
      <c r="I327" s="35">
        <v>7.8504710982848902</v>
      </c>
      <c r="J327" s="35">
        <v>7.6121116274371134</v>
      </c>
      <c r="K327" s="105">
        <f t="shared" si="11"/>
        <v>2041</v>
      </c>
      <c r="L327" s="3"/>
      <c r="M327" s="3"/>
    </row>
    <row r="328" spans="7:13">
      <c r="G328" s="31">
        <v>51836</v>
      </c>
      <c r="H328" s="35">
        <v>7.9813169387755103</v>
      </c>
      <c r="I328" s="35">
        <v>8.3877801256363735</v>
      </c>
      <c r="J328" s="35">
        <v>7.8313256894635819</v>
      </c>
      <c r="K328" s="105">
        <f t="shared" si="11"/>
        <v>2041</v>
      </c>
      <c r="L328" s="3"/>
      <c r="M328" s="3"/>
    </row>
    <row r="329" spans="7:13">
      <c r="G329" s="31">
        <v>51867</v>
      </c>
      <c r="H329" s="35">
        <v>7.726214897959184</v>
      </c>
      <c r="I329" s="35">
        <v>8.0698293134819359</v>
      </c>
      <c r="J329" s="35">
        <v>7.6234259016062218</v>
      </c>
      <c r="K329" s="105">
        <f t="shared" ref="K329:K340" si="12">YEAR(G329)</f>
        <v>2042</v>
      </c>
    </row>
    <row r="330" spans="7:13">
      <c r="G330" s="31">
        <v>51898</v>
      </c>
      <c r="H330" s="35">
        <v>7.7636638775510205</v>
      </c>
      <c r="I330" s="35">
        <v>7.9183824216075305</v>
      </c>
      <c r="J330" s="35">
        <v>7.5814014546923918</v>
      </c>
      <c r="K330" s="105">
        <f t="shared" si="12"/>
        <v>2042</v>
      </c>
    </row>
    <row r="331" spans="7:13">
      <c r="G331" s="31">
        <v>51926</v>
      </c>
      <c r="H331" s="35">
        <v>7.1267251020408162</v>
      </c>
      <c r="I331" s="35">
        <v>7.2556153459310799</v>
      </c>
      <c r="J331" s="35">
        <v>7.0880182846752193</v>
      </c>
      <c r="K331" s="105">
        <f t="shared" si="12"/>
        <v>2042</v>
      </c>
    </row>
    <row r="332" spans="7:13">
      <c r="G332" s="31">
        <v>51957</v>
      </c>
      <c r="H332" s="35">
        <v>6.8082557142857141</v>
      </c>
      <c r="I332" s="35">
        <v>6.8579963526578283</v>
      </c>
      <c r="J332" s="35">
        <v>6.8067777553288202</v>
      </c>
      <c r="K332" s="105">
        <f t="shared" si="12"/>
        <v>2042</v>
      </c>
    </row>
    <row r="333" spans="7:13">
      <c r="G333" s="31">
        <v>51987</v>
      </c>
      <c r="H333" s="35">
        <v>6.8082557142857141</v>
      </c>
      <c r="I333" s="35">
        <v>6.8579963526578283</v>
      </c>
      <c r="J333" s="35">
        <v>6.7486910799070605</v>
      </c>
      <c r="K333" s="105">
        <f t="shared" si="12"/>
        <v>2042</v>
      </c>
    </row>
    <row r="334" spans="7:13">
      <c r="G334" s="31">
        <v>52018</v>
      </c>
      <c r="H334" s="35">
        <v>6.8831536734693879</v>
      </c>
      <c r="I334" s="35">
        <v>6.848508362155652</v>
      </c>
      <c r="J334" s="35">
        <v>6.8222338620062626</v>
      </c>
      <c r="K334" s="105">
        <f t="shared" si="12"/>
        <v>2042</v>
      </c>
    </row>
    <row r="335" spans="7:13">
      <c r="G335" s="31">
        <v>52048</v>
      </c>
      <c r="H335" s="35">
        <v>7.4265210204081633</v>
      </c>
      <c r="I335" s="35">
        <v>7.5301998536706822</v>
      </c>
      <c r="J335" s="35">
        <v>7.2483375088392759</v>
      </c>
      <c r="K335" s="105">
        <f t="shared" si="12"/>
        <v>2042</v>
      </c>
    </row>
    <row r="336" spans="7:13">
      <c r="G336" s="31">
        <v>52079</v>
      </c>
      <c r="H336" s="35">
        <v>7.4826434693877557</v>
      </c>
      <c r="I336" s="35">
        <v>7.6248734980293502</v>
      </c>
      <c r="J336" s="35">
        <v>7.3300629356500648</v>
      </c>
      <c r="K336" s="105">
        <f t="shared" si="12"/>
        <v>2042</v>
      </c>
    </row>
    <row r="337" spans="7:11">
      <c r="G337" s="31">
        <v>52110</v>
      </c>
      <c r="H337" s="35">
        <v>0</v>
      </c>
      <c r="I337" s="35">
        <v>0</v>
      </c>
      <c r="J337" s="35">
        <v>0</v>
      </c>
      <c r="K337" s="105">
        <f t="shared" si="12"/>
        <v>2042</v>
      </c>
    </row>
    <row r="338" spans="7:11">
      <c r="G338" s="31">
        <v>52140</v>
      </c>
      <c r="H338" s="35">
        <v>0</v>
      </c>
      <c r="I338" s="35">
        <v>0</v>
      </c>
      <c r="J338" s="35">
        <v>0</v>
      </c>
      <c r="K338" s="105">
        <f t="shared" si="12"/>
        <v>2042</v>
      </c>
    </row>
    <row r="339" spans="7:11">
      <c r="G339" s="31">
        <v>52171</v>
      </c>
      <c r="H339" s="35">
        <v>0</v>
      </c>
      <c r="I339" s="35">
        <v>0</v>
      </c>
      <c r="J339" s="35">
        <v>0</v>
      </c>
      <c r="K339" s="105">
        <f t="shared" si="12"/>
        <v>2042</v>
      </c>
    </row>
    <row r="340" spans="7:11">
      <c r="G340" s="31">
        <v>52201</v>
      </c>
      <c r="H340" s="35">
        <v>0</v>
      </c>
      <c r="I340" s="35">
        <v>0</v>
      </c>
      <c r="J340" s="35">
        <v>0</v>
      </c>
      <c r="K340" s="105">
        <f t="shared" si="12"/>
        <v>2042</v>
      </c>
    </row>
    <row r="341" spans="7:11">
      <c r="G341" s="31">
        <v>0</v>
      </c>
      <c r="H341" s="35" t="e">
        <v>#N/A</v>
      </c>
      <c r="I341" s="35" t="e">
        <v>#N/A</v>
      </c>
      <c r="J341" s="35" t="e">
        <v>#N/A</v>
      </c>
      <c r="K341" s="105">
        <f t="shared" ref="K341:K343" si="13">YEAR(G341)</f>
        <v>1900</v>
      </c>
    </row>
    <row r="342" spans="7:11">
      <c r="G342" s="31">
        <v>0</v>
      </c>
      <c r="H342" s="35" t="e">
        <v>#N/A</v>
      </c>
      <c r="I342" s="35" t="e">
        <v>#N/A</v>
      </c>
      <c r="J342" s="35" t="e">
        <v>#N/A</v>
      </c>
      <c r="K342" s="105">
        <f t="shared" si="13"/>
        <v>1900</v>
      </c>
    </row>
    <row r="343" spans="7:11">
      <c r="G343" s="31">
        <v>0</v>
      </c>
      <c r="H343" s="35" t="e">
        <v>#N/A</v>
      </c>
      <c r="I343" s="35" t="e">
        <v>#N/A</v>
      </c>
      <c r="J343" s="35" t="e">
        <v>#N/A</v>
      </c>
      <c r="K343" s="105">
        <f t="shared" si="13"/>
        <v>1900</v>
      </c>
    </row>
    <row r="344" spans="7:11">
      <c r="G344" s="31"/>
      <c r="H344" s="35"/>
      <c r="K344" s="105"/>
    </row>
    <row r="345" spans="7:11">
      <c r="G345" s="31"/>
      <c r="H345" s="35"/>
      <c r="K345" s="105"/>
    </row>
  </sheetData>
  <phoneticPr fontId="8" type="noConversion"/>
  <printOptions horizontalCentered="1"/>
  <pageMargins left="0.25" right="0.25" top="0.75" bottom="0.75" header="0.3" footer="0.3"/>
  <pageSetup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266"/>
  <sheetViews>
    <sheetView view="pageBreakPreview" topLeftCell="A2" zoomScale="60" zoomScaleNormal="80" workbookViewId="0">
      <selection activeCell="D18" sqref="D18"/>
    </sheetView>
  </sheetViews>
  <sheetFormatPr defaultColWidth="9.33203125" defaultRowHeight="12.75" outlineLevelRow="1"/>
  <cols>
    <col min="1" max="1" width="18.5" style="56" customWidth="1"/>
    <col min="2" max="2" width="22.83203125" style="56" customWidth="1"/>
    <col min="3" max="3" width="18.1640625" style="56" customWidth="1"/>
    <col min="4" max="4" width="16.1640625" style="56" customWidth="1"/>
    <col min="5" max="5" width="18.5" style="56" customWidth="1"/>
    <col min="6" max="7" width="16.1640625" style="56" customWidth="1"/>
    <col min="8" max="8" width="3.83203125" style="56" customWidth="1"/>
    <col min="9" max="9" width="9.5" style="56" customWidth="1"/>
    <col min="10" max="11" width="10" style="56" customWidth="1"/>
    <col min="12" max="12" width="9.33203125" style="56" customWidth="1"/>
    <col min="13" max="13" width="21.1640625" style="56" customWidth="1"/>
    <col min="14" max="14" width="13.83203125" style="56" customWidth="1"/>
    <col min="15" max="15" width="16" style="56" customWidth="1"/>
    <col min="16" max="16" width="28.6640625" style="56" customWidth="1"/>
    <col min="17" max="17" width="28" style="56" customWidth="1"/>
    <col min="18" max="18" width="13.6640625" style="56" customWidth="1"/>
    <col min="19" max="19" width="16" style="56" customWidth="1"/>
    <col min="20" max="20" width="15.1640625" style="56" bestFit="1" customWidth="1"/>
    <col min="21" max="16384" width="9.33203125" style="56"/>
  </cols>
  <sheetData>
    <row r="1" spans="1:18" s="3" customFormat="1" ht="15.75" hidden="1">
      <c r="B1" s="1" t="s">
        <v>37</v>
      </c>
      <c r="C1" s="1"/>
      <c r="D1" s="11"/>
      <c r="E1" s="11"/>
      <c r="F1" s="11"/>
      <c r="G1" s="11"/>
      <c r="H1" s="32"/>
      <c r="I1" s="95"/>
      <c r="J1" s="95"/>
      <c r="K1" s="95"/>
    </row>
    <row r="2" spans="1:18" ht="5.25" customHeight="1"/>
    <row r="3" spans="1:18" ht="15.75">
      <c r="B3" s="1" t="str">
        <f>"Table "&amp;RIGHT('Table 4'!B3,1)+1</f>
        <v>Table 5</v>
      </c>
      <c r="C3" s="84"/>
      <c r="D3" s="84"/>
      <c r="E3" s="84"/>
      <c r="F3" s="84"/>
      <c r="G3" s="84"/>
      <c r="M3" s="56" t="s">
        <v>57</v>
      </c>
      <c r="O3" s="119"/>
    </row>
    <row r="4" spans="1:18">
      <c r="B4" s="84" t="str">
        <f ca="1">'Table 1'!B5</f>
        <v>Utah 2018.Q2_Wind - 80.0 MW and 31.0% CF</v>
      </c>
      <c r="C4" s="84"/>
      <c r="D4" s="84"/>
      <c r="E4" s="84"/>
      <c r="F4" s="84"/>
      <c r="G4" s="84"/>
      <c r="K4" s="56">
        <f>MIN(K13:K24)</f>
        <v>43101</v>
      </c>
      <c r="M4" s="57" t="s">
        <v>179</v>
      </c>
      <c r="P4" s="108" t="s">
        <v>170</v>
      </c>
      <c r="Q4" s="108" t="s">
        <v>171</v>
      </c>
      <c r="R4" s="108" t="s">
        <v>172</v>
      </c>
    </row>
    <row r="5" spans="1:18">
      <c r="B5" s="84" t="str">
        <f>TEXT($K$5,"MMMM YYYY")&amp;"  through  "&amp;TEXT($K$6,"MMMM YYYY")</f>
        <v>January 2018  through  December 2037</v>
      </c>
      <c r="C5" s="84"/>
      <c r="D5" s="84"/>
      <c r="E5" s="84"/>
      <c r="F5" s="84"/>
      <c r="G5" s="84"/>
      <c r="J5" s="56" t="s">
        <v>40</v>
      </c>
      <c r="K5" s="211">
        <f>MIN(K13:K24)</f>
        <v>43101</v>
      </c>
      <c r="M5" s="56" t="s">
        <v>41</v>
      </c>
      <c r="O5" s="3" t="s">
        <v>100</v>
      </c>
      <c r="P5" s="5">
        <f>MATCH('Table 5'!K5,'Table 5'!$B$12:$B$264,FALSE)+ROW('Table 5'!$B$11)</f>
        <v>13</v>
      </c>
      <c r="Q5" s="5">
        <f>P5+12</f>
        <v>25</v>
      </c>
      <c r="R5" s="5">
        <f>Q5</f>
        <v>25</v>
      </c>
    </row>
    <row r="6" spans="1:18">
      <c r="B6" s="84" t="s">
        <v>42</v>
      </c>
      <c r="C6" s="84"/>
      <c r="D6" s="84"/>
      <c r="E6" s="84"/>
      <c r="F6" s="84"/>
      <c r="G6" s="84"/>
      <c r="J6" s="56" t="s">
        <v>43</v>
      </c>
      <c r="K6" s="211">
        <f>EDATE(K5,20*12-1)</f>
        <v>50375</v>
      </c>
      <c r="M6" s="57">
        <v>80</v>
      </c>
      <c r="N6" s="56" t="s">
        <v>34</v>
      </c>
      <c r="O6" s="5" t="s">
        <v>101</v>
      </c>
      <c r="P6">
        <f>P5+179</f>
        <v>192</v>
      </c>
      <c r="Q6" s="56">
        <f>P6+12</f>
        <v>204</v>
      </c>
      <c r="R6" s="56">
        <f>Q6+5*12</f>
        <v>264</v>
      </c>
    </row>
    <row r="7" spans="1:18">
      <c r="A7" s="108" t="str">
        <f>"15 Year Starting "&amp;YEAR($K$5)+1</f>
        <v>15 Year Starting 2019</v>
      </c>
      <c r="B7" s="191"/>
      <c r="C7" s="58">
        <f ca="1">NPV($K$9,INDIRECT("C"&amp;$Q$5&amp;":C"&amp;$Q$6))</f>
        <v>41557857.40394032</v>
      </c>
      <c r="D7" s="58">
        <f ca="1">NPV($K$9,INDIRECT("d"&amp;$Q$5&amp;":d"&amp;$Q$6))</f>
        <v>4672628.5905102799</v>
      </c>
      <c r="E7" s="58">
        <f ca="1">NPV($K$9,INDIRECT("e"&amp;$Q$5&amp;":e"&amp;$Q$6))</f>
        <v>46230485.994450584</v>
      </c>
      <c r="F7" s="58">
        <f ca="1">NPV($K$9,INDIRECT("f"&amp;$Q$5&amp;":f"&amp;$Q$6))</f>
        <v>2049533.6823251976</v>
      </c>
      <c r="G7" s="92">
        <f ca="1">($C7+D7)/$F7</f>
        <v>22.556587575570887</v>
      </c>
      <c r="M7" s="112">
        <f ca="1">SUM(OFFSET(F12,MATCH(K5,B13:B24,0),0,12))/(EDATE(K5,12)-K5)/24/Study_MW</f>
        <v>0.31003504566210044</v>
      </c>
      <c r="N7" s="89" t="s">
        <v>36</v>
      </c>
    </row>
    <row r="8" spans="1:18">
      <c r="A8" s="108"/>
      <c r="B8" s="108" t="str">
        <f>"Nominal NPV at "&amp;TEXT(J9,"0.00%")&amp;" Discount Rate"</f>
        <v>Nominal NPV at 6.91% Discount Rate</v>
      </c>
      <c r="J8" s="56" t="str">
        <f>'Table 1'!I38</f>
        <v>Discount Rate - 2017 IRP Update</v>
      </c>
    </row>
    <row r="9" spans="1:18">
      <c r="A9" s="108" t="str">
        <f>"15 Year Starting "&amp;YEAR($K$5)</f>
        <v>15 Year Starting 2018</v>
      </c>
      <c r="C9" s="58">
        <f ca="1">NPV($K$9,INDIRECT("C"&amp;$P$5&amp;":C"&amp;$P$6))</f>
        <v>43314823.08828833</v>
      </c>
      <c r="D9" s="58">
        <f ca="1">NPV($K$9,INDIRECT("d"&amp;$P$5&amp;":d"&amp;$P$6))</f>
        <v>0</v>
      </c>
      <c r="E9" s="58">
        <f ca="1">NPV($K$9,INDIRECT("e"&amp;$P$5&amp;":e"&amp;$P$6))</f>
        <v>43314823.08828833</v>
      </c>
      <c r="F9" s="58">
        <f ca="1">NPV($K$9,INDIRECT("f"&amp;$P$5&amp;":f"&amp;$P$6))</f>
        <v>2049426.5205098779</v>
      </c>
      <c r="G9" s="92">
        <f ca="1">($C9+D9)/$F9</f>
        <v>21.135094454380347</v>
      </c>
      <c r="J9" s="111">
        <f>'Table 1'!I39</f>
        <v>6.9099999999999995E-2</v>
      </c>
      <c r="K9" s="94">
        <f>((1+J9)^(1/12))-1</f>
        <v>5.5836284214501042E-3</v>
      </c>
    </row>
    <row r="10" spans="1:18">
      <c r="A10" s="108" t="str">
        <f>"20 Year Starting "&amp;YEAR($K$5)+1</f>
        <v>20 Year Starting 2019</v>
      </c>
      <c r="C10" s="58">
        <f ca="1">NPV($K$9,INDIRECT("C"&amp;$R$5&amp;":C"&amp;$R$6))</f>
        <v>39084044.169777736</v>
      </c>
      <c r="D10" s="58">
        <f ca="1">NPV($K$9,INDIRECT("d"&amp;$R$5&amp;":d"&amp;$R$6))</f>
        <v>21317859.654582389</v>
      </c>
      <c r="E10" s="58">
        <f ca="1">NPV($K$9,INDIRECT("e"&amp;$R$5&amp;":e"&amp;$R$6))</f>
        <v>60401903.824360095</v>
      </c>
      <c r="F10" s="58">
        <f ca="1">NPV($K$9,INDIRECT("f"&amp;$R$5&amp;":f"&amp;$R$6))</f>
        <v>2381884.4281285182</v>
      </c>
      <c r="G10" s="92">
        <f ca="1">($C10+D10)/$F10</f>
        <v>25.358872626670134</v>
      </c>
      <c r="N10" s="59"/>
    </row>
    <row r="11" spans="1:18">
      <c r="B11" s="93"/>
      <c r="C11" s="61" t="s">
        <v>19</v>
      </c>
      <c r="D11" s="62" t="s">
        <v>44</v>
      </c>
      <c r="E11" s="62" t="s">
        <v>45</v>
      </c>
      <c r="F11" s="62" t="s">
        <v>45</v>
      </c>
      <c r="G11" s="63" t="s">
        <v>53</v>
      </c>
    </row>
    <row r="12" spans="1:18">
      <c r="B12" s="67" t="s">
        <v>46</v>
      </c>
      <c r="C12" s="61" t="s">
        <v>47</v>
      </c>
      <c r="D12" s="65" t="str">
        <f>TEXT((SUM(F25:F72)/(8760*3+8784))/Study_MW,"0.0%")&amp;" CF"</f>
        <v>31.0% CF</v>
      </c>
      <c r="E12" s="66" t="s">
        <v>52</v>
      </c>
      <c r="F12" s="67" t="s">
        <v>48</v>
      </c>
      <c r="G12" s="65" t="str">
        <f>D12</f>
        <v>31.0% CF</v>
      </c>
      <c r="I12" s="62" t="s">
        <v>49</v>
      </c>
      <c r="J12" s="68" t="s">
        <v>0</v>
      </c>
      <c r="K12" s="68" t="s">
        <v>50</v>
      </c>
      <c r="L12" s="68" t="s">
        <v>49</v>
      </c>
      <c r="M12" s="68"/>
      <c r="N12" s="63"/>
      <c r="P12" s="56" t="s">
        <v>45</v>
      </c>
      <c r="Q12" s="56" t="s">
        <v>85</v>
      </c>
      <c r="R12" s="56" t="s">
        <v>86</v>
      </c>
    </row>
    <row r="13" spans="1:18">
      <c r="B13" s="74">
        <v>43101</v>
      </c>
      <c r="C13" s="69">
        <v>297999.3797455579</v>
      </c>
      <c r="D13" s="70">
        <f>IF(ISNUMBER($F13),VLOOKUP($J13,'Table 1'!$B$13:$C$33,2,FALSE)/12*1000*Study_MW,"")</f>
        <v>0</v>
      </c>
      <c r="E13" s="71">
        <f>IF(ISNUMBER(C13+D13),C13+D13,"")</f>
        <v>297999.3797455579</v>
      </c>
      <c r="F13" s="69">
        <v>16504.64</v>
      </c>
      <c r="G13" s="72">
        <f>IF(ISNUMBER($F13),E13/$F13,"")</f>
        <v>18.055491046491042</v>
      </c>
      <c r="I13" s="60">
        <v>1</v>
      </c>
      <c r="J13" s="73">
        <f>YEAR(B13)</f>
        <v>2018</v>
      </c>
      <c r="K13" s="74">
        <f t="shared" ref="K13:K24" si="0">IF(ISNUMBER(F13),B13,"")</f>
        <v>43101</v>
      </c>
      <c r="L13" s="56">
        <v>283</v>
      </c>
      <c r="M13" s="56" t="s">
        <v>51</v>
      </c>
    </row>
    <row r="14" spans="1:18">
      <c r="B14" s="78">
        <f t="shared" ref="B14:B77" si="1">EDATE(B13,1)</f>
        <v>43132</v>
      </c>
      <c r="C14" s="75">
        <v>217587.32058846951</v>
      </c>
      <c r="D14" s="71">
        <f>IF(ISNUMBER($F14),VLOOKUP($J14,'Table 1'!$B$13:$C$33,2,FALSE)/12*1000*Study_MW,"")</f>
        <v>0</v>
      </c>
      <c r="E14" s="71">
        <f t="shared" ref="E14:E22" si="2">IF(ISNUMBER(C14+D14),C14+D14,"")</f>
        <v>217587.32058846951</v>
      </c>
      <c r="F14" s="75">
        <v>13801.92</v>
      </c>
      <c r="G14" s="76">
        <f t="shared" ref="G14:G77" si="3">IF(ISNUMBER($F14),E14/$F14,"")</f>
        <v>15.76500375226559</v>
      </c>
      <c r="I14" s="77">
        <f>I13+1</f>
        <v>2</v>
      </c>
      <c r="J14" s="73">
        <f t="shared" ref="J14:J77" si="4">YEAR(B14)</f>
        <v>2018</v>
      </c>
      <c r="K14" s="78">
        <f t="shared" si="0"/>
        <v>43132</v>
      </c>
      <c r="L14" s="56">
        <v>379</v>
      </c>
      <c r="M14" s="91" t="s">
        <v>178</v>
      </c>
    </row>
    <row r="15" spans="1:18">
      <c r="B15" s="78">
        <f t="shared" si="1"/>
        <v>43160</v>
      </c>
      <c r="C15" s="75">
        <v>260164.4574162066</v>
      </c>
      <c r="D15" s="71">
        <f>IF(ISNUMBER($F15),VLOOKUP($J15,'Table 1'!$B$13:$C$33,2,FALSE)/12*1000*Study_MW,"")</f>
        <v>0</v>
      </c>
      <c r="E15" s="71">
        <f t="shared" si="2"/>
        <v>260164.4574162066</v>
      </c>
      <c r="F15" s="75">
        <v>16861.52</v>
      </c>
      <c r="G15" s="76">
        <f t="shared" si="3"/>
        <v>15.429478327944729</v>
      </c>
      <c r="I15" s="77">
        <f t="shared" ref="I15:I24" si="5">I14+1</f>
        <v>3</v>
      </c>
      <c r="J15" s="73">
        <f t="shared" si="4"/>
        <v>2018</v>
      </c>
      <c r="K15" s="78">
        <f t="shared" si="0"/>
        <v>43160</v>
      </c>
    </row>
    <row r="16" spans="1:18">
      <c r="B16" s="78">
        <f t="shared" si="1"/>
        <v>43191</v>
      </c>
      <c r="C16" s="75">
        <v>199299.68462456763</v>
      </c>
      <c r="D16" s="71">
        <f>IF(ISNUMBER($F16),VLOOKUP($J16,'Table 1'!$B$13:$C$33,2,FALSE)/12*1000*Study_MW,"")</f>
        <v>0</v>
      </c>
      <c r="E16" s="71">
        <f t="shared" si="2"/>
        <v>199299.68462456763</v>
      </c>
      <c r="F16" s="75">
        <v>14482.48</v>
      </c>
      <c r="G16" s="76">
        <f t="shared" si="3"/>
        <v>13.761433444034974</v>
      </c>
      <c r="I16" s="77">
        <f t="shared" si="5"/>
        <v>4</v>
      </c>
      <c r="J16" s="73">
        <f t="shared" si="4"/>
        <v>2018</v>
      </c>
      <c r="K16" s="78">
        <f t="shared" si="0"/>
        <v>43191</v>
      </c>
      <c r="L16" s="73">
        <f>YEAR(B13)</f>
        <v>2018</v>
      </c>
      <c r="M16" s="56">
        <f>SUMIF($J$13:$J$264,L16,$C$13:$C$264)</f>
        <v>4092522.3758257627</v>
      </c>
      <c r="N16" s="56">
        <f>SUMIF($J$13:$J$264,L16,$D$13:$D$264)</f>
        <v>0</v>
      </c>
      <c r="O16" s="56">
        <f t="shared" ref="O16:O25" si="6">SUMIF($J$13:$J$264,L16,$F$13:$F$264)</f>
        <v>217272.55999999997</v>
      </c>
      <c r="P16" s="118">
        <f t="shared" ref="P16:P25" si="7">(M16+N16)/O16</f>
        <v>18.835891544821688</v>
      </c>
      <c r="Q16" s="181">
        <f>M16/O16</f>
        <v>18.835891544821688</v>
      </c>
      <c r="R16" s="181">
        <f>IFERROR(N16/O16,0)</f>
        <v>0</v>
      </c>
    </row>
    <row r="17" spans="2:18">
      <c r="B17" s="78">
        <f t="shared" si="1"/>
        <v>43221</v>
      </c>
      <c r="C17" s="75">
        <v>185996.60667029023</v>
      </c>
      <c r="D17" s="71">
        <f>IF(ISNUMBER($F17),VLOOKUP($J17,'Table 1'!$B$13:$C$33,2,FALSE)/12*1000*Study_MW,"")</f>
        <v>0</v>
      </c>
      <c r="E17" s="71">
        <f t="shared" si="2"/>
        <v>185996.60667029023</v>
      </c>
      <c r="F17" s="75">
        <v>14297.28</v>
      </c>
      <c r="G17" s="76">
        <f t="shared" si="3"/>
        <v>13.009230194155128</v>
      </c>
      <c r="I17" s="77">
        <f t="shared" si="5"/>
        <v>5</v>
      </c>
      <c r="J17" s="73">
        <f t="shared" si="4"/>
        <v>2018</v>
      </c>
      <c r="K17" s="78">
        <f t="shared" si="0"/>
        <v>43221</v>
      </c>
      <c r="L17" s="73">
        <f>L16+1</f>
        <v>2019</v>
      </c>
      <c r="M17" s="56">
        <f>SUMIF($J$13:$J$264,L17,$C$13:$C$264)</f>
        <v>3559322.5463576168</v>
      </c>
      <c r="N17" s="56">
        <f t="shared" ref="N17:N36" si="8">SUMIF($J$13:$J$264,L17,$D$13:$D$264)</f>
        <v>0</v>
      </c>
      <c r="O17" s="56">
        <f t="shared" si="6"/>
        <v>217272.55999999997</v>
      </c>
      <c r="P17" s="118">
        <f t="shared" si="7"/>
        <v>16.381831862972561</v>
      </c>
      <c r="Q17" s="181">
        <f t="shared" ref="Q17:Q33" si="9">M17/O17</f>
        <v>16.381831862972561</v>
      </c>
      <c r="R17" s="181">
        <f t="shared" ref="R17:R33" si="10">IFERROR(N17/O17,0)</f>
        <v>0</v>
      </c>
    </row>
    <row r="18" spans="2:18">
      <c r="B18" s="78">
        <f t="shared" si="1"/>
        <v>43252</v>
      </c>
      <c r="C18" s="75">
        <v>253031.00935015082</v>
      </c>
      <c r="D18" s="71">
        <f>IF(ISNUMBER($F18),VLOOKUP($J18,'Table 1'!$B$13:$C$33,2,FALSE)/12*1000*Study_MW,"")</f>
        <v>0</v>
      </c>
      <c r="E18" s="71">
        <f t="shared" si="2"/>
        <v>253031.00935015082</v>
      </c>
      <c r="F18" s="75">
        <v>17929.68</v>
      </c>
      <c r="G18" s="76">
        <f t="shared" si="3"/>
        <v>14.112410782019023</v>
      </c>
      <c r="I18" s="77">
        <f t="shared" si="5"/>
        <v>6</v>
      </c>
      <c r="J18" s="73">
        <f t="shared" si="4"/>
        <v>2018</v>
      </c>
      <c r="K18" s="78">
        <f t="shared" si="0"/>
        <v>43252</v>
      </c>
      <c r="L18" s="73">
        <f t="shared" ref="L18:L36" si="11">L17+1</f>
        <v>2020</v>
      </c>
      <c r="M18" s="56">
        <f t="shared" ref="M18:M36" si="12">SUMIF($J$13:$J$264,L18,$C$13:$C$264)</f>
        <v>3381630.4913179874</v>
      </c>
      <c r="N18" s="56">
        <f t="shared" si="8"/>
        <v>0</v>
      </c>
      <c r="O18" s="56">
        <f t="shared" si="6"/>
        <v>217912.71999999997</v>
      </c>
      <c r="P18" s="118">
        <f t="shared" si="7"/>
        <v>15.518279480509388</v>
      </c>
      <c r="Q18" s="181">
        <f t="shared" si="9"/>
        <v>15.518279480509388</v>
      </c>
      <c r="R18" s="181">
        <f t="shared" si="10"/>
        <v>0</v>
      </c>
    </row>
    <row r="19" spans="2:18">
      <c r="B19" s="78">
        <f t="shared" si="1"/>
        <v>43282</v>
      </c>
      <c r="C19" s="75">
        <v>742931.65177708864</v>
      </c>
      <c r="D19" s="71">
        <f>IF(ISNUMBER($F19),VLOOKUP($J19,'Table 1'!$B$13:$C$33,2,FALSE)/12*1000*Study_MW,"")</f>
        <v>0</v>
      </c>
      <c r="E19" s="71">
        <f t="shared" si="2"/>
        <v>742931.65177708864</v>
      </c>
      <c r="F19" s="75">
        <v>20641.68</v>
      </c>
      <c r="G19" s="76">
        <f t="shared" si="3"/>
        <v>35.991821003769488</v>
      </c>
      <c r="I19" s="77">
        <f t="shared" si="5"/>
        <v>7</v>
      </c>
      <c r="J19" s="73">
        <f t="shared" si="4"/>
        <v>2018</v>
      </c>
      <c r="K19" s="78">
        <f t="shared" si="0"/>
        <v>43282</v>
      </c>
      <c r="L19" s="73">
        <f t="shared" si="11"/>
        <v>2021</v>
      </c>
      <c r="M19" s="56">
        <f t="shared" si="12"/>
        <v>3035053.5135479271</v>
      </c>
      <c r="N19" s="56">
        <f t="shared" si="8"/>
        <v>0</v>
      </c>
      <c r="O19" s="56">
        <f t="shared" si="6"/>
        <v>217272.55999999997</v>
      </c>
      <c r="P19" s="118">
        <f t="shared" si="7"/>
        <v>13.968876297807361</v>
      </c>
      <c r="Q19" s="181">
        <f t="shared" si="9"/>
        <v>13.968876297807361</v>
      </c>
      <c r="R19" s="181">
        <f t="shared" si="10"/>
        <v>0</v>
      </c>
    </row>
    <row r="20" spans="2:18">
      <c r="B20" s="78">
        <f t="shared" si="1"/>
        <v>43313</v>
      </c>
      <c r="C20" s="75">
        <v>494408.3885383904</v>
      </c>
      <c r="D20" s="71">
        <f>IF(ISNUMBER($F20),VLOOKUP($J20,'Table 1'!$B$13:$C$33,2,FALSE)/12*1000*Study_MW,"")</f>
        <v>0</v>
      </c>
      <c r="E20" s="71">
        <f t="shared" si="2"/>
        <v>494408.3885383904</v>
      </c>
      <c r="F20" s="75">
        <v>21487.599999999999</v>
      </c>
      <c r="G20" s="76">
        <f t="shared" si="3"/>
        <v>23.009009314134218</v>
      </c>
      <c r="I20" s="77">
        <f t="shared" si="5"/>
        <v>8</v>
      </c>
      <c r="J20" s="73">
        <f t="shared" si="4"/>
        <v>2018</v>
      </c>
      <c r="K20" s="78">
        <f t="shared" si="0"/>
        <v>43313</v>
      </c>
      <c r="L20" s="73">
        <f t="shared" si="11"/>
        <v>2022</v>
      </c>
      <c r="M20" s="56">
        <f t="shared" si="12"/>
        <v>2935836.8574784994</v>
      </c>
      <c r="N20" s="56">
        <f t="shared" si="8"/>
        <v>0</v>
      </c>
      <c r="O20" s="56">
        <f t="shared" si="6"/>
        <v>217272.55999999997</v>
      </c>
      <c r="P20" s="118">
        <f t="shared" si="7"/>
        <v>13.51223024885655</v>
      </c>
      <c r="Q20" s="181">
        <f t="shared" si="9"/>
        <v>13.51223024885655</v>
      </c>
      <c r="R20" s="181">
        <f t="shared" si="10"/>
        <v>0</v>
      </c>
    </row>
    <row r="21" spans="2:18">
      <c r="B21" s="78">
        <f t="shared" si="1"/>
        <v>43344</v>
      </c>
      <c r="C21" s="75">
        <v>382524.60498572886</v>
      </c>
      <c r="D21" s="71">
        <f>IF(ISNUMBER($F21),VLOOKUP($J21,'Table 1'!$B$13:$C$33,2,FALSE)/12*1000*Study_MW,"")</f>
        <v>0</v>
      </c>
      <c r="E21" s="71">
        <f t="shared" si="2"/>
        <v>382524.60498572886</v>
      </c>
      <c r="F21" s="75">
        <v>21070.240000000002</v>
      </c>
      <c r="G21" s="76">
        <f t="shared" si="3"/>
        <v>18.154734117206488</v>
      </c>
      <c r="I21" s="77">
        <f t="shared" si="5"/>
        <v>9</v>
      </c>
      <c r="J21" s="73">
        <f t="shared" si="4"/>
        <v>2018</v>
      </c>
      <c r="K21" s="78">
        <f t="shared" si="0"/>
        <v>43344</v>
      </c>
      <c r="L21" s="73">
        <f t="shared" si="11"/>
        <v>2023</v>
      </c>
      <c r="M21" s="56">
        <f t="shared" si="12"/>
        <v>3070640.3758098334</v>
      </c>
      <c r="N21" s="56">
        <f t="shared" si="8"/>
        <v>0</v>
      </c>
      <c r="O21" s="56">
        <f t="shared" si="6"/>
        <v>217272.55999999997</v>
      </c>
      <c r="P21" s="118">
        <f t="shared" si="7"/>
        <v>14.132665329712292</v>
      </c>
      <c r="Q21" s="181">
        <f t="shared" si="9"/>
        <v>14.132665329712292</v>
      </c>
      <c r="R21" s="181">
        <f t="shared" si="10"/>
        <v>0</v>
      </c>
    </row>
    <row r="22" spans="2:18">
      <c r="B22" s="78">
        <f t="shared" si="1"/>
        <v>43374</v>
      </c>
      <c r="C22" s="75">
        <v>320756.23496027291</v>
      </c>
      <c r="D22" s="71">
        <f>IF(ISNUMBER($F22),VLOOKUP($J22,'Table 1'!$B$13:$C$33,2,FALSE)/12*1000*Study_MW,"")</f>
        <v>0</v>
      </c>
      <c r="E22" s="71">
        <f t="shared" si="2"/>
        <v>320756.23496027291</v>
      </c>
      <c r="F22" s="75">
        <v>20190</v>
      </c>
      <c r="G22" s="76">
        <f t="shared" si="3"/>
        <v>15.886886327898608</v>
      </c>
      <c r="I22" s="77">
        <f t="shared" si="5"/>
        <v>10</v>
      </c>
      <c r="J22" s="73">
        <f t="shared" si="4"/>
        <v>2018</v>
      </c>
      <c r="K22" s="78">
        <f t="shared" si="0"/>
        <v>43374</v>
      </c>
      <c r="L22" s="73">
        <f t="shared" si="11"/>
        <v>2024</v>
      </c>
      <c r="M22" s="56">
        <f t="shared" si="12"/>
        <v>3272508.9869737178</v>
      </c>
      <c r="N22" s="56">
        <f t="shared" si="8"/>
        <v>0</v>
      </c>
      <c r="O22" s="56">
        <f t="shared" si="6"/>
        <v>217912.71999999997</v>
      </c>
      <c r="P22" s="118">
        <f t="shared" si="7"/>
        <v>15.017521634229146</v>
      </c>
      <c r="Q22" s="181">
        <f t="shared" si="9"/>
        <v>15.017521634229146</v>
      </c>
      <c r="R22" s="181">
        <f t="shared" si="10"/>
        <v>0</v>
      </c>
    </row>
    <row r="23" spans="2:18">
      <c r="B23" s="78">
        <f t="shared" si="1"/>
        <v>43405</v>
      </c>
      <c r="C23" s="75">
        <v>332174.75734914839</v>
      </c>
      <c r="D23" s="71">
        <f>IF(ISNUMBER($F23),VLOOKUP($J23,'Table 1'!$B$13:$C$33,2,FALSE)/12*1000*Study_MW,"")</f>
        <v>0</v>
      </c>
      <c r="E23" s="71">
        <f t="shared" ref="E23" si="13">IF(ISNUMBER(C23+D23),C23+D23,"")</f>
        <v>332174.75734914839</v>
      </c>
      <c r="F23" s="75">
        <v>20168.560000000001</v>
      </c>
      <c r="G23" s="76">
        <f t="shared" ref="G23" si="14">IF(ISNUMBER($F23),E23/$F23,"")</f>
        <v>16.469929303289295</v>
      </c>
      <c r="I23" s="77">
        <f t="shared" si="5"/>
        <v>11</v>
      </c>
      <c r="J23" s="73">
        <f t="shared" si="4"/>
        <v>2018</v>
      </c>
      <c r="K23" s="78">
        <f t="shared" si="0"/>
        <v>43405</v>
      </c>
      <c r="L23" s="73">
        <f t="shared" si="11"/>
        <v>2025</v>
      </c>
      <c r="M23" s="56">
        <f t="shared" si="12"/>
        <v>4381242.7850592732</v>
      </c>
      <c r="N23" s="56">
        <f t="shared" si="8"/>
        <v>0</v>
      </c>
      <c r="O23" s="56">
        <f t="shared" si="6"/>
        <v>217272.55999999997</v>
      </c>
      <c r="P23" s="118">
        <f t="shared" si="7"/>
        <v>20.164731271446673</v>
      </c>
      <c r="Q23" s="181">
        <f t="shared" si="9"/>
        <v>20.164731271446673</v>
      </c>
      <c r="R23" s="181">
        <f t="shared" si="10"/>
        <v>0</v>
      </c>
    </row>
    <row r="24" spans="2:18">
      <c r="B24" s="82">
        <f t="shared" si="1"/>
        <v>43435</v>
      </c>
      <c r="C24" s="79">
        <v>405648.27981989086</v>
      </c>
      <c r="D24" s="80">
        <f>IF(F24&lt;&gt;0,VLOOKUP($J24,'Table 1'!$B$13:$C$33,2,FALSE)/12*1000*Study_MW,0)</f>
        <v>0</v>
      </c>
      <c r="E24" s="80">
        <f t="shared" ref="E24" si="15">IF(ISNUMBER(C24+D24),C24+D24,"")</f>
        <v>405648.27981989086</v>
      </c>
      <c r="F24" s="79">
        <v>19836.96</v>
      </c>
      <c r="G24" s="81">
        <f t="shared" ref="G24" si="16">IF(ISNUMBER($F24),E24/$F24,"")</f>
        <v>20.449115177924988</v>
      </c>
      <c r="I24" s="64">
        <f t="shared" si="5"/>
        <v>12</v>
      </c>
      <c r="J24" s="73">
        <f t="shared" si="4"/>
        <v>2018</v>
      </c>
      <c r="K24" s="82">
        <f t="shared" si="0"/>
        <v>43435</v>
      </c>
      <c r="L24" s="73">
        <f t="shared" si="11"/>
        <v>2026</v>
      </c>
      <c r="M24" s="56">
        <f t="shared" si="12"/>
        <v>4893062.2214584649</v>
      </c>
      <c r="N24" s="56">
        <f t="shared" si="8"/>
        <v>0</v>
      </c>
      <c r="O24" s="56">
        <f t="shared" si="6"/>
        <v>217272.55999999997</v>
      </c>
      <c r="P24" s="118">
        <f t="shared" si="7"/>
        <v>22.520387394793275</v>
      </c>
      <c r="Q24" s="181">
        <f t="shared" si="9"/>
        <v>22.520387394793275</v>
      </c>
      <c r="R24" s="181">
        <f t="shared" si="10"/>
        <v>0</v>
      </c>
    </row>
    <row r="25" spans="2:18">
      <c r="B25" s="74">
        <f t="shared" si="1"/>
        <v>43466</v>
      </c>
      <c r="C25" s="69">
        <v>301784.19730563462</v>
      </c>
      <c r="D25" s="70">
        <f>IF(F25&lt;&gt;0,VLOOKUP($J25,'Table 1'!$B$13:$C$33,2,FALSE)/12*1000*Study_MW,0)</f>
        <v>0</v>
      </c>
      <c r="E25" s="70">
        <f t="shared" ref="E25:E77" si="17">C25+D25</f>
        <v>301784.19730563462</v>
      </c>
      <c r="F25" s="69">
        <v>16504.64</v>
      </c>
      <c r="G25" s="72">
        <f t="shared" si="3"/>
        <v>18.284809441807553</v>
      </c>
      <c r="I25" s="60">
        <f>I13+13</f>
        <v>14</v>
      </c>
      <c r="J25" s="73">
        <f t="shared" si="4"/>
        <v>2019</v>
      </c>
      <c r="K25" s="74">
        <f>IF(ISNUMBER(F25),IF(F25&lt;&gt;0,B25,""),"")</f>
        <v>43466</v>
      </c>
      <c r="L25" s="73">
        <f t="shared" si="11"/>
        <v>2027</v>
      </c>
      <c r="M25" s="56">
        <f t="shared" si="12"/>
        <v>5166027.8365054876</v>
      </c>
      <c r="N25" s="56">
        <f t="shared" si="8"/>
        <v>0</v>
      </c>
      <c r="O25" s="56">
        <f t="shared" si="6"/>
        <v>217272.55999999997</v>
      </c>
      <c r="P25" s="118">
        <f t="shared" si="7"/>
        <v>23.776715460550971</v>
      </c>
      <c r="Q25" s="181">
        <f t="shared" si="9"/>
        <v>23.776715460550971</v>
      </c>
      <c r="R25" s="181">
        <f t="shared" si="10"/>
        <v>0</v>
      </c>
    </row>
    <row r="26" spans="2:18">
      <c r="B26" s="78">
        <f t="shared" si="1"/>
        <v>43497</v>
      </c>
      <c r="C26" s="75">
        <v>245723.52903315425</v>
      </c>
      <c r="D26" s="71">
        <f>IF(F26&lt;&gt;0,VLOOKUP($J26,'Table 1'!$B$13:$C$33,2,FALSE)/12*1000*Study_MW,0)</f>
        <v>0</v>
      </c>
      <c r="E26" s="71">
        <f t="shared" si="17"/>
        <v>245723.52903315425</v>
      </c>
      <c r="F26" s="75">
        <v>13801.92</v>
      </c>
      <c r="G26" s="76">
        <f t="shared" si="3"/>
        <v>17.803575809246414</v>
      </c>
      <c r="I26" s="77">
        <f t="shared" ref="I26:I89" si="18">I14+13</f>
        <v>15</v>
      </c>
      <c r="J26" s="73">
        <f t="shared" si="4"/>
        <v>2019</v>
      </c>
      <c r="K26" s="78">
        <f t="shared" ref="K26:K89" si="19">IF(ISNUMBER(F26),IF(F26&lt;&gt;0,B26,""),"")</f>
        <v>43497</v>
      </c>
      <c r="L26" s="73">
        <f t="shared" si="11"/>
        <v>2028</v>
      </c>
      <c r="M26" s="56">
        <f t="shared" si="12"/>
        <v>5921260.8136648834</v>
      </c>
      <c r="N26" s="56">
        <f t="shared" si="8"/>
        <v>0</v>
      </c>
      <c r="O26" s="56">
        <f>SUMIF($J$13:$J$264,L26,$F$13:$F$264)</f>
        <v>217912.71999999997</v>
      </c>
      <c r="P26" s="118">
        <f>(M26+N26)/O26</f>
        <v>27.172625873629059</v>
      </c>
      <c r="Q26" s="181">
        <f t="shared" si="9"/>
        <v>27.172625873629059</v>
      </c>
      <c r="R26" s="181">
        <f t="shared" si="10"/>
        <v>0</v>
      </c>
    </row>
    <row r="27" spans="2:18">
      <c r="B27" s="78">
        <f t="shared" si="1"/>
        <v>43525</v>
      </c>
      <c r="C27" s="75">
        <v>250409.15962983668</v>
      </c>
      <c r="D27" s="71">
        <f>IF(F27&lt;&gt;0,VLOOKUP($J27,'Table 1'!$B$13:$C$33,2,FALSE)/12*1000*Study_MW,0)</f>
        <v>0</v>
      </c>
      <c r="E27" s="71">
        <f t="shared" si="17"/>
        <v>250409.15962983668</v>
      </c>
      <c r="F27" s="75">
        <v>16861.52</v>
      </c>
      <c r="G27" s="76">
        <f t="shared" si="3"/>
        <v>14.850924449861974</v>
      </c>
      <c r="I27" s="77">
        <f t="shared" si="18"/>
        <v>16</v>
      </c>
      <c r="J27" s="73">
        <f t="shared" si="4"/>
        <v>2019</v>
      </c>
      <c r="K27" s="78">
        <f t="shared" si="19"/>
        <v>43525</v>
      </c>
      <c r="L27" s="73">
        <f t="shared" si="11"/>
        <v>2029</v>
      </c>
      <c r="M27" s="56">
        <f t="shared" si="12"/>
        <v>6900838.795492366</v>
      </c>
      <c r="N27" s="56">
        <f t="shared" si="8"/>
        <v>0</v>
      </c>
      <c r="O27" s="56">
        <f t="shared" ref="O27:O31" si="20">SUMIF($J$13:$J$264,L27,$F$13:$F$264)</f>
        <v>217272.55999999997</v>
      </c>
      <c r="P27" s="118">
        <f t="shared" ref="P27:P31" si="21">(M27+N27)/O27</f>
        <v>31.761207192902624</v>
      </c>
      <c r="Q27" s="181">
        <f t="shared" si="9"/>
        <v>31.761207192902624</v>
      </c>
      <c r="R27" s="181">
        <f t="shared" si="10"/>
        <v>0</v>
      </c>
    </row>
    <row r="28" spans="2:18">
      <c r="B28" s="78">
        <f t="shared" si="1"/>
        <v>43556</v>
      </c>
      <c r="C28" s="75">
        <v>186818.87070044875</v>
      </c>
      <c r="D28" s="71">
        <f>IF(F28&lt;&gt;0,VLOOKUP($J28,'Table 1'!$B$13:$C$33,2,FALSE)/12*1000*Study_MW,0)</f>
        <v>0</v>
      </c>
      <c r="E28" s="71">
        <f t="shared" si="17"/>
        <v>186818.87070044875</v>
      </c>
      <c r="F28" s="75">
        <v>14482.48</v>
      </c>
      <c r="G28" s="76">
        <f t="shared" si="3"/>
        <v>12.899646379656575</v>
      </c>
      <c r="I28" s="77">
        <f t="shared" si="18"/>
        <v>17</v>
      </c>
      <c r="J28" s="73">
        <f t="shared" si="4"/>
        <v>2019</v>
      </c>
      <c r="K28" s="78">
        <f t="shared" si="19"/>
        <v>43556</v>
      </c>
      <c r="L28" s="73">
        <f t="shared" si="11"/>
        <v>2030</v>
      </c>
      <c r="M28" s="56">
        <f t="shared" si="12"/>
        <v>8195193.3784658909</v>
      </c>
      <c r="N28" s="56">
        <f t="shared" si="8"/>
        <v>0</v>
      </c>
      <c r="O28" s="56">
        <f t="shared" si="20"/>
        <v>217272.55999999997</v>
      </c>
      <c r="P28" s="118">
        <f t="shared" si="21"/>
        <v>37.7184922866739</v>
      </c>
      <c r="Q28" s="181">
        <f t="shared" si="9"/>
        <v>37.7184922866739</v>
      </c>
      <c r="R28" s="181">
        <f t="shared" si="10"/>
        <v>0</v>
      </c>
    </row>
    <row r="29" spans="2:18">
      <c r="B29" s="78">
        <f t="shared" si="1"/>
        <v>43586</v>
      </c>
      <c r="C29" s="75">
        <v>173384.51598411798</v>
      </c>
      <c r="D29" s="71">
        <f>IF(F29&lt;&gt;0,VLOOKUP($J29,'Table 1'!$B$13:$C$33,2,FALSE)/12*1000*Study_MW,0)</f>
        <v>0</v>
      </c>
      <c r="E29" s="71">
        <f t="shared" si="17"/>
        <v>173384.51598411798</v>
      </c>
      <c r="F29" s="75">
        <v>14297.28</v>
      </c>
      <c r="G29" s="76">
        <f t="shared" si="3"/>
        <v>12.127098020330999</v>
      </c>
      <c r="I29" s="77">
        <f t="shared" si="18"/>
        <v>18</v>
      </c>
      <c r="J29" s="73">
        <f t="shared" si="4"/>
        <v>2019</v>
      </c>
      <c r="K29" s="78">
        <f t="shared" si="19"/>
        <v>43586</v>
      </c>
      <c r="L29" s="73">
        <f t="shared" si="11"/>
        <v>2031</v>
      </c>
      <c r="M29" s="56">
        <f t="shared" si="12"/>
        <v>8565468.5306897312</v>
      </c>
      <c r="N29" s="56">
        <f t="shared" si="8"/>
        <v>0</v>
      </c>
      <c r="O29" s="56">
        <f t="shared" si="20"/>
        <v>217272.55999999997</v>
      </c>
      <c r="P29" s="118">
        <f t="shared" si="21"/>
        <v>39.422688859972617</v>
      </c>
      <c r="Q29" s="181">
        <f t="shared" si="9"/>
        <v>39.422688859972617</v>
      </c>
      <c r="R29" s="181">
        <f t="shared" si="10"/>
        <v>0</v>
      </c>
    </row>
    <row r="30" spans="2:18">
      <c r="B30" s="78">
        <f t="shared" si="1"/>
        <v>43617</v>
      </c>
      <c r="C30" s="75">
        <v>229528.95935615897</v>
      </c>
      <c r="D30" s="71">
        <f>IF(F30&lt;&gt;0,VLOOKUP($J30,'Table 1'!$B$13:$C$33,2,FALSE)/12*1000*Study_MW,0)</f>
        <v>0</v>
      </c>
      <c r="E30" s="71">
        <f t="shared" si="17"/>
        <v>229528.95935615897</v>
      </c>
      <c r="F30" s="75">
        <v>17929.68</v>
      </c>
      <c r="G30" s="76">
        <f t="shared" si="3"/>
        <v>12.801620517274094</v>
      </c>
      <c r="I30" s="77">
        <f t="shared" si="18"/>
        <v>19</v>
      </c>
      <c r="J30" s="73">
        <f t="shared" si="4"/>
        <v>2019</v>
      </c>
      <c r="K30" s="78">
        <f t="shared" si="19"/>
        <v>43617</v>
      </c>
      <c r="L30" s="73">
        <f t="shared" si="11"/>
        <v>2032</v>
      </c>
      <c r="M30" s="56">
        <f t="shared" si="12"/>
        <v>8813656.6958738863</v>
      </c>
      <c r="N30" s="56">
        <f t="shared" si="8"/>
        <v>0</v>
      </c>
      <c r="O30" s="56">
        <f t="shared" si="20"/>
        <v>217912.71999999997</v>
      </c>
      <c r="P30" s="118">
        <f t="shared" si="21"/>
        <v>40.445811037895758</v>
      </c>
      <c r="Q30" s="181">
        <f t="shared" si="9"/>
        <v>40.445811037895758</v>
      </c>
      <c r="R30" s="181">
        <f t="shared" si="10"/>
        <v>0</v>
      </c>
    </row>
    <row r="31" spans="2:18">
      <c r="B31" s="78">
        <f t="shared" si="1"/>
        <v>43647</v>
      </c>
      <c r="C31" s="75">
        <v>475652.81182301044</v>
      </c>
      <c r="D31" s="71">
        <f>IF(F31&lt;&gt;0,VLOOKUP($J31,'Table 1'!$B$13:$C$33,2,FALSE)/12*1000*Study_MW,0)</f>
        <v>0</v>
      </c>
      <c r="E31" s="71">
        <f t="shared" si="17"/>
        <v>475652.81182301044</v>
      </c>
      <c r="F31" s="75">
        <v>20641.68</v>
      </c>
      <c r="G31" s="76">
        <f t="shared" si="3"/>
        <v>23.043318752301676</v>
      </c>
      <c r="I31" s="77">
        <f t="shared" si="18"/>
        <v>20</v>
      </c>
      <c r="J31" s="73">
        <f t="shared" si="4"/>
        <v>2019</v>
      </c>
      <c r="K31" s="78">
        <f t="shared" si="19"/>
        <v>43647</v>
      </c>
      <c r="L31" s="73">
        <f t="shared" si="11"/>
        <v>2033</v>
      </c>
      <c r="M31" s="56">
        <f t="shared" si="12"/>
        <v>-1423006.4705342501</v>
      </c>
      <c r="N31" s="56">
        <f t="shared" si="8"/>
        <v>12344000</v>
      </c>
      <c r="O31" s="56">
        <f t="shared" si="20"/>
        <v>217272.55999999997</v>
      </c>
      <c r="P31" s="118">
        <f t="shared" si="21"/>
        <v>50.26402565269057</v>
      </c>
      <c r="Q31" s="181">
        <f t="shared" si="9"/>
        <v>-6.5494072078602574</v>
      </c>
      <c r="R31" s="181">
        <f t="shared" si="10"/>
        <v>56.813432860550833</v>
      </c>
    </row>
    <row r="32" spans="2:18">
      <c r="B32" s="78">
        <f t="shared" si="1"/>
        <v>43678</v>
      </c>
      <c r="C32" s="75">
        <v>439845.36914002895</v>
      </c>
      <c r="D32" s="71">
        <f>IF(F32&lt;&gt;0,VLOOKUP($J32,'Table 1'!$B$13:$C$33,2,FALSE)/12*1000*Study_MW,0)</f>
        <v>0</v>
      </c>
      <c r="E32" s="71">
        <f t="shared" si="17"/>
        <v>439845.36914002895</v>
      </c>
      <c r="F32" s="75">
        <v>21487.599999999999</v>
      </c>
      <c r="G32" s="76">
        <f t="shared" si="3"/>
        <v>20.46972994378288</v>
      </c>
      <c r="I32" s="77">
        <f t="shared" si="18"/>
        <v>21</v>
      </c>
      <c r="J32" s="73">
        <f t="shared" si="4"/>
        <v>2019</v>
      </c>
      <c r="K32" s="78">
        <f t="shared" si="19"/>
        <v>43678</v>
      </c>
      <c r="L32" s="73">
        <f t="shared" si="11"/>
        <v>2034</v>
      </c>
      <c r="M32" s="56">
        <f t="shared" si="12"/>
        <v>-1471411.8573618531</v>
      </c>
      <c r="N32" s="56">
        <f t="shared" si="8"/>
        <v>12591199.999999994</v>
      </c>
      <c r="O32" s="56">
        <f t="shared" ref="O32:O35" si="22">SUMIF($J$13:$J$264,L32,$F$13:$F$264)</f>
        <v>217272.55999999997</v>
      </c>
      <c r="P32" s="118">
        <f t="shared" ref="P32:P34" si="23">(M32+N32)/O32</f>
        <v>51.178980643658562</v>
      </c>
      <c r="Q32" s="181">
        <f t="shared" si="9"/>
        <v>-6.7721936785844168</v>
      </c>
      <c r="R32" s="181">
        <f t="shared" si="10"/>
        <v>57.951174322242977</v>
      </c>
    </row>
    <row r="33" spans="2:20">
      <c r="B33" s="78">
        <f t="shared" si="1"/>
        <v>43709</v>
      </c>
      <c r="C33" s="75">
        <v>344274.99800701439</v>
      </c>
      <c r="D33" s="71">
        <f>IF(F33&lt;&gt;0,VLOOKUP($J33,'Table 1'!$B$13:$C$33,2,FALSE)/12*1000*Study_MW,0)</f>
        <v>0</v>
      </c>
      <c r="E33" s="71">
        <f t="shared" si="17"/>
        <v>344274.99800701439</v>
      </c>
      <c r="F33" s="75">
        <v>21070.240000000002</v>
      </c>
      <c r="G33" s="76">
        <f t="shared" si="3"/>
        <v>16.339396134406364</v>
      </c>
      <c r="I33" s="77">
        <f t="shared" si="18"/>
        <v>22</v>
      </c>
      <c r="J33" s="73">
        <f t="shared" si="4"/>
        <v>2019</v>
      </c>
      <c r="K33" s="78">
        <f t="shared" si="19"/>
        <v>43709</v>
      </c>
      <c r="L33" s="73">
        <f t="shared" si="11"/>
        <v>2035</v>
      </c>
      <c r="M33" s="56">
        <f t="shared" si="12"/>
        <v>-1380781.9956724644</v>
      </c>
      <c r="N33" s="56">
        <f t="shared" si="8"/>
        <v>12843199.999999994</v>
      </c>
      <c r="O33" s="56">
        <f t="shared" si="22"/>
        <v>217272.55999999997</v>
      </c>
      <c r="P33" s="118">
        <f t="shared" si="23"/>
        <v>52.755939380138621</v>
      </c>
      <c r="Q33" s="181">
        <f t="shared" si="9"/>
        <v>-6.3550684710138485</v>
      </c>
      <c r="R33" s="181">
        <f t="shared" si="10"/>
        <v>59.111007851152472</v>
      </c>
    </row>
    <row r="34" spans="2:20">
      <c r="B34" s="78">
        <f t="shared" si="1"/>
        <v>43739</v>
      </c>
      <c r="C34" s="75">
        <v>283852.16811281443</v>
      </c>
      <c r="D34" s="71">
        <f>IF(F34&lt;&gt;0,VLOOKUP($J34,'Table 1'!$B$13:$C$33,2,FALSE)/12*1000*Study_MW,0)</f>
        <v>0</v>
      </c>
      <c r="E34" s="71">
        <f t="shared" si="17"/>
        <v>283852.16811281443</v>
      </c>
      <c r="F34" s="75">
        <v>20190</v>
      </c>
      <c r="G34" s="76">
        <f t="shared" si="3"/>
        <v>14.059047454819932</v>
      </c>
      <c r="I34" s="77">
        <f t="shared" si="18"/>
        <v>23</v>
      </c>
      <c r="J34" s="73">
        <f t="shared" si="4"/>
        <v>2019</v>
      </c>
      <c r="K34" s="78">
        <f t="shared" si="19"/>
        <v>43739</v>
      </c>
      <c r="L34" s="73">
        <f t="shared" si="11"/>
        <v>2036</v>
      </c>
      <c r="M34" s="56">
        <f t="shared" si="12"/>
        <v>-1738691.7635448724</v>
      </c>
      <c r="N34" s="56">
        <f t="shared" si="8"/>
        <v>13099999.999999998</v>
      </c>
      <c r="O34" s="56">
        <f t="shared" si="22"/>
        <v>217912.71999999997</v>
      </c>
      <c r="P34" s="118">
        <f t="shared" si="23"/>
        <v>52.136966747306566</v>
      </c>
      <c r="Q34" s="181">
        <f t="shared" ref="Q34" si="24">M34/O34</f>
        <v>-7.9788447574096297</v>
      </c>
      <c r="R34" s="181">
        <f t="shared" ref="R34" si="25">IFERROR(N34/O34,0)</f>
        <v>60.115811504716198</v>
      </c>
    </row>
    <row r="35" spans="2:20">
      <c r="B35" s="78">
        <f t="shared" si="1"/>
        <v>43770</v>
      </c>
      <c r="C35" s="75">
        <v>288728.02034978569</v>
      </c>
      <c r="D35" s="71">
        <f>IF(F35&lt;&gt;0,VLOOKUP($J35,'Table 1'!$B$13:$C$33,2,FALSE)/12*1000*Study_MW,0)</f>
        <v>0</v>
      </c>
      <c r="E35" s="71">
        <f t="shared" si="17"/>
        <v>288728.02034978569</v>
      </c>
      <c r="F35" s="75">
        <v>20168.560000000001</v>
      </c>
      <c r="G35" s="76">
        <f t="shared" si="3"/>
        <v>14.315747894236656</v>
      </c>
      <c r="I35" s="77">
        <f t="shared" si="18"/>
        <v>24</v>
      </c>
      <c r="J35" s="73">
        <f t="shared" si="4"/>
        <v>2019</v>
      </c>
      <c r="K35" s="78">
        <f t="shared" si="19"/>
        <v>43770</v>
      </c>
      <c r="L35" s="73">
        <f t="shared" si="11"/>
        <v>2037</v>
      </c>
      <c r="M35" s="56">
        <f t="shared" si="12"/>
        <v>-1762825.6278749062</v>
      </c>
      <c r="N35" s="56">
        <f t="shared" si="8"/>
        <v>13375200</v>
      </c>
      <c r="O35" s="56">
        <f t="shared" si="22"/>
        <v>217414.71724137929</v>
      </c>
      <c r="P35" s="118">
        <f t="shared" ref="P35" si="26">(M35+N35)/O35</f>
        <v>53.411169765626965</v>
      </c>
      <c r="Q35" s="181">
        <f t="shared" ref="Q35" si="27">M35/O35</f>
        <v>-8.1081246487917049</v>
      </c>
      <c r="R35" s="181">
        <f t="shared" ref="R35" si="28">IFERROR(N35/O35,0)</f>
        <v>61.519294414418674</v>
      </c>
    </row>
    <row r="36" spans="2:20">
      <c r="B36" s="82">
        <f t="shared" si="1"/>
        <v>43800</v>
      </c>
      <c r="C36" s="79">
        <v>339319.94691561162</v>
      </c>
      <c r="D36" s="80">
        <f>IF(F36&lt;&gt;0,VLOOKUP($J36,'Table 1'!$B$13:$C$33,2,FALSE)/12*1000*Study_MW,0)</f>
        <v>0</v>
      </c>
      <c r="E36" s="80">
        <f t="shared" si="17"/>
        <v>339319.94691561162</v>
      </c>
      <c r="F36" s="79">
        <v>19836.96</v>
      </c>
      <c r="G36" s="81">
        <f t="shared" si="3"/>
        <v>17.105440899997362</v>
      </c>
      <c r="I36" s="64">
        <f t="shared" si="18"/>
        <v>25</v>
      </c>
      <c r="J36" s="73">
        <f t="shared" si="4"/>
        <v>2019</v>
      </c>
      <c r="K36" s="82">
        <f t="shared" si="19"/>
        <v>43800</v>
      </c>
      <c r="L36" s="73">
        <f t="shared" si="11"/>
        <v>2038</v>
      </c>
      <c r="M36" s="56">
        <f t="shared" si="12"/>
        <v>-1558211.7234415272</v>
      </c>
      <c r="N36" s="56">
        <f t="shared" si="8"/>
        <v>0</v>
      </c>
      <c r="O36" s="56">
        <f t="shared" ref="O36" si="29">SUMIF($J$13:$J$264,L36,$F$13:$F$264)</f>
        <v>197577.7572413793</v>
      </c>
      <c r="P36" s="118">
        <f t="shared" ref="P36" si="30">(M36+N36)/O36</f>
        <v>-7.8865746083850494</v>
      </c>
      <c r="Q36" s="181">
        <f t="shared" ref="Q36" si="31">M36/O36</f>
        <v>-7.8865746083850494</v>
      </c>
      <c r="R36" s="181">
        <f t="shared" ref="R36" si="32">IFERROR(N36/O36,0)</f>
        <v>0</v>
      </c>
    </row>
    <row r="37" spans="2:20" outlineLevel="1">
      <c r="B37" s="74">
        <f t="shared" si="1"/>
        <v>43831</v>
      </c>
      <c r="C37" s="69">
        <v>268512.5129724443</v>
      </c>
      <c r="D37" s="70">
        <f>IF(F37&lt;&gt;0,VLOOKUP($J37,'Table 1'!$B$13:$C$33,2,FALSE)/12*1000*Study_MW,0)</f>
        <v>0</v>
      </c>
      <c r="E37" s="70">
        <f t="shared" si="17"/>
        <v>268512.5129724443</v>
      </c>
      <c r="F37" s="69">
        <v>16504.64</v>
      </c>
      <c r="G37" s="72">
        <f t="shared" si="3"/>
        <v>16.268910619828382</v>
      </c>
      <c r="I37" s="60">
        <f>I25+13</f>
        <v>27</v>
      </c>
      <c r="J37" s="73">
        <f t="shared" si="4"/>
        <v>2020</v>
      </c>
      <c r="K37" s="74">
        <f t="shared" si="19"/>
        <v>43831</v>
      </c>
      <c r="M37" s="192"/>
    </row>
    <row r="38" spans="2:20" outlineLevel="1">
      <c r="B38" s="78">
        <f t="shared" si="1"/>
        <v>43862</v>
      </c>
      <c r="C38" s="75">
        <v>215658.15478388965</v>
      </c>
      <c r="D38" s="71">
        <f>IF(F38&lt;&gt;0,VLOOKUP($J38,'Table 1'!$B$13:$C$33,2,FALSE)/12*1000*Study_MW,0)</f>
        <v>0</v>
      </c>
      <c r="E38" s="71">
        <f t="shared" si="17"/>
        <v>215658.15478388965</v>
      </c>
      <c r="F38" s="75">
        <v>14442.08</v>
      </c>
      <c r="G38" s="76">
        <f t="shared" si="3"/>
        <v>14.932624302308923</v>
      </c>
      <c r="I38" s="77">
        <f t="shared" si="18"/>
        <v>28</v>
      </c>
      <c r="J38" s="73">
        <f t="shared" si="4"/>
        <v>2020</v>
      </c>
      <c r="K38" s="78">
        <f t="shared" si="19"/>
        <v>43862</v>
      </c>
      <c r="M38" s="192"/>
    </row>
    <row r="39" spans="2:20" outlineLevel="1">
      <c r="B39" s="78">
        <f t="shared" si="1"/>
        <v>43891</v>
      </c>
      <c r="C39" s="75">
        <v>247011.14753103256</v>
      </c>
      <c r="D39" s="71">
        <f>IF(F39&lt;&gt;0,VLOOKUP($J39,'Table 1'!$B$13:$C$33,2,FALSE)/12*1000*Study_MW,0)</f>
        <v>0</v>
      </c>
      <c r="E39" s="71">
        <f t="shared" si="17"/>
        <v>247011.14753103256</v>
      </c>
      <c r="F39" s="75">
        <v>16861.52</v>
      </c>
      <c r="G39" s="76">
        <f t="shared" si="3"/>
        <v>14.649399789048232</v>
      </c>
      <c r="I39" s="77">
        <f t="shared" si="18"/>
        <v>29</v>
      </c>
      <c r="J39" s="73">
        <f t="shared" si="4"/>
        <v>2020</v>
      </c>
      <c r="K39" s="78">
        <f t="shared" si="19"/>
        <v>43891</v>
      </c>
    </row>
    <row r="40" spans="2:20" outlineLevel="1">
      <c r="B40" s="78">
        <f t="shared" si="1"/>
        <v>43922</v>
      </c>
      <c r="C40" s="75">
        <v>199509.49277341366</v>
      </c>
      <c r="D40" s="71">
        <f>IF(F40&lt;&gt;0,VLOOKUP($J40,'Table 1'!$B$13:$C$33,2,FALSE)/12*1000*Study_MW,0)</f>
        <v>0</v>
      </c>
      <c r="E40" s="71">
        <f t="shared" si="17"/>
        <v>199509.49277341366</v>
      </c>
      <c r="F40" s="75">
        <v>14482.48</v>
      </c>
      <c r="G40" s="76">
        <f t="shared" si="3"/>
        <v>13.775920475872478</v>
      </c>
      <c r="I40" s="77">
        <f t="shared" si="18"/>
        <v>30</v>
      </c>
      <c r="J40" s="73">
        <f t="shared" si="4"/>
        <v>2020</v>
      </c>
      <c r="K40" s="78">
        <f t="shared" si="19"/>
        <v>43922</v>
      </c>
      <c r="O40" s="219" t="str">
        <f>"15 Year Starting "&amp;YEAR($K$5)+2</f>
        <v>15 Year Starting 2020</v>
      </c>
      <c r="P40" s="58">
        <f ca="1">NPV($K$9,INDIRECT("C"&amp;$P$5+24&amp;":C"&amp;$P$6+24))</f>
        <v>40204138.622013576</v>
      </c>
      <c r="Q40" s="58">
        <f ca="1">NPV($K$9,INDIRECT("D"&amp;$P$5+24&amp;":D"&amp;$P$6+24))</f>
        <v>9761709.5194419045</v>
      </c>
      <c r="R40" s="58">
        <f ca="1">NPV($K$9,INDIRECT("E"&amp;$P$5+24&amp;":E"&amp;$P$6+24))</f>
        <v>49965848.141455501</v>
      </c>
      <c r="S40" s="58">
        <f ca="1">NPV($K$9,INDIRECT("F"&amp;$P$5+24&amp;":F"&amp;$P$6+24))</f>
        <v>2049648.249021956</v>
      </c>
      <c r="T40" s="92">
        <f ca="1">R40/S40</f>
        <v>24.377767339004645</v>
      </c>
    </row>
    <row r="41" spans="2:20" outlineLevel="1">
      <c r="B41" s="78">
        <f t="shared" si="1"/>
        <v>43952</v>
      </c>
      <c r="C41" s="75">
        <v>180086.6190161705</v>
      </c>
      <c r="D41" s="71">
        <f>IF(F41&lt;&gt;0,VLOOKUP($J41,'Table 1'!$B$13:$C$33,2,FALSE)/12*1000*Study_MW,0)</f>
        <v>0</v>
      </c>
      <c r="E41" s="71">
        <f t="shared" si="17"/>
        <v>180086.6190161705</v>
      </c>
      <c r="F41" s="75">
        <v>14297.28</v>
      </c>
      <c r="G41" s="76">
        <f t="shared" si="3"/>
        <v>12.595865718246442</v>
      </c>
      <c r="I41" s="77">
        <f t="shared" si="18"/>
        <v>31</v>
      </c>
      <c r="J41" s="73">
        <f t="shared" si="4"/>
        <v>2020</v>
      </c>
      <c r="K41" s="78">
        <f t="shared" si="19"/>
        <v>43952</v>
      </c>
      <c r="O41" s="219" t="str">
        <f>"15 Year Starting "&amp;YEAR($K$5)+3</f>
        <v>15 Year Starting 2021</v>
      </c>
      <c r="P41" s="58">
        <f ca="1">NPV($K$9,INDIRECT("C"&amp;$P$5+36&amp;":C"&amp;$P$6+36))</f>
        <v>38976057.7545968</v>
      </c>
      <c r="Q41" s="58">
        <f ca="1">NPV($K$9,INDIRECT("D"&amp;$P$5+36&amp;":D"&amp;$P$6+36))</f>
        <v>15297836.608483037</v>
      </c>
      <c r="R41" s="58">
        <f ca="1">NPV($K$9,INDIRECT("E"&amp;$P$5+36&amp;":E"&amp;$P$6+36))</f>
        <v>54273894.363079853</v>
      </c>
      <c r="S41" s="58">
        <f ca="1">NPV($K$9,INDIRECT("F"&amp;$P$5+36&amp;":F"&amp;$P$6+36))</f>
        <v>2049093.916498126</v>
      </c>
      <c r="T41" s="92">
        <f ca="1">R41/S41</f>
        <v>26.486777363447164</v>
      </c>
    </row>
    <row r="42" spans="2:20" outlineLevel="1">
      <c r="B42" s="78">
        <f t="shared" si="1"/>
        <v>43983</v>
      </c>
      <c r="C42" s="75">
        <v>229660.57370644808</v>
      </c>
      <c r="D42" s="71">
        <f>IF(F42&lt;&gt;0,VLOOKUP($J42,'Table 1'!$B$13:$C$33,2,FALSE)/12*1000*Study_MW,0)</f>
        <v>0</v>
      </c>
      <c r="E42" s="71">
        <f t="shared" si="17"/>
        <v>229660.57370644808</v>
      </c>
      <c r="F42" s="75">
        <v>17929.68</v>
      </c>
      <c r="G42" s="76">
        <f t="shared" si="3"/>
        <v>12.808961102844449</v>
      </c>
      <c r="I42" s="77">
        <f t="shared" si="18"/>
        <v>32</v>
      </c>
      <c r="J42" s="73">
        <f t="shared" si="4"/>
        <v>2020</v>
      </c>
      <c r="K42" s="78">
        <f t="shared" si="19"/>
        <v>43983</v>
      </c>
    </row>
    <row r="43" spans="2:20" outlineLevel="1">
      <c r="B43" s="78">
        <f t="shared" si="1"/>
        <v>44013</v>
      </c>
      <c r="C43" s="75">
        <v>380627.38112026453</v>
      </c>
      <c r="D43" s="71">
        <f>IF(F43&lt;&gt;0,VLOOKUP($J43,'Table 1'!$B$13:$C$33,2,FALSE)/12*1000*Study_MW,0)</f>
        <v>0</v>
      </c>
      <c r="E43" s="71">
        <f t="shared" si="17"/>
        <v>380627.38112026453</v>
      </c>
      <c r="F43" s="75">
        <v>20641.68</v>
      </c>
      <c r="G43" s="76">
        <f t="shared" si="3"/>
        <v>18.439748175548914</v>
      </c>
      <c r="I43" s="77">
        <f t="shared" si="18"/>
        <v>33</v>
      </c>
      <c r="J43" s="73">
        <f t="shared" si="4"/>
        <v>2020</v>
      </c>
      <c r="K43" s="78">
        <f t="shared" si="19"/>
        <v>44013</v>
      </c>
    </row>
    <row r="44" spans="2:20" outlineLevel="1">
      <c r="B44" s="78">
        <f t="shared" si="1"/>
        <v>44044</v>
      </c>
      <c r="C44" s="75">
        <v>403719.57064390182</v>
      </c>
      <c r="D44" s="71">
        <f>IF(F44&lt;&gt;0,VLOOKUP($J44,'Table 1'!$B$13:$C$33,2,FALSE)/12*1000*Study_MW,0)</f>
        <v>0</v>
      </c>
      <c r="E44" s="71">
        <f t="shared" si="17"/>
        <v>403719.57064390182</v>
      </c>
      <c r="F44" s="75">
        <v>21487.599999999999</v>
      </c>
      <c r="G44" s="76">
        <f t="shared" si="3"/>
        <v>18.788490601272446</v>
      </c>
      <c r="I44" s="77">
        <f t="shared" si="18"/>
        <v>34</v>
      </c>
      <c r="J44" s="73">
        <f t="shared" si="4"/>
        <v>2020</v>
      </c>
      <c r="K44" s="78">
        <f t="shared" si="19"/>
        <v>44044</v>
      </c>
    </row>
    <row r="45" spans="2:20" outlineLevel="1">
      <c r="B45" s="78">
        <f t="shared" si="1"/>
        <v>44075</v>
      </c>
      <c r="C45" s="75">
        <v>333425.43014751375</v>
      </c>
      <c r="D45" s="71">
        <f>IF(F45&lt;&gt;0,VLOOKUP($J45,'Table 1'!$B$13:$C$33,2,FALSE)/12*1000*Study_MW,0)</f>
        <v>0</v>
      </c>
      <c r="E45" s="71">
        <f t="shared" si="17"/>
        <v>333425.43014751375</v>
      </c>
      <c r="F45" s="75">
        <v>21070.240000000002</v>
      </c>
      <c r="G45" s="76">
        <f t="shared" si="3"/>
        <v>15.824472343338932</v>
      </c>
      <c r="I45" s="77">
        <f t="shared" si="18"/>
        <v>35</v>
      </c>
      <c r="J45" s="73">
        <f t="shared" si="4"/>
        <v>2020</v>
      </c>
      <c r="K45" s="78">
        <f t="shared" si="19"/>
        <v>44075</v>
      </c>
    </row>
    <row r="46" spans="2:20" outlineLevel="1">
      <c r="B46" s="78">
        <f t="shared" si="1"/>
        <v>44105</v>
      </c>
      <c r="C46" s="75">
        <v>273517.76541036367</v>
      </c>
      <c r="D46" s="71">
        <f>IF(F46&lt;&gt;0,VLOOKUP($J46,'Table 1'!$B$13:$C$33,2,FALSE)/12*1000*Study_MW,0)</f>
        <v>0</v>
      </c>
      <c r="E46" s="71">
        <f t="shared" si="17"/>
        <v>273517.76541036367</v>
      </c>
      <c r="F46" s="75">
        <v>20190</v>
      </c>
      <c r="G46" s="76">
        <f t="shared" si="3"/>
        <v>13.547189965842678</v>
      </c>
      <c r="I46" s="77">
        <f t="shared" si="18"/>
        <v>36</v>
      </c>
      <c r="J46" s="73">
        <f t="shared" si="4"/>
        <v>2020</v>
      </c>
      <c r="K46" s="78">
        <f t="shared" si="19"/>
        <v>44105</v>
      </c>
    </row>
    <row r="47" spans="2:20" outlineLevel="1">
      <c r="B47" s="78">
        <f t="shared" si="1"/>
        <v>44136</v>
      </c>
      <c r="C47" s="75">
        <v>346580.44104675949</v>
      </c>
      <c r="D47" s="71">
        <f>IF(F47&lt;&gt;0,VLOOKUP($J47,'Table 1'!$B$13:$C$33,2,FALSE)/12*1000*Study_MW,0)</f>
        <v>0</v>
      </c>
      <c r="E47" s="71">
        <f t="shared" si="17"/>
        <v>346580.44104675949</v>
      </c>
      <c r="F47" s="75">
        <v>20168.560000000001</v>
      </c>
      <c r="G47" s="76">
        <f t="shared" si="3"/>
        <v>17.184193668103198</v>
      </c>
      <c r="I47" s="77">
        <f t="shared" si="18"/>
        <v>37</v>
      </c>
      <c r="J47" s="73">
        <f t="shared" si="4"/>
        <v>2020</v>
      </c>
      <c r="K47" s="78">
        <f t="shared" si="19"/>
        <v>44136</v>
      </c>
    </row>
    <row r="48" spans="2:20" outlineLevel="1">
      <c r="B48" s="82">
        <f t="shared" si="1"/>
        <v>44166</v>
      </c>
      <c r="C48" s="79">
        <v>303321.40216578543</v>
      </c>
      <c r="D48" s="80">
        <f>IF(F48&lt;&gt;0,VLOOKUP($J48,'Table 1'!$B$13:$C$33,2,FALSE)/12*1000*Study_MW,0)</f>
        <v>0</v>
      </c>
      <c r="E48" s="80">
        <f t="shared" si="17"/>
        <v>303321.40216578543</v>
      </c>
      <c r="F48" s="79">
        <v>19836.96</v>
      </c>
      <c r="G48" s="81">
        <f t="shared" si="3"/>
        <v>15.29072005820375</v>
      </c>
      <c r="I48" s="64">
        <f t="shared" si="18"/>
        <v>38</v>
      </c>
      <c r="J48" s="73">
        <f t="shared" si="4"/>
        <v>2020</v>
      </c>
      <c r="K48" s="82">
        <f t="shared" si="19"/>
        <v>44166</v>
      </c>
    </row>
    <row r="49" spans="2:11" outlineLevel="1">
      <c r="B49" s="74">
        <f t="shared" si="1"/>
        <v>44197</v>
      </c>
      <c r="C49" s="69">
        <v>247125.5818824321</v>
      </c>
      <c r="D49" s="70">
        <f>IF(F49&lt;&gt;0,VLOOKUP($J49,'Table 1'!$B$13:$C$33,2,FALSE)/12*1000*Study_MW,0)</f>
        <v>0</v>
      </c>
      <c r="E49" s="70">
        <f t="shared" si="17"/>
        <v>247125.5818824321</v>
      </c>
      <c r="F49" s="69">
        <v>16504.64</v>
      </c>
      <c r="G49" s="72">
        <f t="shared" si="3"/>
        <v>14.973097376400339</v>
      </c>
      <c r="I49" s="60">
        <f>I37+13</f>
        <v>40</v>
      </c>
      <c r="J49" s="73">
        <f t="shared" si="4"/>
        <v>2021</v>
      </c>
      <c r="K49" s="74">
        <f t="shared" si="19"/>
        <v>44197</v>
      </c>
    </row>
    <row r="50" spans="2:11" outlineLevel="1">
      <c r="B50" s="78">
        <f t="shared" si="1"/>
        <v>44228</v>
      </c>
      <c r="C50" s="75">
        <v>224244.58812084794</v>
      </c>
      <c r="D50" s="71">
        <f>IF(F50&lt;&gt;0,VLOOKUP($J50,'Table 1'!$B$13:$C$33,2,FALSE)/12*1000*Study_MW,0)</f>
        <v>0</v>
      </c>
      <c r="E50" s="71">
        <f t="shared" si="17"/>
        <v>224244.58812084794</v>
      </c>
      <c r="F50" s="75">
        <v>13801.92</v>
      </c>
      <c r="G50" s="76">
        <f t="shared" si="3"/>
        <v>16.247347334345363</v>
      </c>
      <c r="I50" s="77">
        <f t="shared" si="18"/>
        <v>41</v>
      </c>
      <c r="J50" s="73">
        <f t="shared" si="4"/>
        <v>2021</v>
      </c>
      <c r="K50" s="78">
        <f t="shared" si="19"/>
        <v>44228</v>
      </c>
    </row>
    <row r="51" spans="2:11" outlineLevel="1">
      <c r="B51" s="78">
        <f t="shared" si="1"/>
        <v>44256</v>
      </c>
      <c r="C51" s="75">
        <v>273993.39540104568</v>
      </c>
      <c r="D51" s="71">
        <f>IF(F51&lt;&gt;0,VLOOKUP($J51,'Table 1'!$B$13:$C$33,2,FALSE)/12*1000*Study_MW,0)</f>
        <v>0</v>
      </c>
      <c r="E51" s="71">
        <f t="shared" si="17"/>
        <v>273993.39540104568</v>
      </c>
      <c r="F51" s="75">
        <v>16861.52</v>
      </c>
      <c r="G51" s="76">
        <f t="shared" si="3"/>
        <v>16.24962609545555</v>
      </c>
      <c r="I51" s="77">
        <f t="shared" si="18"/>
        <v>42</v>
      </c>
      <c r="J51" s="73">
        <f t="shared" si="4"/>
        <v>2021</v>
      </c>
      <c r="K51" s="78">
        <f t="shared" si="19"/>
        <v>44256</v>
      </c>
    </row>
    <row r="52" spans="2:11" outlineLevel="1">
      <c r="B52" s="78">
        <f t="shared" si="1"/>
        <v>44287</v>
      </c>
      <c r="C52" s="75">
        <v>162426.28200219572</v>
      </c>
      <c r="D52" s="71">
        <f>IF(F52&lt;&gt;0,VLOOKUP($J52,'Table 1'!$B$13:$C$33,2,FALSE)/12*1000*Study_MW,0)</f>
        <v>0</v>
      </c>
      <c r="E52" s="71">
        <f t="shared" si="17"/>
        <v>162426.28200219572</v>
      </c>
      <c r="F52" s="75">
        <v>14482.48</v>
      </c>
      <c r="G52" s="76">
        <f t="shared" si="3"/>
        <v>11.215363805245767</v>
      </c>
      <c r="I52" s="77">
        <f t="shared" si="18"/>
        <v>43</v>
      </c>
      <c r="J52" s="73">
        <f t="shared" si="4"/>
        <v>2021</v>
      </c>
      <c r="K52" s="78">
        <f t="shared" si="19"/>
        <v>44287</v>
      </c>
    </row>
    <row r="53" spans="2:11" outlineLevel="1">
      <c r="B53" s="78">
        <f t="shared" si="1"/>
        <v>44317</v>
      </c>
      <c r="C53" s="75">
        <v>162491.45249341428</v>
      </c>
      <c r="D53" s="71">
        <f>IF(F53&lt;&gt;0,VLOOKUP($J53,'Table 1'!$B$13:$C$33,2,FALSE)/12*1000*Study_MW,0)</f>
        <v>0</v>
      </c>
      <c r="E53" s="71">
        <f t="shared" si="17"/>
        <v>162491.45249341428</v>
      </c>
      <c r="F53" s="75">
        <v>14297.28</v>
      </c>
      <c r="G53" s="76">
        <f t="shared" si="3"/>
        <v>11.365200408288448</v>
      </c>
      <c r="I53" s="77">
        <f t="shared" si="18"/>
        <v>44</v>
      </c>
      <c r="J53" s="73">
        <f t="shared" si="4"/>
        <v>2021</v>
      </c>
      <c r="K53" s="78">
        <f t="shared" si="19"/>
        <v>44317</v>
      </c>
    </row>
    <row r="54" spans="2:11" outlineLevel="1">
      <c r="B54" s="78">
        <f t="shared" si="1"/>
        <v>44348</v>
      </c>
      <c r="C54" s="75">
        <v>187511.51999503374</v>
      </c>
      <c r="D54" s="71">
        <f>IF(F54&lt;&gt;0,VLOOKUP($J54,'Table 1'!$B$13:$C$33,2,FALSE)/12*1000*Study_MW,0)</f>
        <v>0</v>
      </c>
      <c r="E54" s="71">
        <f t="shared" si="17"/>
        <v>187511.51999503374</v>
      </c>
      <c r="F54" s="75">
        <v>17929.68</v>
      </c>
      <c r="G54" s="76">
        <f t="shared" si="3"/>
        <v>10.458163224052729</v>
      </c>
      <c r="I54" s="77">
        <f t="shared" si="18"/>
        <v>45</v>
      </c>
      <c r="J54" s="73">
        <f t="shared" si="4"/>
        <v>2021</v>
      </c>
      <c r="K54" s="78">
        <f t="shared" si="19"/>
        <v>44348</v>
      </c>
    </row>
    <row r="55" spans="2:11" outlineLevel="1">
      <c r="B55" s="78">
        <f t="shared" si="1"/>
        <v>44378</v>
      </c>
      <c r="C55" s="75">
        <v>334730.53724846244</v>
      </c>
      <c r="D55" s="71">
        <f>IF(F55&lt;&gt;0,VLOOKUP($J55,'Table 1'!$B$13:$C$33,2,FALSE)/12*1000*Study_MW,0)</f>
        <v>0</v>
      </c>
      <c r="E55" s="71">
        <f t="shared" si="17"/>
        <v>334730.53724846244</v>
      </c>
      <c r="F55" s="75">
        <v>20641.68</v>
      </c>
      <c r="G55" s="76">
        <f t="shared" si="3"/>
        <v>16.216244862262297</v>
      </c>
      <c r="I55" s="77">
        <f t="shared" si="18"/>
        <v>46</v>
      </c>
      <c r="J55" s="73">
        <f t="shared" si="4"/>
        <v>2021</v>
      </c>
      <c r="K55" s="78">
        <f t="shared" si="19"/>
        <v>44378</v>
      </c>
    </row>
    <row r="56" spans="2:11" outlineLevel="1">
      <c r="B56" s="78">
        <f t="shared" si="1"/>
        <v>44409</v>
      </c>
      <c r="C56" s="75">
        <v>360265.44407267869</v>
      </c>
      <c r="D56" s="71">
        <f>IF(F56&lt;&gt;0,VLOOKUP($J56,'Table 1'!$B$13:$C$33,2,FALSE)/12*1000*Study_MW,0)</f>
        <v>0</v>
      </c>
      <c r="E56" s="71">
        <f t="shared" si="17"/>
        <v>360265.44407267869</v>
      </c>
      <c r="F56" s="75">
        <v>21487.599999999999</v>
      </c>
      <c r="G56" s="76">
        <f t="shared" si="3"/>
        <v>16.766202092028831</v>
      </c>
      <c r="I56" s="77">
        <f t="shared" si="18"/>
        <v>47</v>
      </c>
      <c r="J56" s="73">
        <f t="shared" si="4"/>
        <v>2021</v>
      </c>
      <c r="K56" s="78">
        <f t="shared" si="19"/>
        <v>44409</v>
      </c>
    </row>
    <row r="57" spans="2:11" outlineLevel="1">
      <c r="B57" s="78">
        <f t="shared" si="1"/>
        <v>44440</v>
      </c>
      <c r="C57" s="75">
        <v>272981.37240600586</v>
      </c>
      <c r="D57" s="71">
        <f>IF(F57&lt;&gt;0,VLOOKUP($J57,'Table 1'!$B$13:$C$33,2,FALSE)/12*1000*Study_MW,0)</f>
        <v>0</v>
      </c>
      <c r="E57" s="71">
        <f t="shared" si="17"/>
        <v>272981.37240600586</v>
      </c>
      <c r="F57" s="75">
        <v>21070.240000000002</v>
      </c>
      <c r="G57" s="76">
        <f t="shared" si="3"/>
        <v>12.95577897574996</v>
      </c>
      <c r="I57" s="77">
        <f t="shared" si="18"/>
        <v>48</v>
      </c>
      <c r="J57" s="73">
        <f t="shared" si="4"/>
        <v>2021</v>
      </c>
      <c r="K57" s="78">
        <f t="shared" si="19"/>
        <v>44440</v>
      </c>
    </row>
    <row r="58" spans="2:11" outlineLevel="1">
      <c r="B58" s="78">
        <f t="shared" si="1"/>
        <v>44470</v>
      </c>
      <c r="C58" s="75">
        <v>233189.03644327819</v>
      </c>
      <c r="D58" s="71">
        <f>IF(F58&lt;&gt;0,VLOOKUP($J58,'Table 1'!$B$13:$C$33,2,FALSE)/12*1000*Study_MW,0)</f>
        <v>0</v>
      </c>
      <c r="E58" s="71">
        <f t="shared" si="17"/>
        <v>233189.03644327819</v>
      </c>
      <c r="F58" s="75">
        <v>20190</v>
      </c>
      <c r="G58" s="76">
        <f t="shared" si="3"/>
        <v>11.549729392931065</v>
      </c>
      <c r="I58" s="77">
        <f t="shared" si="18"/>
        <v>49</v>
      </c>
      <c r="J58" s="73">
        <f t="shared" si="4"/>
        <v>2021</v>
      </c>
      <c r="K58" s="78">
        <f t="shared" si="19"/>
        <v>44470</v>
      </c>
    </row>
    <row r="59" spans="2:11" outlineLevel="1">
      <c r="B59" s="78">
        <f t="shared" si="1"/>
        <v>44501</v>
      </c>
      <c r="C59" s="75">
        <v>254722.01456050575</v>
      </c>
      <c r="D59" s="71">
        <f>IF(F59&lt;&gt;0,VLOOKUP($J59,'Table 1'!$B$13:$C$33,2,FALSE)/12*1000*Study_MW,0)</f>
        <v>0</v>
      </c>
      <c r="E59" s="71">
        <f t="shared" si="17"/>
        <v>254722.01456050575</v>
      </c>
      <c r="F59" s="75">
        <v>20168.560000000001</v>
      </c>
      <c r="G59" s="76">
        <f t="shared" si="3"/>
        <v>12.62965797064866</v>
      </c>
      <c r="I59" s="77">
        <f t="shared" si="18"/>
        <v>50</v>
      </c>
      <c r="J59" s="73">
        <f t="shared" si="4"/>
        <v>2021</v>
      </c>
      <c r="K59" s="78">
        <f t="shared" si="19"/>
        <v>44501</v>
      </c>
    </row>
    <row r="60" spans="2:11" outlineLevel="1">
      <c r="B60" s="82">
        <f t="shared" si="1"/>
        <v>44531</v>
      </c>
      <c r="C60" s="79">
        <v>321372.28892202675</v>
      </c>
      <c r="D60" s="80">
        <f>IF(F60&lt;&gt;0,VLOOKUP($J60,'Table 1'!$B$13:$C$33,2,FALSE)/12*1000*Study_MW,0)</f>
        <v>0</v>
      </c>
      <c r="E60" s="80">
        <f t="shared" si="17"/>
        <v>321372.28892202675</v>
      </c>
      <c r="F60" s="79">
        <v>19836.96</v>
      </c>
      <c r="G60" s="81">
        <f t="shared" si="3"/>
        <v>16.200682409100324</v>
      </c>
      <c r="I60" s="64">
        <f t="shared" si="18"/>
        <v>51</v>
      </c>
      <c r="J60" s="73">
        <f t="shared" si="4"/>
        <v>2021</v>
      </c>
      <c r="K60" s="82">
        <f t="shared" si="19"/>
        <v>44531</v>
      </c>
    </row>
    <row r="61" spans="2:11" outlineLevel="1">
      <c r="B61" s="74">
        <f t="shared" si="1"/>
        <v>44562</v>
      </c>
      <c r="C61" s="69">
        <v>244015.29248997569</v>
      </c>
      <c r="D61" s="70">
        <f>IF(F61&lt;&gt;0,VLOOKUP($J61,'Table 1'!$B$13:$C$33,2,FALSE)/12*1000*Study_MW,0)</f>
        <v>0</v>
      </c>
      <c r="E61" s="70">
        <f t="shared" si="17"/>
        <v>244015.29248997569</v>
      </c>
      <c r="F61" s="69">
        <v>16504.64</v>
      </c>
      <c r="G61" s="72">
        <f t="shared" si="3"/>
        <v>14.784647983232333</v>
      </c>
      <c r="I61" s="60">
        <f>I49+13</f>
        <v>53</v>
      </c>
      <c r="J61" s="73">
        <f t="shared" si="4"/>
        <v>2022</v>
      </c>
      <c r="K61" s="74">
        <f t="shared" si="19"/>
        <v>44562</v>
      </c>
    </row>
    <row r="62" spans="2:11" outlineLevel="1">
      <c r="B62" s="78">
        <f t="shared" si="1"/>
        <v>44593</v>
      </c>
      <c r="C62" s="75">
        <v>203755.34265817702</v>
      </c>
      <c r="D62" s="71">
        <f>IF(F62&lt;&gt;0,VLOOKUP($J62,'Table 1'!$B$13:$C$33,2,FALSE)/12*1000*Study_MW,0)</f>
        <v>0</v>
      </c>
      <c r="E62" s="71">
        <f t="shared" si="17"/>
        <v>203755.34265817702</v>
      </c>
      <c r="F62" s="75">
        <v>13801.92</v>
      </c>
      <c r="G62" s="76">
        <f t="shared" si="3"/>
        <v>14.762825944374189</v>
      </c>
      <c r="I62" s="77">
        <f t="shared" si="18"/>
        <v>54</v>
      </c>
      <c r="J62" s="73">
        <f t="shared" si="4"/>
        <v>2022</v>
      </c>
      <c r="K62" s="78">
        <f t="shared" si="19"/>
        <v>44593</v>
      </c>
    </row>
    <row r="63" spans="2:11" outlineLevel="1">
      <c r="B63" s="78">
        <f t="shared" si="1"/>
        <v>44621</v>
      </c>
      <c r="C63" s="75">
        <v>231453.73607695103</v>
      </c>
      <c r="D63" s="71">
        <f>IF(F63&lt;&gt;0,VLOOKUP($J63,'Table 1'!$B$13:$C$33,2,FALSE)/12*1000*Study_MW,0)</f>
        <v>0</v>
      </c>
      <c r="E63" s="71">
        <f t="shared" si="17"/>
        <v>231453.73607695103</v>
      </c>
      <c r="F63" s="75">
        <v>16861.52</v>
      </c>
      <c r="G63" s="76">
        <f t="shared" si="3"/>
        <v>13.726742077638969</v>
      </c>
      <c r="I63" s="77">
        <f t="shared" si="18"/>
        <v>55</v>
      </c>
      <c r="J63" s="73">
        <f t="shared" si="4"/>
        <v>2022</v>
      </c>
      <c r="K63" s="78">
        <f t="shared" si="19"/>
        <v>44621</v>
      </c>
    </row>
    <row r="64" spans="2:11" outlineLevel="1">
      <c r="B64" s="78">
        <f t="shared" si="1"/>
        <v>44652</v>
      </c>
      <c r="C64" s="75">
        <v>188906.86315588653</v>
      </c>
      <c r="D64" s="71">
        <f>IF(F64&lt;&gt;0,VLOOKUP($J64,'Table 1'!$B$13:$C$33,2,FALSE)/12*1000*Study_MW,0)</f>
        <v>0</v>
      </c>
      <c r="E64" s="71">
        <f t="shared" si="17"/>
        <v>188906.86315588653</v>
      </c>
      <c r="F64" s="75">
        <v>14482.48</v>
      </c>
      <c r="G64" s="76">
        <f t="shared" si="3"/>
        <v>13.043820060920957</v>
      </c>
      <c r="I64" s="77">
        <f t="shared" si="18"/>
        <v>56</v>
      </c>
      <c r="J64" s="73">
        <f t="shared" si="4"/>
        <v>2022</v>
      </c>
      <c r="K64" s="78">
        <f t="shared" si="19"/>
        <v>44652</v>
      </c>
    </row>
    <row r="65" spans="2:11" outlineLevel="1">
      <c r="B65" s="78">
        <f t="shared" si="1"/>
        <v>44682</v>
      </c>
      <c r="C65" s="75">
        <v>161675.6801186949</v>
      </c>
      <c r="D65" s="71">
        <f>IF(F65&lt;&gt;0,VLOOKUP($J65,'Table 1'!$B$13:$C$33,2,FALSE)/12*1000*Study_MW,0)</f>
        <v>0</v>
      </c>
      <c r="E65" s="71">
        <f t="shared" si="17"/>
        <v>161675.6801186949</v>
      </c>
      <c r="F65" s="75">
        <v>14297.28</v>
      </c>
      <c r="G65" s="76">
        <f t="shared" si="3"/>
        <v>11.308142536111406</v>
      </c>
      <c r="I65" s="77">
        <f t="shared" si="18"/>
        <v>57</v>
      </c>
      <c r="J65" s="73">
        <f t="shared" si="4"/>
        <v>2022</v>
      </c>
      <c r="K65" s="78">
        <f t="shared" si="19"/>
        <v>44682</v>
      </c>
    </row>
    <row r="66" spans="2:11" outlineLevel="1">
      <c r="B66" s="78">
        <f t="shared" si="1"/>
        <v>44713</v>
      </c>
      <c r="C66" s="75">
        <v>230309.68740148842</v>
      </c>
      <c r="D66" s="71">
        <f>IF(F66&lt;&gt;0,VLOOKUP($J66,'Table 1'!$B$13:$C$33,2,FALSE)/12*1000*Study_MW,0)</f>
        <v>0</v>
      </c>
      <c r="E66" s="71">
        <f t="shared" si="17"/>
        <v>230309.68740148842</v>
      </c>
      <c r="F66" s="75">
        <v>17929.68</v>
      </c>
      <c r="G66" s="76">
        <f t="shared" si="3"/>
        <v>12.845164409040676</v>
      </c>
      <c r="I66" s="77">
        <f t="shared" si="18"/>
        <v>58</v>
      </c>
      <c r="J66" s="73">
        <f t="shared" si="4"/>
        <v>2022</v>
      </c>
      <c r="K66" s="78">
        <f t="shared" si="19"/>
        <v>44713</v>
      </c>
    </row>
    <row r="67" spans="2:11" outlineLevel="1">
      <c r="B67" s="78">
        <f t="shared" si="1"/>
        <v>44743</v>
      </c>
      <c r="C67" s="75">
        <v>269158.76247280836</v>
      </c>
      <c r="D67" s="71">
        <f>IF(F67&lt;&gt;0,VLOOKUP($J67,'Table 1'!$B$13:$C$33,2,FALSE)/12*1000*Study_MW,0)</f>
        <v>0</v>
      </c>
      <c r="E67" s="71">
        <f t="shared" si="17"/>
        <v>269158.76247280836</v>
      </c>
      <c r="F67" s="75">
        <v>20641.68</v>
      </c>
      <c r="G67" s="76">
        <f t="shared" si="3"/>
        <v>13.039576355839658</v>
      </c>
      <c r="I67" s="77">
        <f t="shared" si="18"/>
        <v>59</v>
      </c>
      <c r="J67" s="73">
        <f t="shared" si="4"/>
        <v>2022</v>
      </c>
      <c r="K67" s="78">
        <f t="shared" si="19"/>
        <v>44743</v>
      </c>
    </row>
    <row r="68" spans="2:11" outlineLevel="1">
      <c r="B68" s="78">
        <f t="shared" si="1"/>
        <v>44774</v>
      </c>
      <c r="C68" s="75">
        <v>269899.34220275283</v>
      </c>
      <c r="D68" s="71">
        <f>IF(F68&lt;&gt;0,VLOOKUP($J68,'Table 1'!$B$13:$C$33,2,FALSE)/12*1000*Study_MW,0)</f>
        <v>0</v>
      </c>
      <c r="E68" s="71">
        <f t="shared" si="17"/>
        <v>269899.34220275283</v>
      </c>
      <c r="F68" s="75">
        <v>21487.599999999999</v>
      </c>
      <c r="G68" s="76">
        <f t="shared" si="3"/>
        <v>12.560702088774589</v>
      </c>
      <c r="I68" s="77">
        <f t="shared" si="18"/>
        <v>60</v>
      </c>
      <c r="J68" s="73">
        <f t="shared" si="4"/>
        <v>2022</v>
      </c>
      <c r="K68" s="78">
        <f t="shared" si="19"/>
        <v>44774</v>
      </c>
    </row>
    <row r="69" spans="2:11" outlineLevel="1">
      <c r="B69" s="78">
        <f t="shared" si="1"/>
        <v>44805</v>
      </c>
      <c r="C69" s="75">
        <v>260979.40471965075</v>
      </c>
      <c r="D69" s="71">
        <f>IF(F69&lt;&gt;0,VLOOKUP($J69,'Table 1'!$B$13:$C$33,2,FALSE)/12*1000*Study_MW,0)</f>
        <v>0</v>
      </c>
      <c r="E69" s="71">
        <f t="shared" si="17"/>
        <v>260979.40471965075</v>
      </c>
      <c r="F69" s="75">
        <v>21070.240000000002</v>
      </c>
      <c r="G69" s="76">
        <f t="shared" si="3"/>
        <v>12.386161938338184</v>
      </c>
      <c r="I69" s="77">
        <f t="shared" si="18"/>
        <v>61</v>
      </c>
      <c r="J69" s="73">
        <f t="shared" si="4"/>
        <v>2022</v>
      </c>
      <c r="K69" s="78">
        <f t="shared" si="19"/>
        <v>44805</v>
      </c>
    </row>
    <row r="70" spans="2:11" outlineLevel="1">
      <c r="B70" s="78">
        <f t="shared" si="1"/>
        <v>44835</v>
      </c>
      <c r="C70" s="75">
        <v>242587.84346672893</v>
      </c>
      <c r="D70" s="71">
        <f>IF(F70&lt;&gt;0,VLOOKUP($J70,'Table 1'!$B$13:$C$33,2,FALSE)/12*1000*Study_MW,0)</f>
        <v>0</v>
      </c>
      <c r="E70" s="71">
        <f t="shared" si="17"/>
        <v>242587.84346672893</v>
      </c>
      <c r="F70" s="75">
        <v>20190</v>
      </c>
      <c r="G70" s="76">
        <f t="shared" si="3"/>
        <v>12.01524732376072</v>
      </c>
      <c r="I70" s="77">
        <f t="shared" si="18"/>
        <v>62</v>
      </c>
      <c r="J70" s="73">
        <f t="shared" si="4"/>
        <v>2022</v>
      </c>
      <c r="K70" s="78">
        <f t="shared" si="19"/>
        <v>44835</v>
      </c>
    </row>
    <row r="71" spans="2:11" outlineLevel="1">
      <c r="B71" s="78">
        <f t="shared" si="1"/>
        <v>44866</v>
      </c>
      <c r="C71" s="75">
        <v>334529.81466771662</v>
      </c>
      <c r="D71" s="71">
        <f>IF(F71&lt;&gt;0,VLOOKUP($J71,'Table 1'!$B$13:$C$33,2,FALSE)/12*1000*Study_MW,0)</f>
        <v>0</v>
      </c>
      <c r="E71" s="71">
        <f t="shared" si="17"/>
        <v>334529.81466771662</v>
      </c>
      <c r="F71" s="75">
        <v>20168.560000000001</v>
      </c>
      <c r="G71" s="76">
        <f t="shared" si="3"/>
        <v>16.586698042285448</v>
      </c>
      <c r="I71" s="77">
        <f t="shared" si="18"/>
        <v>63</v>
      </c>
      <c r="J71" s="73">
        <f t="shared" si="4"/>
        <v>2022</v>
      </c>
      <c r="K71" s="78">
        <f t="shared" si="19"/>
        <v>44866</v>
      </c>
    </row>
    <row r="72" spans="2:11" outlineLevel="1">
      <c r="B72" s="82">
        <f t="shared" si="1"/>
        <v>44896</v>
      </c>
      <c r="C72" s="79">
        <v>298565.08804766834</v>
      </c>
      <c r="D72" s="80">
        <f>IF(F72&lt;&gt;0,VLOOKUP($J72,'Table 1'!$B$13:$C$33,2,FALSE)/12*1000*Study_MW,0)</f>
        <v>0</v>
      </c>
      <c r="E72" s="80">
        <f t="shared" si="17"/>
        <v>298565.08804766834</v>
      </c>
      <c r="F72" s="79">
        <v>19836.96</v>
      </c>
      <c r="G72" s="81">
        <f t="shared" si="3"/>
        <v>15.05094974470223</v>
      </c>
      <c r="I72" s="64">
        <f t="shared" si="18"/>
        <v>64</v>
      </c>
      <c r="J72" s="73">
        <f t="shared" si="4"/>
        <v>2022</v>
      </c>
      <c r="K72" s="82">
        <f t="shared" si="19"/>
        <v>44896</v>
      </c>
    </row>
    <row r="73" spans="2:11" outlineLevel="1">
      <c r="B73" s="74">
        <f t="shared" si="1"/>
        <v>44927</v>
      </c>
      <c r="C73" s="69">
        <v>262486.86076530814</v>
      </c>
      <c r="D73" s="70">
        <f>IF(F73&lt;&gt;0,VLOOKUP($J73,'Table 1'!$B$13:$C$33,2,FALSE)/12*1000*Study_MW,0)</f>
        <v>0</v>
      </c>
      <c r="E73" s="70">
        <f t="shared" si="17"/>
        <v>262486.86076530814</v>
      </c>
      <c r="F73" s="69">
        <v>16504.64</v>
      </c>
      <c r="G73" s="72">
        <f t="shared" si="3"/>
        <v>15.903822244248172</v>
      </c>
      <c r="I73" s="60">
        <f>I61+13</f>
        <v>66</v>
      </c>
      <c r="J73" s="73">
        <f t="shared" si="4"/>
        <v>2023</v>
      </c>
      <c r="K73" s="74">
        <f t="shared" si="19"/>
        <v>44927</v>
      </c>
    </row>
    <row r="74" spans="2:11" outlineLevel="1">
      <c r="B74" s="78">
        <f t="shared" si="1"/>
        <v>44958</v>
      </c>
      <c r="C74" s="75">
        <v>186679.24329525232</v>
      </c>
      <c r="D74" s="71">
        <f>IF(F74&lt;&gt;0,VLOOKUP($J74,'Table 1'!$B$13:$C$33,2,FALSE)/12*1000*Study_MW,0)</f>
        <v>0</v>
      </c>
      <c r="E74" s="71">
        <f t="shared" si="17"/>
        <v>186679.24329525232</v>
      </c>
      <c r="F74" s="75">
        <v>13801.92</v>
      </c>
      <c r="G74" s="76">
        <f t="shared" si="3"/>
        <v>13.525599575657033</v>
      </c>
      <c r="I74" s="77">
        <f t="shared" si="18"/>
        <v>67</v>
      </c>
      <c r="J74" s="73">
        <f t="shared" si="4"/>
        <v>2023</v>
      </c>
      <c r="K74" s="78">
        <f t="shared" si="19"/>
        <v>44958</v>
      </c>
    </row>
    <row r="75" spans="2:11" outlineLevel="1">
      <c r="B75" s="78">
        <f t="shared" si="1"/>
        <v>44986</v>
      </c>
      <c r="C75" s="75">
        <v>290580.78010325134</v>
      </c>
      <c r="D75" s="71">
        <f>IF(F75&lt;&gt;0,VLOOKUP($J75,'Table 1'!$B$13:$C$33,2,FALSE)/12*1000*Study_MW,0)</f>
        <v>0</v>
      </c>
      <c r="E75" s="71">
        <f t="shared" si="17"/>
        <v>290580.78010325134</v>
      </c>
      <c r="F75" s="75">
        <v>16861.52</v>
      </c>
      <c r="G75" s="76">
        <f t="shared" si="3"/>
        <v>17.233368053606753</v>
      </c>
      <c r="I75" s="77">
        <f t="shared" si="18"/>
        <v>68</v>
      </c>
      <c r="J75" s="73">
        <f t="shared" si="4"/>
        <v>2023</v>
      </c>
      <c r="K75" s="78">
        <f t="shared" si="19"/>
        <v>44986</v>
      </c>
    </row>
    <row r="76" spans="2:11" outlineLevel="1">
      <c r="B76" s="78">
        <f t="shared" si="1"/>
        <v>45017</v>
      </c>
      <c r="C76" s="75">
        <v>203431.13381879032</v>
      </c>
      <c r="D76" s="71">
        <f>IF(F76&lt;&gt;0,VLOOKUP($J76,'Table 1'!$B$13:$C$33,2,FALSE)/12*1000*Study_MW,0)</f>
        <v>0</v>
      </c>
      <c r="E76" s="71">
        <f t="shared" si="17"/>
        <v>203431.13381879032</v>
      </c>
      <c r="F76" s="75">
        <v>14482.48</v>
      </c>
      <c r="G76" s="76">
        <f t="shared" si="3"/>
        <v>14.046705662206357</v>
      </c>
      <c r="I76" s="77">
        <f t="shared" si="18"/>
        <v>69</v>
      </c>
      <c r="J76" s="73">
        <f t="shared" si="4"/>
        <v>2023</v>
      </c>
      <c r="K76" s="78">
        <f t="shared" si="19"/>
        <v>45017</v>
      </c>
    </row>
    <row r="77" spans="2:11" outlineLevel="1">
      <c r="B77" s="78">
        <f t="shared" si="1"/>
        <v>45047</v>
      </c>
      <c r="C77" s="75">
        <v>182935.45075695217</v>
      </c>
      <c r="D77" s="71">
        <f>IF(F77&lt;&gt;0,VLOOKUP($J77,'Table 1'!$B$13:$C$33,2,FALSE)/12*1000*Study_MW,0)</f>
        <v>0</v>
      </c>
      <c r="E77" s="71">
        <f t="shared" si="17"/>
        <v>182935.45075695217</v>
      </c>
      <c r="F77" s="75">
        <v>14297.28</v>
      </c>
      <c r="G77" s="76">
        <f t="shared" si="3"/>
        <v>12.795122621712112</v>
      </c>
      <c r="I77" s="77">
        <f t="shared" si="18"/>
        <v>70</v>
      </c>
      <c r="J77" s="73">
        <f t="shared" si="4"/>
        <v>2023</v>
      </c>
      <c r="K77" s="78">
        <f t="shared" si="19"/>
        <v>45047</v>
      </c>
    </row>
    <row r="78" spans="2:11" outlineLevel="1">
      <c r="B78" s="78">
        <f t="shared" ref="B78:B141" si="33">EDATE(B77,1)</f>
        <v>45078</v>
      </c>
      <c r="C78" s="75">
        <v>242557.61678813398</v>
      </c>
      <c r="D78" s="71">
        <f>IF(F78&lt;&gt;0,VLOOKUP($J78,'Table 1'!$B$13:$C$33,2,FALSE)/12*1000*Study_MW,0)</f>
        <v>0</v>
      </c>
      <c r="E78" s="71">
        <f t="shared" ref="E78:E141" si="34">C78+D78</f>
        <v>242557.61678813398</v>
      </c>
      <c r="F78" s="75">
        <v>17929.68</v>
      </c>
      <c r="G78" s="76">
        <f t="shared" ref="G78:G141" si="35">IF(ISNUMBER($F78),E78/$F78,"")</f>
        <v>13.528273610467894</v>
      </c>
      <c r="I78" s="77">
        <f t="shared" si="18"/>
        <v>71</v>
      </c>
      <c r="J78" s="73">
        <f t="shared" ref="J78:J141" si="36">YEAR(B78)</f>
        <v>2023</v>
      </c>
      <c r="K78" s="78">
        <f t="shared" si="19"/>
        <v>45078</v>
      </c>
    </row>
    <row r="79" spans="2:11" outlineLevel="1">
      <c r="B79" s="78">
        <f t="shared" si="33"/>
        <v>45108</v>
      </c>
      <c r="C79" s="75">
        <v>270872.14211854339</v>
      </c>
      <c r="D79" s="71">
        <f>IF(F79&lt;&gt;0,VLOOKUP($J79,'Table 1'!$B$13:$C$33,2,FALSE)/12*1000*Study_MW,0)</f>
        <v>0</v>
      </c>
      <c r="E79" s="71">
        <f t="shared" si="34"/>
        <v>270872.14211854339</v>
      </c>
      <c r="F79" s="75">
        <v>20641.68</v>
      </c>
      <c r="G79" s="76">
        <f t="shared" si="35"/>
        <v>13.122582179286928</v>
      </c>
      <c r="I79" s="77">
        <f t="shared" si="18"/>
        <v>72</v>
      </c>
      <c r="J79" s="73">
        <f t="shared" si="36"/>
        <v>2023</v>
      </c>
      <c r="K79" s="78">
        <f t="shared" si="19"/>
        <v>45108</v>
      </c>
    </row>
    <row r="80" spans="2:11" outlineLevel="1">
      <c r="B80" s="78">
        <f t="shared" si="33"/>
        <v>45139</v>
      </c>
      <c r="C80" s="75">
        <v>289535.04712375998</v>
      </c>
      <c r="D80" s="71">
        <f>IF(F80&lt;&gt;0,VLOOKUP($J80,'Table 1'!$B$13:$C$33,2,FALSE)/12*1000*Study_MW,0)</f>
        <v>0</v>
      </c>
      <c r="E80" s="71">
        <f t="shared" si="34"/>
        <v>289535.04712375998</v>
      </c>
      <c r="F80" s="75">
        <v>21487.599999999999</v>
      </c>
      <c r="G80" s="76">
        <f t="shared" si="35"/>
        <v>13.474517727608481</v>
      </c>
      <c r="I80" s="77">
        <f t="shared" si="18"/>
        <v>73</v>
      </c>
      <c r="J80" s="73">
        <f t="shared" si="36"/>
        <v>2023</v>
      </c>
      <c r="K80" s="78">
        <f t="shared" si="19"/>
        <v>45139</v>
      </c>
    </row>
    <row r="81" spans="2:11" outlineLevel="1">
      <c r="B81" s="78">
        <f t="shared" si="33"/>
        <v>45170</v>
      </c>
      <c r="C81" s="75">
        <v>253534.3467618227</v>
      </c>
      <c r="D81" s="71">
        <f>IF(F81&lt;&gt;0,VLOOKUP($J81,'Table 1'!$B$13:$C$33,2,FALSE)/12*1000*Study_MW,0)</f>
        <v>0</v>
      </c>
      <c r="E81" s="71">
        <f t="shared" si="34"/>
        <v>253534.3467618227</v>
      </c>
      <c r="F81" s="75">
        <v>21070.240000000002</v>
      </c>
      <c r="G81" s="76">
        <f t="shared" si="35"/>
        <v>12.032817222861375</v>
      </c>
      <c r="I81" s="77">
        <f t="shared" si="18"/>
        <v>74</v>
      </c>
      <c r="J81" s="73">
        <f t="shared" si="36"/>
        <v>2023</v>
      </c>
      <c r="K81" s="78">
        <f t="shared" si="19"/>
        <v>45170</v>
      </c>
    </row>
    <row r="82" spans="2:11" outlineLevel="1">
      <c r="B82" s="78">
        <f t="shared" si="33"/>
        <v>45200</v>
      </c>
      <c r="C82" s="75">
        <v>254557.27631349862</v>
      </c>
      <c r="D82" s="71">
        <f>IF(F82&lt;&gt;0,VLOOKUP($J82,'Table 1'!$B$13:$C$33,2,FALSE)/12*1000*Study_MW,0)</f>
        <v>0</v>
      </c>
      <c r="E82" s="71">
        <f t="shared" si="34"/>
        <v>254557.27631349862</v>
      </c>
      <c r="F82" s="75">
        <v>20190</v>
      </c>
      <c r="G82" s="76">
        <f t="shared" si="35"/>
        <v>12.608086989276801</v>
      </c>
      <c r="I82" s="77">
        <f t="shared" si="18"/>
        <v>75</v>
      </c>
      <c r="J82" s="73">
        <f t="shared" si="36"/>
        <v>2023</v>
      </c>
      <c r="K82" s="78">
        <f t="shared" si="19"/>
        <v>45200</v>
      </c>
    </row>
    <row r="83" spans="2:11" outlineLevel="1">
      <c r="B83" s="78">
        <f t="shared" si="33"/>
        <v>45231</v>
      </c>
      <c r="C83" s="75">
        <v>283420.33519589901</v>
      </c>
      <c r="D83" s="71">
        <f>IF(F83&lt;&gt;0,VLOOKUP($J83,'Table 1'!$B$13:$C$33,2,FALSE)/12*1000*Study_MW,0)</f>
        <v>0</v>
      </c>
      <c r="E83" s="71">
        <f t="shared" si="34"/>
        <v>283420.33519589901</v>
      </c>
      <c r="F83" s="75">
        <v>20168.560000000001</v>
      </c>
      <c r="G83" s="76">
        <f t="shared" si="35"/>
        <v>14.052581602052848</v>
      </c>
      <c r="I83" s="77">
        <f t="shared" si="18"/>
        <v>76</v>
      </c>
      <c r="J83" s="73">
        <f t="shared" si="36"/>
        <v>2023</v>
      </c>
      <c r="K83" s="78">
        <f t="shared" si="19"/>
        <v>45231</v>
      </c>
    </row>
    <row r="84" spans="2:11" outlineLevel="1">
      <c r="B84" s="82">
        <f t="shared" si="33"/>
        <v>45261</v>
      </c>
      <c r="C84" s="79">
        <v>350050.14276862144</v>
      </c>
      <c r="D84" s="80">
        <f>IF(F84&lt;&gt;0,VLOOKUP($J84,'Table 1'!$B$13:$C$33,2,FALSE)/12*1000*Study_MW,0)</f>
        <v>0</v>
      </c>
      <c r="E84" s="80">
        <f t="shared" si="34"/>
        <v>350050.14276862144</v>
      </c>
      <c r="F84" s="79">
        <v>19836.96</v>
      </c>
      <c r="G84" s="81">
        <f t="shared" si="35"/>
        <v>17.646360267330351</v>
      </c>
      <c r="I84" s="64">
        <f t="shared" si="18"/>
        <v>77</v>
      </c>
      <c r="J84" s="73">
        <f t="shared" si="36"/>
        <v>2023</v>
      </c>
      <c r="K84" s="82">
        <f t="shared" si="19"/>
        <v>45261</v>
      </c>
    </row>
    <row r="85" spans="2:11" outlineLevel="1">
      <c r="B85" s="74">
        <f t="shared" si="33"/>
        <v>45292</v>
      </c>
      <c r="C85" s="69">
        <v>288184.94121301174</v>
      </c>
      <c r="D85" s="70">
        <f>IF(F85&lt;&gt;0,VLOOKUP($J85,'Table 1'!$B$13:$C$33,2,FALSE)/12*1000*Study_MW,0)</f>
        <v>0</v>
      </c>
      <c r="E85" s="70">
        <f t="shared" si="34"/>
        <v>288184.94121301174</v>
      </c>
      <c r="F85" s="69">
        <v>16504.64</v>
      </c>
      <c r="G85" s="72">
        <f t="shared" si="35"/>
        <v>17.460843811983281</v>
      </c>
      <c r="I85" s="60">
        <f>I73+13</f>
        <v>79</v>
      </c>
      <c r="J85" s="73">
        <f t="shared" si="36"/>
        <v>2024</v>
      </c>
      <c r="K85" s="74">
        <f t="shared" si="19"/>
        <v>45292</v>
      </c>
    </row>
    <row r="86" spans="2:11" outlineLevel="1">
      <c r="B86" s="78">
        <f t="shared" si="33"/>
        <v>45323</v>
      </c>
      <c r="C86" s="75">
        <v>256520.96540944278</v>
      </c>
      <c r="D86" s="71">
        <f>IF(F86&lt;&gt;0,VLOOKUP($J86,'Table 1'!$B$13:$C$33,2,FALSE)/12*1000*Study_MW,0)</f>
        <v>0</v>
      </c>
      <c r="E86" s="71">
        <f t="shared" si="34"/>
        <v>256520.96540944278</v>
      </c>
      <c r="F86" s="75">
        <v>14442.08</v>
      </c>
      <c r="G86" s="76">
        <f t="shared" si="35"/>
        <v>17.762051270277052</v>
      </c>
      <c r="I86" s="77">
        <f t="shared" si="18"/>
        <v>80</v>
      </c>
      <c r="J86" s="73">
        <f t="shared" si="36"/>
        <v>2024</v>
      </c>
      <c r="K86" s="78">
        <f t="shared" si="19"/>
        <v>45323</v>
      </c>
    </row>
    <row r="87" spans="2:11" outlineLevel="1">
      <c r="B87" s="78">
        <f t="shared" si="33"/>
        <v>45352</v>
      </c>
      <c r="C87" s="75">
        <v>245825.67368003726</v>
      </c>
      <c r="D87" s="71">
        <f>IF(F87&lt;&gt;0,VLOOKUP($J87,'Table 1'!$B$13:$C$33,2,FALSE)/12*1000*Study_MW,0)</f>
        <v>0</v>
      </c>
      <c r="E87" s="71">
        <f t="shared" si="34"/>
        <v>245825.67368003726</v>
      </c>
      <c r="F87" s="75">
        <v>16861.52</v>
      </c>
      <c r="G87" s="76">
        <f t="shared" si="35"/>
        <v>14.579093324921908</v>
      </c>
      <c r="I87" s="77">
        <f t="shared" si="18"/>
        <v>81</v>
      </c>
      <c r="J87" s="73">
        <f t="shared" si="36"/>
        <v>2024</v>
      </c>
      <c r="K87" s="78">
        <f t="shared" si="19"/>
        <v>45352</v>
      </c>
    </row>
    <row r="88" spans="2:11" outlineLevel="1">
      <c r="B88" s="78">
        <f t="shared" si="33"/>
        <v>45383</v>
      </c>
      <c r="C88" s="75">
        <v>190512.46277874708</v>
      </c>
      <c r="D88" s="71">
        <f>IF(F88&lt;&gt;0,VLOOKUP($J88,'Table 1'!$B$13:$C$33,2,FALSE)/12*1000*Study_MW,0)</f>
        <v>0</v>
      </c>
      <c r="E88" s="71">
        <f t="shared" si="34"/>
        <v>190512.46277874708</v>
      </c>
      <c r="F88" s="75">
        <v>14482.48</v>
      </c>
      <c r="G88" s="76">
        <f t="shared" si="35"/>
        <v>13.154685024853968</v>
      </c>
      <c r="I88" s="77">
        <f t="shared" si="18"/>
        <v>82</v>
      </c>
      <c r="J88" s="73">
        <f t="shared" si="36"/>
        <v>2024</v>
      </c>
      <c r="K88" s="78">
        <f t="shared" si="19"/>
        <v>45383</v>
      </c>
    </row>
    <row r="89" spans="2:11" outlineLevel="1">
      <c r="B89" s="78">
        <f t="shared" si="33"/>
        <v>45413</v>
      </c>
      <c r="C89" s="75">
        <v>189794.47733138502</v>
      </c>
      <c r="D89" s="71">
        <f>IF(F89&lt;&gt;0,VLOOKUP($J89,'Table 1'!$B$13:$C$33,2,FALSE)/12*1000*Study_MW,0)</f>
        <v>0</v>
      </c>
      <c r="E89" s="71">
        <f t="shared" si="34"/>
        <v>189794.47733138502</v>
      </c>
      <c r="F89" s="75">
        <v>14297.28</v>
      </c>
      <c r="G89" s="76">
        <f t="shared" si="35"/>
        <v>13.274866081617272</v>
      </c>
      <c r="I89" s="77">
        <f t="shared" si="18"/>
        <v>83</v>
      </c>
      <c r="J89" s="73">
        <f t="shared" si="36"/>
        <v>2024</v>
      </c>
      <c r="K89" s="78">
        <f t="shared" si="19"/>
        <v>45413</v>
      </c>
    </row>
    <row r="90" spans="2:11" outlineLevel="1">
      <c r="B90" s="78">
        <f t="shared" si="33"/>
        <v>45444</v>
      </c>
      <c r="C90" s="75">
        <v>235099.73109050095</v>
      </c>
      <c r="D90" s="71">
        <f>IF(F90&lt;&gt;0,VLOOKUP($J90,'Table 1'!$B$13:$C$33,2,FALSE)/12*1000*Study_MW,0)</f>
        <v>0</v>
      </c>
      <c r="E90" s="71">
        <f t="shared" si="34"/>
        <v>235099.73109050095</v>
      </c>
      <c r="F90" s="75">
        <v>17929.68</v>
      </c>
      <c r="G90" s="76">
        <f t="shared" si="35"/>
        <v>13.112321641574248</v>
      </c>
      <c r="I90" s="77">
        <f t="shared" ref="I90:I96" si="37">I78+13</f>
        <v>84</v>
      </c>
      <c r="J90" s="73">
        <f t="shared" si="36"/>
        <v>2024</v>
      </c>
      <c r="K90" s="78">
        <f t="shared" ref="K90:K153" si="38">IF(ISNUMBER(F90),IF(F90&lt;&gt;0,B90,""),"")</f>
        <v>45444</v>
      </c>
    </row>
    <row r="91" spans="2:11" outlineLevel="1">
      <c r="B91" s="78">
        <f t="shared" si="33"/>
        <v>45474</v>
      </c>
      <c r="C91" s="75">
        <v>276690.3909381032</v>
      </c>
      <c r="D91" s="71">
        <f>IF(F91&lt;&gt;0,VLOOKUP($J91,'Table 1'!$B$13:$C$33,2,FALSE)/12*1000*Study_MW,0)</f>
        <v>0</v>
      </c>
      <c r="E91" s="71">
        <f t="shared" si="34"/>
        <v>276690.3909381032</v>
      </c>
      <c r="F91" s="75">
        <v>20641.68</v>
      </c>
      <c r="G91" s="76">
        <f t="shared" si="35"/>
        <v>13.40445113663729</v>
      </c>
      <c r="I91" s="77">
        <f t="shared" si="37"/>
        <v>85</v>
      </c>
      <c r="J91" s="73">
        <f t="shared" si="36"/>
        <v>2024</v>
      </c>
      <c r="K91" s="78">
        <f t="shared" si="38"/>
        <v>45474</v>
      </c>
    </row>
    <row r="92" spans="2:11" outlineLevel="1">
      <c r="B92" s="78">
        <f t="shared" si="33"/>
        <v>45505</v>
      </c>
      <c r="C92" s="75">
        <v>330486.90240508318</v>
      </c>
      <c r="D92" s="71">
        <f>IF(F92&lt;&gt;0,VLOOKUP($J92,'Table 1'!$B$13:$C$33,2,FALSE)/12*1000*Study_MW,0)</f>
        <v>0</v>
      </c>
      <c r="E92" s="71">
        <f t="shared" si="34"/>
        <v>330486.90240508318</v>
      </c>
      <c r="F92" s="75">
        <v>21487.599999999999</v>
      </c>
      <c r="G92" s="76">
        <f t="shared" si="35"/>
        <v>15.38035436275262</v>
      </c>
      <c r="I92" s="77">
        <f t="shared" si="37"/>
        <v>86</v>
      </c>
      <c r="J92" s="73">
        <f t="shared" si="36"/>
        <v>2024</v>
      </c>
      <c r="K92" s="78">
        <f t="shared" si="38"/>
        <v>45505</v>
      </c>
    </row>
    <row r="93" spans="2:11" outlineLevel="1">
      <c r="B93" s="78">
        <f t="shared" si="33"/>
        <v>45536</v>
      </c>
      <c r="C93" s="75">
        <v>236838.57386098802</v>
      </c>
      <c r="D93" s="71">
        <f>IF(F93&lt;&gt;0,VLOOKUP($J93,'Table 1'!$B$13:$C$33,2,FALSE)/12*1000*Study_MW,0)</f>
        <v>0</v>
      </c>
      <c r="E93" s="71">
        <f t="shared" si="34"/>
        <v>236838.57386098802</v>
      </c>
      <c r="F93" s="75">
        <v>21070.240000000002</v>
      </c>
      <c r="G93" s="76">
        <f t="shared" si="35"/>
        <v>11.240430762107504</v>
      </c>
      <c r="I93" s="77">
        <f t="shared" si="37"/>
        <v>87</v>
      </c>
      <c r="J93" s="73">
        <f t="shared" si="36"/>
        <v>2024</v>
      </c>
      <c r="K93" s="78">
        <f t="shared" si="38"/>
        <v>45536</v>
      </c>
    </row>
    <row r="94" spans="2:11" outlineLevel="1">
      <c r="B94" s="78">
        <f t="shared" si="33"/>
        <v>45566</v>
      </c>
      <c r="C94" s="75">
        <v>224483.73803690076</v>
      </c>
      <c r="D94" s="71">
        <f>IF(F94&lt;&gt;0,VLOOKUP($J94,'Table 1'!$B$13:$C$33,2,FALSE)/12*1000*Study_MW,0)</f>
        <v>0</v>
      </c>
      <c r="E94" s="71">
        <f t="shared" si="34"/>
        <v>224483.73803690076</v>
      </c>
      <c r="F94" s="75">
        <v>20190</v>
      </c>
      <c r="G94" s="76">
        <f t="shared" si="35"/>
        <v>11.118560576369527</v>
      </c>
      <c r="I94" s="77">
        <f t="shared" si="37"/>
        <v>88</v>
      </c>
      <c r="J94" s="73">
        <f t="shared" si="36"/>
        <v>2024</v>
      </c>
      <c r="K94" s="78">
        <f t="shared" si="38"/>
        <v>45566</v>
      </c>
    </row>
    <row r="95" spans="2:11" outlineLevel="1">
      <c r="B95" s="78">
        <f t="shared" si="33"/>
        <v>45597</v>
      </c>
      <c r="C95" s="75">
        <v>477269.64858932793</v>
      </c>
      <c r="D95" s="71">
        <f>IF(F95&lt;&gt;0,VLOOKUP($J95,'Table 1'!$B$13:$C$33,2,FALSE)/12*1000*Study_MW,0)</f>
        <v>0</v>
      </c>
      <c r="E95" s="71">
        <f t="shared" si="34"/>
        <v>477269.64858932793</v>
      </c>
      <c r="F95" s="75">
        <v>20168.560000000001</v>
      </c>
      <c r="G95" s="76">
        <f t="shared" si="35"/>
        <v>23.66404188446413</v>
      </c>
      <c r="I95" s="77">
        <f t="shared" si="37"/>
        <v>89</v>
      </c>
      <c r="J95" s="73">
        <f t="shared" si="36"/>
        <v>2024</v>
      </c>
      <c r="K95" s="78">
        <f t="shared" si="38"/>
        <v>45597</v>
      </c>
    </row>
    <row r="96" spans="2:11" outlineLevel="1">
      <c r="B96" s="82">
        <f t="shared" si="33"/>
        <v>45627</v>
      </c>
      <c r="C96" s="79">
        <v>320801.48164018989</v>
      </c>
      <c r="D96" s="80">
        <f>IF(F96&lt;&gt;0,VLOOKUP($J96,'Table 1'!$B$13:$C$33,2,FALSE)/12*1000*Study_MW,0)</f>
        <v>0</v>
      </c>
      <c r="E96" s="80">
        <f t="shared" si="34"/>
        <v>320801.48164018989</v>
      </c>
      <c r="F96" s="79">
        <v>19836.96</v>
      </c>
      <c r="G96" s="81">
        <f t="shared" si="35"/>
        <v>16.171907471718949</v>
      </c>
      <c r="I96" s="64">
        <f t="shared" si="37"/>
        <v>90</v>
      </c>
      <c r="J96" s="73">
        <f t="shared" si="36"/>
        <v>2024</v>
      </c>
      <c r="K96" s="82">
        <f t="shared" si="38"/>
        <v>45627</v>
      </c>
    </row>
    <row r="97" spans="2:11" outlineLevel="1">
      <c r="B97" s="74">
        <f t="shared" si="33"/>
        <v>45658</v>
      </c>
      <c r="C97" s="69">
        <v>339302.80806741118</v>
      </c>
      <c r="D97" s="70">
        <f>IF(F97&lt;&gt;0,VLOOKUP($J97,'Table 1'!$B$13:$C$33,2,FALSE)/12*1000*Study_MW,0)</f>
        <v>0</v>
      </c>
      <c r="E97" s="70">
        <f t="shared" si="34"/>
        <v>339302.80806741118</v>
      </c>
      <c r="F97" s="69">
        <v>16504.64</v>
      </c>
      <c r="G97" s="72">
        <f t="shared" si="35"/>
        <v>20.558025383614012</v>
      </c>
      <c r="I97" s="60">
        <f>I85+13</f>
        <v>92</v>
      </c>
      <c r="J97" s="73">
        <f t="shared" si="36"/>
        <v>2025</v>
      </c>
      <c r="K97" s="74">
        <f t="shared" si="38"/>
        <v>45658</v>
      </c>
    </row>
    <row r="98" spans="2:11" outlineLevel="1">
      <c r="B98" s="78">
        <f t="shared" si="33"/>
        <v>45689</v>
      </c>
      <c r="C98" s="75">
        <v>278898.17140820622</v>
      </c>
      <c r="D98" s="71">
        <f>IF(F98&lt;&gt;0,VLOOKUP($J98,'Table 1'!$B$13:$C$33,2,FALSE)/12*1000*Study_MW,0)</f>
        <v>0</v>
      </c>
      <c r="E98" s="71">
        <f t="shared" si="34"/>
        <v>278898.17140820622</v>
      </c>
      <c r="F98" s="75">
        <v>13801.92</v>
      </c>
      <c r="G98" s="76">
        <f t="shared" si="35"/>
        <v>20.207200984225835</v>
      </c>
      <c r="I98" s="77">
        <f t="shared" ref="I98:I120" si="39">I86+13</f>
        <v>93</v>
      </c>
      <c r="J98" s="73">
        <f t="shared" si="36"/>
        <v>2025</v>
      </c>
      <c r="K98" s="78">
        <f t="shared" si="38"/>
        <v>45689</v>
      </c>
    </row>
    <row r="99" spans="2:11" outlineLevel="1">
      <c r="B99" s="78">
        <f t="shared" si="33"/>
        <v>45717</v>
      </c>
      <c r="C99" s="75">
        <v>281215.44913716614</v>
      </c>
      <c r="D99" s="71">
        <f>IF(F99&lt;&gt;0,VLOOKUP($J99,'Table 1'!$B$13:$C$33,2,FALSE)/12*1000*Study_MW,0)</f>
        <v>0</v>
      </c>
      <c r="E99" s="71">
        <f t="shared" si="34"/>
        <v>281215.44913716614</v>
      </c>
      <c r="F99" s="75">
        <v>16861.52</v>
      </c>
      <c r="G99" s="76">
        <f t="shared" si="35"/>
        <v>16.677941795114922</v>
      </c>
      <c r="I99" s="77">
        <f t="shared" si="39"/>
        <v>94</v>
      </c>
      <c r="J99" s="73">
        <f t="shared" si="36"/>
        <v>2025</v>
      </c>
      <c r="K99" s="78">
        <f t="shared" si="38"/>
        <v>45717</v>
      </c>
    </row>
    <row r="100" spans="2:11" outlineLevel="1">
      <c r="B100" s="78">
        <f t="shared" si="33"/>
        <v>45748</v>
      </c>
      <c r="C100" s="75">
        <v>292773.30228216946</v>
      </c>
      <c r="D100" s="71">
        <f>IF(F100&lt;&gt;0,VLOOKUP($J100,'Table 1'!$B$13:$C$33,2,FALSE)/12*1000*Study_MW,0)</f>
        <v>0</v>
      </c>
      <c r="E100" s="71">
        <f t="shared" si="34"/>
        <v>292773.30228216946</v>
      </c>
      <c r="F100" s="75">
        <v>14482.48</v>
      </c>
      <c r="G100" s="76">
        <f t="shared" si="35"/>
        <v>20.215688354630522</v>
      </c>
      <c r="I100" s="77">
        <f t="shared" si="39"/>
        <v>95</v>
      </c>
      <c r="J100" s="73">
        <f t="shared" si="36"/>
        <v>2025</v>
      </c>
      <c r="K100" s="78">
        <f t="shared" si="38"/>
        <v>45748</v>
      </c>
    </row>
    <row r="101" spans="2:11" outlineLevel="1">
      <c r="B101" s="78">
        <f t="shared" si="33"/>
        <v>45778</v>
      </c>
      <c r="C101" s="75">
        <v>251410.87487065792</v>
      </c>
      <c r="D101" s="71">
        <f>IF(F101&lt;&gt;0,VLOOKUP($J101,'Table 1'!$B$13:$C$33,2,FALSE)/12*1000*Study_MW,0)</f>
        <v>0</v>
      </c>
      <c r="E101" s="71">
        <f t="shared" si="34"/>
        <v>251410.87487065792</v>
      </c>
      <c r="F101" s="75">
        <v>14297.28</v>
      </c>
      <c r="G101" s="76">
        <f t="shared" si="35"/>
        <v>17.584524809660152</v>
      </c>
      <c r="I101" s="77">
        <f t="shared" si="39"/>
        <v>96</v>
      </c>
      <c r="J101" s="73">
        <f t="shared" si="36"/>
        <v>2025</v>
      </c>
      <c r="K101" s="78">
        <f t="shared" si="38"/>
        <v>45778</v>
      </c>
    </row>
    <row r="102" spans="2:11" outlineLevel="1">
      <c r="B102" s="78">
        <f t="shared" si="33"/>
        <v>45809</v>
      </c>
      <c r="C102" s="75">
        <v>293643.14606116712</v>
      </c>
      <c r="D102" s="71">
        <f>IF(F102&lt;&gt;0,VLOOKUP($J102,'Table 1'!$B$13:$C$33,2,FALSE)/12*1000*Study_MW,0)</f>
        <v>0</v>
      </c>
      <c r="E102" s="71">
        <f t="shared" si="34"/>
        <v>293643.14606116712</v>
      </c>
      <c r="F102" s="75">
        <v>17929.68</v>
      </c>
      <c r="G102" s="76">
        <f t="shared" si="35"/>
        <v>16.377489506849376</v>
      </c>
      <c r="I102" s="77">
        <f t="shared" si="39"/>
        <v>97</v>
      </c>
      <c r="J102" s="73">
        <f t="shared" si="36"/>
        <v>2025</v>
      </c>
      <c r="K102" s="78">
        <f t="shared" si="38"/>
        <v>45809</v>
      </c>
    </row>
    <row r="103" spans="2:11" outlineLevel="1">
      <c r="B103" s="78">
        <f t="shared" si="33"/>
        <v>45839</v>
      </c>
      <c r="C103" s="75">
        <v>458842.52715301514</v>
      </c>
      <c r="D103" s="71">
        <f>IF(F103&lt;&gt;0,VLOOKUP($J103,'Table 1'!$B$13:$C$33,2,FALSE)/12*1000*Study_MW,0)</f>
        <v>0</v>
      </c>
      <c r="E103" s="71">
        <f t="shared" si="34"/>
        <v>458842.52715301514</v>
      </c>
      <c r="F103" s="75">
        <v>20641.68</v>
      </c>
      <c r="G103" s="76">
        <f t="shared" si="35"/>
        <v>22.228933262845619</v>
      </c>
      <c r="I103" s="77">
        <f t="shared" si="39"/>
        <v>98</v>
      </c>
      <c r="J103" s="73">
        <f t="shared" si="36"/>
        <v>2025</v>
      </c>
      <c r="K103" s="78">
        <f t="shared" si="38"/>
        <v>45839</v>
      </c>
    </row>
    <row r="104" spans="2:11" outlineLevel="1">
      <c r="B104" s="78">
        <f t="shared" si="33"/>
        <v>45870</v>
      </c>
      <c r="C104" s="75">
        <v>513492.33335536718</v>
      </c>
      <c r="D104" s="71">
        <f>IF(F104&lt;&gt;0,VLOOKUP($J104,'Table 1'!$B$13:$C$33,2,FALSE)/12*1000*Study_MW,0)</f>
        <v>0</v>
      </c>
      <c r="E104" s="71">
        <f t="shared" si="34"/>
        <v>513492.33335536718</v>
      </c>
      <c r="F104" s="75">
        <v>21487.599999999999</v>
      </c>
      <c r="G104" s="76">
        <f t="shared" si="35"/>
        <v>23.897146882637763</v>
      </c>
      <c r="I104" s="77">
        <f t="shared" si="39"/>
        <v>99</v>
      </c>
      <c r="J104" s="73">
        <f t="shared" si="36"/>
        <v>2025</v>
      </c>
      <c r="K104" s="78">
        <f t="shared" si="38"/>
        <v>45870</v>
      </c>
    </row>
    <row r="105" spans="2:11" outlineLevel="1">
      <c r="B105" s="78">
        <f t="shared" si="33"/>
        <v>45901</v>
      </c>
      <c r="C105" s="75">
        <v>491469.74037310481</v>
      </c>
      <c r="D105" s="71">
        <f>IF(F105&lt;&gt;0,VLOOKUP($J105,'Table 1'!$B$13:$C$33,2,FALSE)/12*1000*Study_MW,0)</f>
        <v>0</v>
      </c>
      <c r="E105" s="71">
        <f t="shared" si="34"/>
        <v>491469.74037310481</v>
      </c>
      <c r="F105" s="75">
        <v>21070.240000000002</v>
      </c>
      <c r="G105" s="76">
        <f t="shared" si="35"/>
        <v>23.325303383972123</v>
      </c>
      <c r="I105" s="77">
        <f t="shared" si="39"/>
        <v>100</v>
      </c>
      <c r="J105" s="73">
        <f t="shared" si="36"/>
        <v>2025</v>
      </c>
      <c r="K105" s="78">
        <f t="shared" si="38"/>
        <v>45901</v>
      </c>
    </row>
    <row r="106" spans="2:11" outlineLevel="1">
      <c r="B106" s="78">
        <f t="shared" si="33"/>
        <v>45931</v>
      </c>
      <c r="C106" s="75">
        <v>265108.47266469896</v>
      </c>
      <c r="D106" s="71">
        <f>IF(F106&lt;&gt;0,VLOOKUP($J106,'Table 1'!$B$13:$C$33,2,FALSE)/12*1000*Study_MW,0)</f>
        <v>0</v>
      </c>
      <c r="E106" s="71">
        <f t="shared" si="34"/>
        <v>265108.47266469896</v>
      </c>
      <c r="F106" s="75">
        <v>20190</v>
      </c>
      <c r="G106" s="76">
        <f t="shared" si="35"/>
        <v>13.130682152783505</v>
      </c>
      <c r="I106" s="77">
        <f t="shared" si="39"/>
        <v>101</v>
      </c>
      <c r="J106" s="73">
        <f t="shared" si="36"/>
        <v>2025</v>
      </c>
      <c r="K106" s="78">
        <f t="shared" si="38"/>
        <v>45931</v>
      </c>
    </row>
    <row r="107" spans="2:11" outlineLevel="1">
      <c r="B107" s="78">
        <f t="shared" si="33"/>
        <v>45962</v>
      </c>
      <c r="C107" s="75">
        <v>433539.38773179054</v>
      </c>
      <c r="D107" s="71">
        <f>IF(F107&lt;&gt;0,VLOOKUP($J107,'Table 1'!$B$13:$C$33,2,FALSE)/12*1000*Study_MW,0)</f>
        <v>0</v>
      </c>
      <c r="E107" s="71">
        <f t="shared" si="34"/>
        <v>433539.38773179054</v>
      </c>
      <c r="F107" s="75">
        <v>20168.560000000001</v>
      </c>
      <c r="G107" s="76">
        <f t="shared" si="35"/>
        <v>21.495802760920487</v>
      </c>
      <c r="I107" s="77">
        <f t="shared" si="39"/>
        <v>102</v>
      </c>
      <c r="J107" s="73">
        <f t="shared" si="36"/>
        <v>2025</v>
      </c>
      <c r="K107" s="78">
        <f t="shared" si="38"/>
        <v>45962</v>
      </c>
    </row>
    <row r="108" spans="2:11" outlineLevel="1">
      <c r="B108" s="82">
        <f t="shared" si="33"/>
        <v>45992</v>
      </c>
      <c r="C108" s="79">
        <v>481546.57195451856</v>
      </c>
      <c r="D108" s="80">
        <f>IF(F108&lt;&gt;0,VLOOKUP($J108,'Table 1'!$B$13:$C$33,2,FALSE)/12*1000*Study_MW,0)</f>
        <v>0</v>
      </c>
      <c r="E108" s="80">
        <f t="shared" si="34"/>
        <v>481546.57195451856</v>
      </c>
      <c r="F108" s="79">
        <v>19836.96</v>
      </c>
      <c r="G108" s="81">
        <f t="shared" si="35"/>
        <v>24.275220192737123</v>
      </c>
      <c r="I108" s="64">
        <f t="shared" si="39"/>
        <v>103</v>
      </c>
      <c r="J108" s="73">
        <f t="shared" si="36"/>
        <v>2025</v>
      </c>
      <c r="K108" s="82">
        <f t="shared" si="38"/>
        <v>45992</v>
      </c>
    </row>
    <row r="109" spans="2:11" outlineLevel="1">
      <c r="B109" s="74">
        <f t="shared" si="33"/>
        <v>46023</v>
      </c>
      <c r="C109" s="69">
        <v>423903.90042245388</v>
      </c>
      <c r="D109" s="70">
        <f>IF(F109&lt;&gt;0,VLOOKUP($J109,'Table 1'!$B$13:$C$33,2,FALSE)/12*1000*Study_MW,0)</f>
        <v>0</v>
      </c>
      <c r="E109" s="70">
        <f t="shared" si="34"/>
        <v>423903.90042245388</v>
      </c>
      <c r="F109" s="69">
        <v>16504.64</v>
      </c>
      <c r="G109" s="72">
        <f t="shared" si="35"/>
        <v>25.683922849723103</v>
      </c>
      <c r="I109" s="60">
        <f>I97+13</f>
        <v>105</v>
      </c>
      <c r="J109" s="73">
        <f t="shared" si="36"/>
        <v>2026</v>
      </c>
      <c r="K109" s="74">
        <f t="shared" si="38"/>
        <v>46023</v>
      </c>
    </row>
    <row r="110" spans="2:11" outlineLevel="1">
      <c r="B110" s="78">
        <f t="shared" si="33"/>
        <v>46054</v>
      </c>
      <c r="C110" s="75">
        <v>371402.27646124363</v>
      </c>
      <c r="D110" s="71">
        <f>IF(F110&lt;&gt;0,VLOOKUP($J110,'Table 1'!$B$13:$C$33,2,FALSE)/12*1000*Study_MW,0)</f>
        <v>0</v>
      </c>
      <c r="E110" s="71">
        <f t="shared" si="34"/>
        <v>371402.27646124363</v>
      </c>
      <c r="F110" s="75">
        <v>13801.92</v>
      </c>
      <c r="G110" s="76">
        <f t="shared" si="35"/>
        <v>26.909464513722991</v>
      </c>
      <c r="I110" s="77">
        <f t="shared" si="39"/>
        <v>106</v>
      </c>
      <c r="J110" s="73">
        <f t="shared" si="36"/>
        <v>2026</v>
      </c>
      <c r="K110" s="78">
        <f t="shared" si="38"/>
        <v>46054</v>
      </c>
    </row>
    <row r="111" spans="2:11" outlineLevel="1">
      <c r="B111" s="78">
        <f t="shared" si="33"/>
        <v>46082</v>
      </c>
      <c r="C111" s="75">
        <v>364825.83401592076</v>
      </c>
      <c r="D111" s="71">
        <f>IF(F111&lt;&gt;0,VLOOKUP($J111,'Table 1'!$B$13:$C$33,2,FALSE)/12*1000*Study_MW,0)</f>
        <v>0</v>
      </c>
      <c r="E111" s="71">
        <f t="shared" si="34"/>
        <v>364825.83401592076</v>
      </c>
      <c r="F111" s="75">
        <v>16861.52</v>
      </c>
      <c r="G111" s="76">
        <f t="shared" si="35"/>
        <v>21.63659231290659</v>
      </c>
      <c r="I111" s="77">
        <f t="shared" si="39"/>
        <v>107</v>
      </c>
      <c r="J111" s="73">
        <f t="shared" si="36"/>
        <v>2026</v>
      </c>
      <c r="K111" s="78">
        <f t="shared" si="38"/>
        <v>46082</v>
      </c>
    </row>
    <row r="112" spans="2:11" outlineLevel="1">
      <c r="B112" s="78">
        <f t="shared" si="33"/>
        <v>46113</v>
      </c>
      <c r="C112" s="75">
        <v>316757.72501200438</v>
      </c>
      <c r="D112" s="71">
        <f>IF(F112&lt;&gt;0,VLOOKUP($J112,'Table 1'!$B$13:$C$33,2,FALSE)/12*1000*Study_MW,0)</f>
        <v>0</v>
      </c>
      <c r="E112" s="71">
        <f t="shared" si="34"/>
        <v>316757.72501200438</v>
      </c>
      <c r="F112" s="75">
        <v>14482.48</v>
      </c>
      <c r="G112" s="76">
        <f t="shared" si="35"/>
        <v>21.871787498550276</v>
      </c>
      <c r="I112" s="77">
        <f t="shared" si="39"/>
        <v>108</v>
      </c>
      <c r="J112" s="73">
        <f t="shared" si="36"/>
        <v>2026</v>
      </c>
      <c r="K112" s="78">
        <f t="shared" si="38"/>
        <v>46113</v>
      </c>
    </row>
    <row r="113" spans="2:11" outlineLevel="1">
      <c r="B113" s="78">
        <f t="shared" si="33"/>
        <v>46143</v>
      </c>
      <c r="C113" s="75">
        <v>332107.18802109361</v>
      </c>
      <c r="D113" s="71">
        <f>IF(F113&lt;&gt;0,VLOOKUP($J113,'Table 1'!$B$13:$C$33,2,FALSE)/12*1000*Study_MW,0)</f>
        <v>0</v>
      </c>
      <c r="E113" s="71">
        <f t="shared" si="34"/>
        <v>332107.18802109361</v>
      </c>
      <c r="F113" s="75">
        <v>14297.28</v>
      </c>
      <c r="G113" s="76">
        <f t="shared" si="35"/>
        <v>23.228697208216779</v>
      </c>
      <c r="I113" s="77">
        <f t="shared" si="39"/>
        <v>109</v>
      </c>
      <c r="J113" s="73">
        <f t="shared" si="36"/>
        <v>2026</v>
      </c>
      <c r="K113" s="78">
        <f t="shared" si="38"/>
        <v>46143</v>
      </c>
    </row>
    <row r="114" spans="2:11" outlineLevel="1">
      <c r="B114" s="78">
        <f t="shared" si="33"/>
        <v>46174</v>
      </c>
      <c r="C114" s="75">
        <v>418361.11473692954</v>
      </c>
      <c r="D114" s="71">
        <f>IF(F114&lt;&gt;0,VLOOKUP($J114,'Table 1'!$B$13:$C$33,2,FALSE)/12*1000*Study_MW,0)</f>
        <v>0</v>
      </c>
      <c r="E114" s="71">
        <f t="shared" si="34"/>
        <v>418361.11473692954</v>
      </c>
      <c r="F114" s="75">
        <v>17929.68</v>
      </c>
      <c r="G114" s="76">
        <f t="shared" si="35"/>
        <v>23.333440124805882</v>
      </c>
      <c r="I114" s="77">
        <f t="shared" si="39"/>
        <v>110</v>
      </c>
      <c r="J114" s="73">
        <f t="shared" si="36"/>
        <v>2026</v>
      </c>
      <c r="K114" s="78">
        <f t="shared" si="38"/>
        <v>46174</v>
      </c>
    </row>
    <row r="115" spans="2:11" outlineLevel="1">
      <c r="B115" s="78">
        <f t="shared" si="33"/>
        <v>46204</v>
      </c>
      <c r="C115" s="75">
        <v>504365.15645357966</v>
      </c>
      <c r="D115" s="71">
        <f>IF(F115&lt;&gt;0,VLOOKUP($J115,'Table 1'!$B$13:$C$33,2,FALSE)/12*1000*Study_MW,0)</f>
        <v>0</v>
      </c>
      <c r="E115" s="71">
        <f t="shared" si="34"/>
        <v>504365.15645357966</v>
      </c>
      <c r="F115" s="75">
        <v>20641.68</v>
      </c>
      <c r="G115" s="76">
        <f t="shared" si="35"/>
        <v>24.434307500822591</v>
      </c>
      <c r="I115" s="77">
        <f t="shared" si="39"/>
        <v>111</v>
      </c>
      <c r="J115" s="73">
        <f t="shared" si="36"/>
        <v>2026</v>
      </c>
      <c r="K115" s="78">
        <f t="shared" si="38"/>
        <v>46204</v>
      </c>
    </row>
    <row r="116" spans="2:11" outlineLevel="1">
      <c r="B116" s="78">
        <f t="shared" si="33"/>
        <v>46235</v>
      </c>
      <c r="C116" s="75">
        <v>483118.16097339988</v>
      </c>
      <c r="D116" s="71">
        <f>IF(F116&lt;&gt;0,VLOOKUP($J116,'Table 1'!$B$13:$C$33,2,FALSE)/12*1000*Study_MW,0)</f>
        <v>0</v>
      </c>
      <c r="E116" s="71">
        <f t="shared" si="34"/>
        <v>483118.16097339988</v>
      </c>
      <c r="F116" s="75">
        <v>21487.599999999999</v>
      </c>
      <c r="G116" s="76">
        <f t="shared" si="35"/>
        <v>22.48357941200506</v>
      </c>
      <c r="I116" s="77">
        <f t="shared" si="39"/>
        <v>112</v>
      </c>
      <c r="J116" s="73">
        <f t="shared" si="36"/>
        <v>2026</v>
      </c>
      <c r="K116" s="78">
        <f t="shared" si="38"/>
        <v>46235</v>
      </c>
    </row>
    <row r="117" spans="2:11" outlineLevel="1">
      <c r="B117" s="78">
        <f t="shared" si="33"/>
        <v>46266</v>
      </c>
      <c r="C117" s="75">
        <v>430726.55051608384</v>
      </c>
      <c r="D117" s="71">
        <f>IF(F117&lt;&gt;0,VLOOKUP($J117,'Table 1'!$B$13:$C$33,2,FALSE)/12*1000*Study_MW,0)</f>
        <v>0</v>
      </c>
      <c r="E117" s="71">
        <f t="shared" si="34"/>
        <v>430726.55051608384</v>
      </c>
      <c r="F117" s="75">
        <v>21070.240000000002</v>
      </c>
      <c r="G117" s="76">
        <f t="shared" si="35"/>
        <v>20.44241311518444</v>
      </c>
      <c r="I117" s="77">
        <f t="shared" si="39"/>
        <v>113</v>
      </c>
      <c r="J117" s="73">
        <f t="shared" si="36"/>
        <v>2026</v>
      </c>
      <c r="K117" s="78">
        <f t="shared" si="38"/>
        <v>46266</v>
      </c>
    </row>
    <row r="118" spans="2:11" outlineLevel="1">
      <c r="B118" s="78">
        <f t="shared" si="33"/>
        <v>46296</v>
      </c>
      <c r="C118" s="75">
        <v>288759.70738045871</v>
      </c>
      <c r="D118" s="71">
        <f>IF(F118&lt;&gt;0,VLOOKUP($J118,'Table 1'!$B$13:$C$33,2,FALSE)/12*1000*Study_MW,0)</f>
        <v>0</v>
      </c>
      <c r="E118" s="71">
        <f t="shared" si="34"/>
        <v>288759.70738045871</v>
      </c>
      <c r="F118" s="75">
        <v>20190</v>
      </c>
      <c r="G118" s="76">
        <f t="shared" si="35"/>
        <v>14.302115273920689</v>
      </c>
      <c r="I118" s="77">
        <f t="shared" si="39"/>
        <v>114</v>
      </c>
      <c r="J118" s="73">
        <f t="shared" si="36"/>
        <v>2026</v>
      </c>
      <c r="K118" s="78">
        <f t="shared" si="38"/>
        <v>46296</v>
      </c>
    </row>
    <row r="119" spans="2:11" outlineLevel="1">
      <c r="B119" s="78">
        <f t="shared" si="33"/>
        <v>46327</v>
      </c>
      <c r="C119" s="75">
        <v>478652.76776146889</v>
      </c>
      <c r="D119" s="71">
        <f>IF(F119&lt;&gt;0,VLOOKUP($J119,'Table 1'!$B$13:$C$33,2,FALSE)/12*1000*Study_MW,0)</f>
        <v>0</v>
      </c>
      <c r="E119" s="71">
        <f t="shared" si="34"/>
        <v>478652.76776146889</v>
      </c>
      <c r="F119" s="75">
        <v>20168.560000000001</v>
      </c>
      <c r="G119" s="76">
        <f t="shared" si="35"/>
        <v>23.732619867827392</v>
      </c>
      <c r="I119" s="77">
        <f t="shared" si="39"/>
        <v>115</v>
      </c>
      <c r="J119" s="73">
        <f t="shared" si="36"/>
        <v>2026</v>
      </c>
      <c r="K119" s="78">
        <f t="shared" si="38"/>
        <v>46327</v>
      </c>
    </row>
    <row r="120" spans="2:11" outlineLevel="1">
      <c r="B120" s="82">
        <f t="shared" si="33"/>
        <v>46357</v>
      </c>
      <c r="C120" s="79">
        <v>480081.8397038281</v>
      </c>
      <c r="D120" s="80">
        <f>IF(F120&lt;&gt;0,VLOOKUP($J120,'Table 1'!$B$13:$C$33,2,FALSE)/12*1000*Study_MW,0)</f>
        <v>0</v>
      </c>
      <c r="E120" s="80">
        <f t="shared" si="34"/>
        <v>480081.8397038281</v>
      </c>
      <c r="F120" s="79">
        <v>19836.96</v>
      </c>
      <c r="G120" s="81">
        <f t="shared" si="35"/>
        <v>24.201381648389074</v>
      </c>
      <c r="I120" s="64">
        <f t="shared" si="39"/>
        <v>116</v>
      </c>
      <c r="J120" s="73">
        <f t="shared" si="36"/>
        <v>2026</v>
      </c>
      <c r="K120" s="82">
        <f t="shared" si="38"/>
        <v>46357</v>
      </c>
    </row>
    <row r="121" spans="2:11" outlineLevel="1">
      <c r="B121" s="74">
        <f t="shared" si="33"/>
        <v>46388</v>
      </c>
      <c r="C121" s="69">
        <v>441002.83336088061</v>
      </c>
      <c r="D121" s="70">
        <f>IF(F121&lt;&gt;0,VLOOKUP($J121,'Table 1'!$B$13:$C$33,2,FALSE)/12*1000*Study_MW,0)</f>
        <v>0</v>
      </c>
      <c r="E121" s="70">
        <f t="shared" si="34"/>
        <v>441002.83336088061</v>
      </c>
      <c r="F121" s="69">
        <v>16504.64</v>
      </c>
      <c r="G121" s="72">
        <f t="shared" si="35"/>
        <v>26.719930477785677</v>
      </c>
      <c r="I121" s="60">
        <f>I109+13</f>
        <v>118</v>
      </c>
      <c r="J121" s="73">
        <f t="shared" si="36"/>
        <v>2027</v>
      </c>
      <c r="K121" s="74">
        <f t="shared" si="38"/>
        <v>46388</v>
      </c>
    </row>
    <row r="122" spans="2:11" outlineLevel="1">
      <c r="B122" s="78">
        <f t="shared" si="33"/>
        <v>46419</v>
      </c>
      <c r="C122" s="75">
        <v>355536.66780507565</v>
      </c>
      <c r="D122" s="71">
        <f>IF(F122&lt;&gt;0,VLOOKUP($J122,'Table 1'!$B$13:$C$33,2,FALSE)/12*1000*Study_MW,0)</f>
        <v>0</v>
      </c>
      <c r="E122" s="71">
        <f t="shared" si="34"/>
        <v>355536.66780507565</v>
      </c>
      <c r="F122" s="75">
        <v>13801.92</v>
      </c>
      <c r="G122" s="76">
        <f t="shared" si="35"/>
        <v>25.759942660519378</v>
      </c>
      <c r="I122" s="77">
        <f t="shared" ref="I122:I132" si="40">I110+13</f>
        <v>119</v>
      </c>
      <c r="J122" s="73">
        <f t="shared" si="36"/>
        <v>2027</v>
      </c>
      <c r="K122" s="78">
        <f t="shared" si="38"/>
        <v>46419</v>
      </c>
    </row>
    <row r="123" spans="2:11" outlineLevel="1">
      <c r="B123" s="78">
        <f t="shared" si="33"/>
        <v>46447</v>
      </c>
      <c r="C123" s="75">
        <v>367616.43002530932</v>
      </c>
      <c r="D123" s="71">
        <f>IF(F123&lt;&gt;0,VLOOKUP($J123,'Table 1'!$B$13:$C$33,2,FALSE)/12*1000*Study_MW,0)</f>
        <v>0</v>
      </c>
      <c r="E123" s="71">
        <f t="shared" si="34"/>
        <v>367616.43002530932</v>
      </c>
      <c r="F123" s="75">
        <v>16861.52</v>
      </c>
      <c r="G123" s="76">
        <f t="shared" si="35"/>
        <v>21.802093169851194</v>
      </c>
      <c r="I123" s="77">
        <f t="shared" si="40"/>
        <v>120</v>
      </c>
      <c r="J123" s="73">
        <f t="shared" si="36"/>
        <v>2027</v>
      </c>
      <c r="K123" s="78">
        <f t="shared" si="38"/>
        <v>46447</v>
      </c>
    </row>
    <row r="124" spans="2:11" outlineLevel="1">
      <c r="B124" s="78">
        <f t="shared" si="33"/>
        <v>46478</v>
      </c>
      <c r="C124" s="75">
        <v>340758.07362927496</v>
      </c>
      <c r="D124" s="71">
        <f>IF(F124&lt;&gt;0,VLOOKUP($J124,'Table 1'!$B$13:$C$33,2,FALSE)/12*1000*Study_MW,0)</f>
        <v>0</v>
      </c>
      <c r="E124" s="71">
        <f t="shared" si="34"/>
        <v>340758.07362927496</v>
      </c>
      <c r="F124" s="75">
        <v>14482.48</v>
      </c>
      <c r="G124" s="76">
        <f t="shared" si="35"/>
        <v>23.528986308234153</v>
      </c>
      <c r="I124" s="77">
        <f t="shared" si="40"/>
        <v>121</v>
      </c>
      <c r="J124" s="73">
        <f t="shared" si="36"/>
        <v>2027</v>
      </c>
      <c r="K124" s="78">
        <f t="shared" si="38"/>
        <v>46478</v>
      </c>
    </row>
    <row r="125" spans="2:11" outlineLevel="1">
      <c r="B125" s="78">
        <f t="shared" si="33"/>
        <v>46508</v>
      </c>
      <c r="C125" s="75">
        <v>307843.50942100585</v>
      </c>
      <c r="D125" s="71">
        <f>IF(F125&lt;&gt;0,VLOOKUP($J125,'Table 1'!$B$13:$C$33,2,FALSE)/12*1000*Study_MW,0)</f>
        <v>0</v>
      </c>
      <c r="E125" s="71">
        <f t="shared" si="34"/>
        <v>307843.50942100585</v>
      </c>
      <c r="F125" s="75">
        <v>14297.28</v>
      </c>
      <c r="G125" s="76">
        <f t="shared" si="35"/>
        <v>21.531613665047185</v>
      </c>
      <c r="I125" s="77">
        <f t="shared" si="40"/>
        <v>122</v>
      </c>
      <c r="J125" s="73">
        <f t="shared" si="36"/>
        <v>2027</v>
      </c>
      <c r="K125" s="78">
        <f t="shared" si="38"/>
        <v>46508</v>
      </c>
    </row>
    <row r="126" spans="2:11" outlineLevel="1">
      <c r="B126" s="78">
        <f t="shared" si="33"/>
        <v>46539</v>
      </c>
      <c r="C126" s="75">
        <v>398740.01661349833</v>
      </c>
      <c r="D126" s="71">
        <f>IF(F126&lt;&gt;0,VLOOKUP($J126,'Table 1'!$B$13:$C$33,2,FALSE)/12*1000*Study_MW,0)</f>
        <v>0</v>
      </c>
      <c r="E126" s="71">
        <f t="shared" si="34"/>
        <v>398740.01661349833</v>
      </c>
      <c r="F126" s="75">
        <v>17929.68</v>
      </c>
      <c r="G126" s="76">
        <f t="shared" si="35"/>
        <v>22.239103911140539</v>
      </c>
      <c r="I126" s="77">
        <f t="shared" si="40"/>
        <v>123</v>
      </c>
      <c r="J126" s="73">
        <f t="shared" si="36"/>
        <v>2027</v>
      </c>
      <c r="K126" s="78">
        <f t="shared" si="38"/>
        <v>46539</v>
      </c>
    </row>
    <row r="127" spans="2:11" outlineLevel="1">
      <c r="B127" s="78">
        <f t="shared" si="33"/>
        <v>46569</v>
      </c>
      <c r="C127" s="75">
        <v>561681.82781103253</v>
      </c>
      <c r="D127" s="71">
        <f>IF(F127&lt;&gt;0,VLOOKUP($J127,'Table 1'!$B$13:$C$33,2,FALSE)/12*1000*Study_MW,0)</f>
        <v>0</v>
      </c>
      <c r="E127" s="71">
        <f t="shared" si="34"/>
        <v>561681.82781103253</v>
      </c>
      <c r="F127" s="75">
        <v>20641.68</v>
      </c>
      <c r="G127" s="76">
        <f t="shared" si="35"/>
        <v>27.211051998240091</v>
      </c>
      <c r="I127" s="77">
        <f t="shared" si="40"/>
        <v>124</v>
      </c>
      <c r="J127" s="73">
        <f t="shared" si="36"/>
        <v>2027</v>
      </c>
      <c r="K127" s="78">
        <f t="shared" si="38"/>
        <v>46569</v>
      </c>
    </row>
    <row r="128" spans="2:11" outlineLevel="1">
      <c r="B128" s="78">
        <f t="shared" si="33"/>
        <v>46600</v>
      </c>
      <c r="C128" s="75">
        <v>553550.71481001377</v>
      </c>
      <c r="D128" s="71">
        <f>IF(F128&lt;&gt;0,VLOOKUP($J128,'Table 1'!$B$13:$C$33,2,FALSE)/12*1000*Study_MW,0)</f>
        <v>0</v>
      </c>
      <c r="E128" s="71">
        <f t="shared" si="34"/>
        <v>553550.71481001377</v>
      </c>
      <c r="F128" s="75">
        <v>21487.599999999999</v>
      </c>
      <c r="G128" s="76">
        <f t="shared" si="35"/>
        <v>25.76140261406643</v>
      </c>
      <c r="I128" s="77">
        <f t="shared" si="40"/>
        <v>125</v>
      </c>
      <c r="J128" s="73">
        <f t="shared" si="36"/>
        <v>2027</v>
      </c>
      <c r="K128" s="78">
        <f t="shared" si="38"/>
        <v>46600</v>
      </c>
    </row>
    <row r="129" spans="2:11" outlineLevel="1">
      <c r="B129" s="78">
        <f t="shared" si="33"/>
        <v>46631</v>
      </c>
      <c r="C129" s="75">
        <v>452567.30274540186</v>
      </c>
      <c r="D129" s="71">
        <f>IF(F129&lt;&gt;0,VLOOKUP($J129,'Table 1'!$B$13:$C$33,2,FALSE)/12*1000*Study_MW,0)</f>
        <v>0</v>
      </c>
      <c r="E129" s="71">
        <f t="shared" si="34"/>
        <v>452567.30274540186</v>
      </c>
      <c r="F129" s="75">
        <v>21070.240000000002</v>
      </c>
      <c r="G129" s="76">
        <f t="shared" si="35"/>
        <v>21.478981859978902</v>
      </c>
      <c r="I129" s="77">
        <f t="shared" si="40"/>
        <v>126</v>
      </c>
      <c r="J129" s="73">
        <f t="shared" si="36"/>
        <v>2027</v>
      </c>
      <c r="K129" s="78">
        <f t="shared" si="38"/>
        <v>46631</v>
      </c>
    </row>
    <row r="130" spans="2:11" outlineLevel="1">
      <c r="B130" s="78">
        <f t="shared" si="33"/>
        <v>46661</v>
      </c>
      <c r="C130" s="75">
        <v>413477.30807112157</v>
      </c>
      <c r="D130" s="71">
        <f>IF(F130&lt;&gt;0,VLOOKUP($J130,'Table 1'!$B$13:$C$33,2,FALSE)/12*1000*Study_MW,0)</f>
        <v>0</v>
      </c>
      <c r="E130" s="71">
        <f t="shared" si="34"/>
        <v>413477.30807112157</v>
      </c>
      <c r="F130" s="75">
        <v>20190</v>
      </c>
      <c r="G130" s="76">
        <f t="shared" si="35"/>
        <v>20.479311940124891</v>
      </c>
      <c r="I130" s="77">
        <f t="shared" si="40"/>
        <v>127</v>
      </c>
      <c r="J130" s="73">
        <f t="shared" si="36"/>
        <v>2027</v>
      </c>
      <c r="K130" s="78">
        <f t="shared" si="38"/>
        <v>46661</v>
      </c>
    </row>
    <row r="131" spans="2:11" outlineLevel="1">
      <c r="B131" s="78">
        <f t="shared" si="33"/>
        <v>46692</v>
      </c>
      <c r="C131" s="75">
        <v>459721.61092115939</v>
      </c>
      <c r="D131" s="71">
        <f>IF(F131&lt;&gt;0,VLOOKUP($J131,'Table 1'!$B$13:$C$33,2,FALSE)/12*1000*Study_MW,0)</f>
        <v>0</v>
      </c>
      <c r="E131" s="71">
        <f t="shared" si="34"/>
        <v>459721.61092115939</v>
      </c>
      <c r="F131" s="75">
        <v>20168.560000000001</v>
      </c>
      <c r="G131" s="76">
        <f t="shared" si="35"/>
        <v>22.793972942101934</v>
      </c>
      <c r="I131" s="77">
        <f t="shared" si="40"/>
        <v>128</v>
      </c>
      <c r="J131" s="73">
        <f t="shared" si="36"/>
        <v>2027</v>
      </c>
      <c r="K131" s="78">
        <f t="shared" si="38"/>
        <v>46692</v>
      </c>
    </row>
    <row r="132" spans="2:11" outlineLevel="1">
      <c r="B132" s="82">
        <f t="shared" si="33"/>
        <v>46722</v>
      </c>
      <c r="C132" s="79">
        <v>513531.54129171371</v>
      </c>
      <c r="D132" s="80">
        <f>IF(F132&lt;&gt;0,VLOOKUP($J132,'Table 1'!$B$13:$C$33,2,FALSE)/12*1000*Study_MW,0)</f>
        <v>0</v>
      </c>
      <c r="E132" s="80">
        <f t="shared" si="34"/>
        <v>513531.54129171371</v>
      </c>
      <c r="F132" s="79">
        <v>19836.96</v>
      </c>
      <c r="G132" s="81">
        <f t="shared" si="35"/>
        <v>25.887612884822762</v>
      </c>
      <c r="I132" s="64">
        <f t="shared" si="40"/>
        <v>129</v>
      </c>
      <c r="J132" s="73">
        <f t="shared" si="36"/>
        <v>2027</v>
      </c>
      <c r="K132" s="82">
        <f t="shared" si="38"/>
        <v>46722</v>
      </c>
    </row>
    <row r="133" spans="2:11" outlineLevel="1">
      <c r="B133" s="74">
        <f t="shared" si="33"/>
        <v>46753</v>
      </c>
      <c r="C133" s="69">
        <v>425063.26515753567</v>
      </c>
      <c r="D133" s="70">
        <f>IF(F133&lt;&gt;0,VLOOKUP($J133,'Table 1'!$B$13:$C$33,2,FALSE)/12*1000*Study_MW,0)</f>
        <v>0</v>
      </c>
      <c r="E133" s="70">
        <f t="shared" si="34"/>
        <v>425063.26515753567</v>
      </c>
      <c r="F133" s="69">
        <v>16504.64</v>
      </c>
      <c r="G133" s="72">
        <f t="shared" si="35"/>
        <v>25.754167625439614</v>
      </c>
      <c r="I133" s="60">
        <f>I13</f>
        <v>1</v>
      </c>
      <c r="J133" s="73">
        <f t="shared" si="36"/>
        <v>2028</v>
      </c>
      <c r="K133" s="74">
        <f t="shared" si="38"/>
        <v>46753</v>
      </c>
    </row>
    <row r="134" spans="2:11" outlineLevel="1">
      <c r="B134" s="78">
        <f t="shared" si="33"/>
        <v>46784</v>
      </c>
      <c r="C134" s="75">
        <v>371596.76757468283</v>
      </c>
      <c r="D134" s="71">
        <f>IF(F134&lt;&gt;0,VLOOKUP($J134,'Table 1'!$B$13:$C$33,2,FALSE)/12*1000*Study_MW,0)</f>
        <v>0</v>
      </c>
      <c r="E134" s="71">
        <f t="shared" si="34"/>
        <v>371596.76757468283</v>
      </c>
      <c r="F134" s="75">
        <v>14442.08</v>
      </c>
      <c r="G134" s="76">
        <f t="shared" si="35"/>
        <v>25.730141889165747</v>
      </c>
      <c r="I134" s="77">
        <f t="shared" ref="I134:I197" si="41">I14</f>
        <v>2</v>
      </c>
      <c r="J134" s="73">
        <f t="shared" si="36"/>
        <v>2028</v>
      </c>
      <c r="K134" s="78">
        <f t="shared" si="38"/>
        <v>46784</v>
      </c>
    </row>
    <row r="135" spans="2:11" outlineLevel="1">
      <c r="B135" s="78">
        <f t="shared" si="33"/>
        <v>46813</v>
      </c>
      <c r="C135" s="75">
        <v>386667.41852901876</v>
      </c>
      <c r="D135" s="71">
        <f>IF(F135&lt;&gt;0,VLOOKUP($J135,'Table 1'!$B$13:$C$33,2,FALSE)/12*1000*Study_MW,0)</f>
        <v>0</v>
      </c>
      <c r="E135" s="71">
        <f t="shared" si="34"/>
        <v>386667.41852901876</v>
      </c>
      <c r="F135" s="75">
        <v>16861.52</v>
      </c>
      <c r="G135" s="76">
        <f t="shared" si="35"/>
        <v>22.931943177662436</v>
      </c>
      <c r="I135" s="77">
        <f t="shared" si="41"/>
        <v>3</v>
      </c>
      <c r="J135" s="73">
        <f t="shared" si="36"/>
        <v>2028</v>
      </c>
      <c r="K135" s="78">
        <f t="shared" si="38"/>
        <v>46813</v>
      </c>
    </row>
    <row r="136" spans="2:11" outlineLevel="1">
      <c r="B136" s="78">
        <f t="shared" si="33"/>
        <v>46844</v>
      </c>
      <c r="C136" s="75">
        <v>372652.60370670259</v>
      </c>
      <c r="D136" s="71">
        <f>IF(F136&lt;&gt;0,VLOOKUP($J136,'Table 1'!$B$13:$C$33,2,FALSE)/12*1000*Study_MW,0)</f>
        <v>0</v>
      </c>
      <c r="E136" s="71">
        <f t="shared" si="34"/>
        <v>372652.60370670259</v>
      </c>
      <c r="F136" s="75">
        <v>14482.48</v>
      </c>
      <c r="G136" s="76">
        <f t="shared" si="35"/>
        <v>25.731270038467347</v>
      </c>
      <c r="I136" s="77">
        <f t="shared" si="41"/>
        <v>4</v>
      </c>
      <c r="J136" s="73">
        <f t="shared" si="36"/>
        <v>2028</v>
      </c>
      <c r="K136" s="78">
        <f t="shared" si="38"/>
        <v>46844</v>
      </c>
    </row>
    <row r="137" spans="2:11" outlineLevel="1">
      <c r="B137" s="78">
        <f t="shared" si="33"/>
        <v>46874</v>
      </c>
      <c r="C137" s="75">
        <v>350585.60917705297</v>
      </c>
      <c r="D137" s="71">
        <f>IF(F137&lt;&gt;0,VLOOKUP($J137,'Table 1'!$B$13:$C$33,2,FALSE)/12*1000*Study_MW,0)</f>
        <v>0</v>
      </c>
      <c r="E137" s="71">
        <f t="shared" si="34"/>
        <v>350585.60917705297</v>
      </c>
      <c r="F137" s="75">
        <v>14297.28</v>
      </c>
      <c r="G137" s="76">
        <f t="shared" si="35"/>
        <v>24.521140327184817</v>
      </c>
      <c r="I137" s="77">
        <f t="shared" si="41"/>
        <v>5</v>
      </c>
      <c r="J137" s="73">
        <f t="shared" si="36"/>
        <v>2028</v>
      </c>
      <c r="K137" s="78">
        <f t="shared" si="38"/>
        <v>46874</v>
      </c>
    </row>
    <row r="138" spans="2:11" outlineLevel="1">
      <c r="B138" s="78">
        <f t="shared" si="33"/>
        <v>46905</v>
      </c>
      <c r="C138" s="75">
        <v>431933.55787265301</v>
      </c>
      <c r="D138" s="71">
        <f>IF(F138&lt;&gt;0,VLOOKUP($J138,'Table 1'!$B$13:$C$33,2,FALSE)/12*1000*Study_MW,0)</f>
        <v>0</v>
      </c>
      <c r="E138" s="71">
        <f t="shared" si="34"/>
        <v>431933.55787265301</v>
      </c>
      <c r="F138" s="75">
        <v>17929.68</v>
      </c>
      <c r="G138" s="76">
        <f t="shared" si="35"/>
        <v>24.090422019392037</v>
      </c>
      <c r="I138" s="77">
        <f t="shared" si="41"/>
        <v>6</v>
      </c>
      <c r="J138" s="73">
        <f t="shared" si="36"/>
        <v>2028</v>
      </c>
      <c r="K138" s="78">
        <f t="shared" si="38"/>
        <v>46905</v>
      </c>
    </row>
    <row r="139" spans="2:11" outlineLevel="1">
      <c r="B139" s="78">
        <f t="shared" si="33"/>
        <v>46935</v>
      </c>
      <c r="C139" s="75">
        <v>709374.82496032119</v>
      </c>
      <c r="D139" s="71">
        <f>IF(F139&lt;&gt;0,VLOOKUP($J139,'Table 1'!$B$13:$C$33,2,FALSE)/12*1000*Study_MW,0)</f>
        <v>0</v>
      </c>
      <c r="E139" s="71">
        <f t="shared" si="34"/>
        <v>709374.82496032119</v>
      </c>
      <c r="F139" s="75">
        <v>20641.68</v>
      </c>
      <c r="G139" s="76">
        <f t="shared" si="35"/>
        <v>34.366138074048294</v>
      </c>
      <c r="I139" s="77">
        <f t="shared" si="41"/>
        <v>7</v>
      </c>
      <c r="J139" s="73">
        <f t="shared" si="36"/>
        <v>2028</v>
      </c>
      <c r="K139" s="78">
        <f t="shared" si="38"/>
        <v>46935</v>
      </c>
    </row>
    <row r="140" spans="2:11" outlineLevel="1">
      <c r="B140" s="78">
        <f t="shared" si="33"/>
        <v>46966</v>
      </c>
      <c r="C140" s="75">
        <v>789396.18616908789</v>
      </c>
      <c r="D140" s="71">
        <f>IF(F140&lt;&gt;0,VLOOKUP($J140,'Table 1'!$B$13:$C$33,2,FALSE)/12*1000*Study_MW,0)</f>
        <v>0</v>
      </c>
      <c r="E140" s="71">
        <f t="shared" si="34"/>
        <v>789396.18616908789</v>
      </c>
      <c r="F140" s="75">
        <v>21487.599999999999</v>
      </c>
      <c r="G140" s="76">
        <f t="shared" si="35"/>
        <v>36.737289700529047</v>
      </c>
      <c r="I140" s="77">
        <f t="shared" si="41"/>
        <v>8</v>
      </c>
      <c r="J140" s="73">
        <f t="shared" si="36"/>
        <v>2028</v>
      </c>
      <c r="K140" s="78">
        <f t="shared" si="38"/>
        <v>46966</v>
      </c>
    </row>
    <row r="141" spans="2:11" outlineLevel="1">
      <c r="B141" s="78">
        <f t="shared" si="33"/>
        <v>46997</v>
      </c>
      <c r="C141" s="75">
        <v>563538.44974371791</v>
      </c>
      <c r="D141" s="71">
        <f>IF(F141&lt;&gt;0,VLOOKUP($J141,'Table 1'!$B$13:$C$33,2,FALSE)/12*1000*Study_MW,0)</f>
        <v>0</v>
      </c>
      <c r="E141" s="71">
        <f t="shared" si="34"/>
        <v>563538.44974371791</v>
      </c>
      <c r="F141" s="75">
        <v>21070.240000000002</v>
      </c>
      <c r="G141" s="76">
        <f t="shared" si="35"/>
        <v>26.745706254115657</v>
      </c>
      <c r="I141" s="77">
        <f t="shared" si="41"/>
        <v>9</v>
      </c>
      <c r="J141" s="73">
        <f t="shared" si="36"/>
        <v>2028</v>
      </c>
      <c r="K141" s="78">
        <f t="shared" si="38"/>
        <v>46997</v>
      </c>
    </row>
    <row r="142" spans="2:11" outlineLevel="1">
      <c r="B142" s="78">
        <f t="shared" ref="B142:B205" si="42">EDATE(B141,1)</f>
        <v>47027</v>
      </c>
      <c r="C142" s="75">
        <v>492716.22779411077</v>
      </c>
      <c r="D142" s="71">
        <f>IF(F142&lt;&gt;0,VLOOKUP($J142,'Table 1'!$B$13:$C$33,2,FALSE)/12*1000*Study_MW,0)</f>
        <v>0</v>
      </c>
      <c r="E142" s="71">
        <f t="shared" ref="E142:E192" si="43">C142+D142</f>
        <v>492716.22779411077</v>
      </c>
      <c r="F142" s="75">
        <v>20190</v>
      </c>
      <c r="G142" s="76">
        <f t="shared" ref="G142:G192" si="44">IF(ISNUMBER($F142),E142/$F142,"")</f>
        <v>24.403973640124356</v>
      </c>
      <c r="I142" s="77">
        <f t="shared" si="41"/>
        <v>10</v>
      </c>
      <c r="J142" s="73">
        <f t="shared" ref="J142:J192" si="45">YEAR(B142)</f>
        <v>2028</v>
      </c>
      <c r="K142" s="78">
        <f t="shared" si="38"/>
        <v>47027</v>
      </c>
    </row>
    <row r="143" spans="2:11" outlineLevel="1">
      <c r="B143" s="78">
        <f t="shared" si="42"/>
        <v>47058</v>
      </c>
      <c r="C143" s="75">
        <v>514185.11976030469</v>
      </c>
      <c r="D143" s="71">
        <f>IF(F143&lt;&gt;0,VLOOKUP($J143,'Table 1'!$B$13:$C$33,2,FALSE)/12*1000*Study_MW,0)</f>
        <v>0</v>
      </c>
      <c r="E143" s="71">
        <f t="shared" si="43"/>
        <v>514185.11976030469</v>
      </c>
      <c r="F143" s="75">
        <v>20168.560000000001</v>
      </c>
      <c r="G143" s="76">
        <f t="shared" si="44"/>
        <v>25.494389275203815</v>
      </c>
      <c r="I143" s="77">
        <f t="shared" si="41"/>
        <v>11</v>
      </c>
      <c r="J143" s="73">
        <f t="shared" si="45"/>
        <v>2028</v>
      </c>
      <c r="K143" s="78">
        <f t="shared" si="38"/>
        <v>47058</v>
      </c>
    </row>
    <row r="144" spans="2:11" outlineLevel="1">
      <c r="B144" s="82">
        <f t="shared" si="42"/>
        <v>47088</v>
      </c>
      <c r="C144" s="79">
        <v>513550.78321969509</v>
      </c>
      <c r="D144" s="80">
        <f>IF(F144&lt;&gt;0,VLOOKUP($J144,'Table 1'!$B$13:$C$33,2,FALSE)/12*1000*Study_MW,0)</f>
        <v>0</v>
      </c>
      <c r="E144" s="80">
        <f t="shared" si="43"/>
        <v>513550.78321969509</v>
      </c>
      <c r="F144" s="79">
        <v>19836.96</v>
      </c>
      <c r="G144" s="81">
        <f t="shared" si="44"/>
        <v>25.888582888693385</v>
      </c>
      <c r="I144" s="64">
        <f t="shared" si="41"/>
        <v>12</v>
      </c>
      <c r="J144" s="73">
        <f t="shared" si="45"/>
        <v>2028</v>
      </c>
      <c r="K144" s="82">
        <f t="shared" si="38"/>
        <v>47088</v>
      </c>
    </row>
    <row r="145" spans="2:11" outlineLevel="1">
      <c r="B145" s="74">
        <f t="shared" si="42"/>
        <v>47119</v>
      </c>
      <c r="C145" s="69">
        <v>498824.05570349097</v>
      </c>
      <c r="D145" s="70">
        <f>IF(F145&lt;&gt;0,VLOOKUP($J145,'Table 1'!$B$13:$C$33,2,FALSE)/12*1000*Study_MW,0)</f>
        <v>0</v>
      </c>
      <c r="E145" s="70">
        <f t="shared" si="43"/>
        <v>498824.05570349097</v>
      </c>
      <c r="F145" s="69">
        <v>16504.64</v>
      </c>
      <c r="G145" s="72">
        <f t="shared" si="44"/>
        <v>30.223261804164828</v>
      </c>
      <c r="I145" s="60">
        <f>I25</f>
        <v>14</v>
      </c>
      <c r="J145" s="73">
        <f t="shared" si="45"/>
        <v>2029</v>
      </c>
      <c r="K145" s="74">
        <f t="shared" si="38"/>
        <v>47119</v>
      </c>
    </row>
    <row r="146" spans="2:11" outlineLevel="1">
      <c r="B146" s="78">
        <f t="shared" si="42"/>
        <v>47150</v>
      </c>
      <c r="C146" s="75">
        <v>424810.41317802668</v>
      </c>
      <c r="D146" s="71">
        <f>IF(F146&lt;&gt;0,VLOOKUP($J146,'Table 1'!$B$13:$C$33,2,FALSE)/12*1000*Study_MW,0)</f>
        <v>0</v>
      </c>
      <c r="E146" s="71">
        <f t="shared" si="43"/>
        <v>424810.41317802668</v>
      </c>
      <c r="F146" s="75">
        <v>13801.92</v>
      </c>
      <c r="G146" s="76">
        <f t="shared" si="44"/>
        <v>30.77908096685292</v>
      </c>
      <c r="I146" s="77">
        <f t="shared" si="41"/>
        <v>15</v>
      </c>
      <c r="J146" s="73">
        <f t="shared" si="45"/>
        <v>2029</v>
      </c>
      <c r="K146" s="78">
        <f t="shared" si="38"/>
        <v>47150</v>
      </c>
    </row>
    <row r="147" spans="2:11" outlineLevel="1">
      <c r="B147" s="78">
        <f t="shared" si="42"/>
        <v>47178</v>
      </c>
      <c r="C147" s="75">
        <v>461658.53125405312</v>
      </c>
      <c r="D147" s="71">
        <f>IF(F147&lt;&gt;0,VLOOKUP($J147,'Table 1'!$B$13:$C$33,2,FALSE)/12*1000*Study_MW,0)</f>
        <v>0</v>
      </c>
      <c r="E147" s="71">
        <f t="shared" si="43"/>
        <v>461658.53125405312</v>
      </c>
      <c r="F147" s="75">
        <v>16861.52</v>
      </c>
      <c r="G147" s="76">
        <f t="shared" si="44"/>
        <v>27.37941367409659</v>
      </c>
      <c r="I147" s="77">
        <f t="shared" si="41"/>
        <v>16</v>
      </c>
      <c r="J147" s="73">
        <f t="shared" si="45"/>
        <v>2029</v>
      </c>
      <c r="K147" s="78">
        <f t="shared" si="38"/>
        <v>47178</v>
      </c>
    </row>
    <row r="148" spans="2:11" outlineLevel="1">
      <c r="B148" s="78">
        <f t="shared" si="42"/>
        <v>47209</v>
      </c>
      <c r="C148" s="75">
        <v>394319.13904368877</v>
      </c>
      <c r="D148" s="71">
        <f>IF(F148&lt;&gt;0,VLOOKUP($J148,'Table 1'!$B$13:$C$33,2,FALSE)/12*1000*Study_MW,0)</f>
        <v>0</v>
      </c>
      <c r="E148" s="71">
        <f t="shared" si="43"/>
        <v>394319.13904368877</v>
      </c>
      <c r="F148" s="75">
        <v>14482.48</v>
      </c>
      <c r="G148" s="76">
        <f t="shared" si="44"/>
        <v>27.227321497677799</v>
      </c>
      <c r="I148" s="77">
        <f t="shared" si="41"/>
        <v>17</v>
      </c>
      <c r="J148" s="73">
        <f t="shared" si="45"/>
        <v>2029</v>
      </c>
      <c r="K148" s="78">
        <f t="shared" si="38"/>
        <v>47209</v>
      </c>
    </row>
    <row r="149" spans="2:11" outlineLevel="1">
      <c r="B149" s="78">
        <f t="shared" si="42"/>
        <v>47239</v>
      </c>
      <c r="C149" s="75">
        <v>410534.58385853469</v>
      </c>
      <c r="D149" s="71">
        <f>IF(F149&lt;&gt;0,VLOOKUP($J149,'Table 1'!$B$13:$C$33,2,FALSE)/12*1000*Study_MW,0)</f>
        <v>0</v>
      </c>
      <c r="E149" s="71">
        <f t="shared" si="43"/>
        <v>410534.58385853469</v>
      </c>
      <c r="F149" s="75">
        <v>14297.28</v>
      </c>
      <c r="G149" s="76">
        <f t="shared" si="44"/>
        <v>28.714173874928285</v>
      </c>
      <c r="I149" s="77">
        <f t="shared" si="41"/>
        <v>18</v>
      </c>
      <c r="J149" s="73">
        <f t="shared" si="45"/>
        <v>2029</v>
      </c>
      <c r="K149" s="78">
        <f t="shared" si="38"/>
        <v>47239</v>
      </c>
    </row>
    <row r="150" spans="2:11" outlineLevel="1">
      <c r="B150" s="78">
        <f t="shared" si="42"/>
        <v>47270</v>
      </c>
      <c r="C150" s="75">
        <v>481510.72495767474</v>
      </c>
      <c r="D150" s="71">
        <f>IF(F150&lt;&gt;0,VLOOKUP($J150,'Table 1'!$B$13:$C$33,2,FALSE)/12*1000*Study_MW,0)</f>
        <v>0</v>
      </c>
      <c r="E150" s="71">
        <f t="shared" si="43"/>
        <v>481510.72495767474</v>
      </c>
      <c r="F150" s="75">
        <v>17929.68</v>
      </c>
      <c r="G150" s="76">
        <f t="shared" si="44"/>
        <v>26.855511362036285</v>
      </c>
      <c r="I150" s="77">
        <f t="shared" si="41"/>
        <v>19</v>
      </c>
      <c r="J150" s="73">
        <f t="shared" si="45"/>
        <v>2029</v>
      </c>
      <c r="K150" s="78">
        <f t="shared" si="38"/>
        <v>47270</v>
      </c>
    </row>
    <row r="151" spans="2:11" outlineLevel="1">
      <c r="B151" s="78">
        <f t="shared" si="42"/>
        <v>47300</v>
      </c>
      <c r="C151" s="75">
        <v>821678.04586490989</v>
      </c>
      <c r="D151" s="71">
        <f>IF(F151&lt;&gt;0,VLOOKUP($J151,'Table 1'!$B$13:$C$33,2,FALSE)/12*1000*Study_MW,0)</f>
        <v>0</v>
      </c>
      <c r="E151" s="71">
        <f t="shared" si="43"/>
        <v>821678.04586490989</v>
      </c>
      <c r="F151" s="75">
        <v>20641.68</v>
      </c>
      <c r="G151" s="76">
        <f t="shared" si="44"/>
        <v>39.80674275857924</v>
      </c>
      <c r="I151" s="77">
        <f t="shared" si="41"/>
        <v>20</v>
      </c>
      <c r="J151" s="73">
        <f t="shared" si="45"/>
        <v>2029</v>
      </c>
      <c r="K151" s="78">
        <f t="shared" si="38"/>
        <v>47300</v>
      </c>
    </row>
    <row r="152" spans="2:11" outlineLevel="1">
      <c r="B152" s="78">
        <f t="shared" si="42"/>
        <v>47331</v>
      </c>
      <c r="C152" s="75">
        <v>892654.91823381186</v>
      </c>
      <c r="D152" s="71">
        <f>IF(F152&lt;&gt;0,VLOOKUP($J152,'Table 1'!$B$13:$C$33,2,FALSE)/12*1000*Study_MW,0)</f>
        <v>0</v>
      </c>
      <c r="E152" s="71">
        <f t="shared" si="43"/>
        <v>892654.91823381186</v>
      </c>
      <c r="F152" s="75">
        <v>21487.599999999999</v>
      </c>
      <c r="G152" s="76">
        <f t="shared" si="44"/>
        <v>41.542792970541704</v>
      </c>
      <c r="I152" s="77">
        <f t="shared" si="41"/>
        <v>21</v>
      </c>
      <c r="J152" s="73">
        <f t="shared" si="45"/>
        <v>2029</v>
      </c>
      <c r="K152" s="78">
        <f t="shared" si="38"/>
        <v>47331</v>
      </c>
    </row>
    <row r="153" spans="2:11" outlineLevel="1">
      <c r="B153" s="78">
        <f t="shared" si="42"/>
        <v>47362</v>
      </c>
      <c r="C153" s="75">
        <v>721040.71548858285</v>
      </c>
      <c r="D153" s="71">
        <f>IF(F153&lt;&gt;0,VLOOKUP($J153,'Table 1'!$B$13:$C$33,2,FALSE)/12*1000*Study_MW,0)</f>
        <v>0</v>
      </c>
      <c r="E153" s="71">
        <f t="shared" si="43"/>
        <v>721040.71548858285</v>
      </c>
      <c r="F153" s="75">
        <v>21070.240000000002</v>
      </c>
      <c r="G153" s="76">
        <f t="shared" si="44"/>
        <v>34.220811698802805</v>
      </c>
      <c r="I153" s="77">
        <f t="shared" si="41"/>
        <v>22</v>
      </c>
      <c r="J153" s="73">
        <f t="shared" si="45"/>
        <v>2029</v>
      </c>
      <c r="K153" s="78">
        <f t="shared" si="38"/>
        <v>47362</v>
      </c>
    </row>
    <row r="154" spans="2:11" outlineLevel="1">
      <c r="B154" s="78">
        <f t="shared" si="42"/>
        <v>47392</v>
      </c>
      <c r="C154" s="75">
        <v>577545.01206706464</v>
      </c>
      <c r="D154" s="71">
        <f>IF(F154&lt;&gt;0,VLOOKUP($J154,'Table 1'!$B$13:$C$33,2,FALSE)/12*1000*Study_MW,0)</f>
        <v>0</v>
      </c>
      <c r="E154" s="71">
        <f t="shared" si="43"/>
        <v>577545.01206706464</v>
      </c>
      <c r="F154" s="75">
        <v>20190</v>
      </c>
      <c r="G154" s="76">
        <f t="shared" si="44"/>
        <v>28.605498368849165</v>
      </c>
      <c r="I154" s="77">
        <f t="shared" si="41"/>
        <v>23</v>
      </c>
      <c r="J154" s="73">
        <f t="shared" si="45"/>
        <v>2029</v>
      </c>
      <c r="K154" s="78">
        <f t="shared" ref="K154:K192" si="46">IF(ISNUMBER(F154),IF(F154&lt;&gt;0,B154,""),"")</f>
        <v>47392</v>
      </c>
    </row>
    <row r="155" spans="2:11" outlineLevel="1">
      <c r="B155" s="78">
        <f t="shared" si="42"/>
        <v>47423</v>
      </c>
      <c r="C155" s="75">
        <v>602497.8272882551</v>
      </c>
      <c r="D155" s="71">
        <f>IF(F155&lt;&gt;0,VLOOKUP($J155,'Table 1'!$B$13:$C$33,2,FALSE)/12*1000*Study_MW,0)</f>
        <v>0</v>
      </c>
      <c r="E155" s="71">
        <f t="shared" si="43"/>
        <v>602497.8272882551</v>
      </c>
      <c r="F155" s="75">
        <v>20168.560000000001</v>
      </c>
      <c r="G155" s="76">
        <f t="shared" si="44"/>
        <v>29.873120703126801</v>
      </c>
      <c r="I155" s="77">
        <f t="shared" si="41"/>
        <v>24</v>
      </c>
      <c r="J155" s="73">
        <f t="shared" si="45"/>
        <v>2029</v>
      </c>
      <c r="K155" s="78">
        <f t="shared" si="46"/>
        <v>47423</v>
      </c>
    </row>
    <row r="156" spans="2:11" outlineLevel="1">
      <c r="B156" s="82">
        <f t="shared" si="42"/>
        <v>47453</v>
      </c>
      <c r="C156" s="79">
        <v>613764.82855427265</v>
      </c>
      <c r="D156" s="80">
        <f>IF(F156&lt;&gt;0,VLOOKUP($J156,'Table 1'!$B$13:$C$33,2,FALSE)/12*1000*Study_MW,0)</f>
        <v>0</v>
      </c>
      <c r="E156" s="80">
        <f t="shared" si="43"/>
        <v>613764.82855427265</v>
      </c>
      <c r="F156" s="79">
        <v>19836.96</v>
      </c>
      <c r="G156" s="81">
        <f t="shared" si="44"/>
        <v>30.940468123859336</v>
      </c>
      <c r="I156" s="64">
        <f t="shared" si="41"/>
        <v>25</v>
      </c>
      <c r="J156" s="73">
        <f t="shared" si="45"/>
        <v>2029</v>
      </c>
      <c r="K156" s="82">
        <f t="shared" si="46"/>
        <v>47453</v>
      </c>
    </row>
    <row r="157" spans="2:11" outlineLevel="1">
      <c r="B157" s="74">
        <f t="shared" si="42"/>
        <v>47484</v>
      </c>
      <c r="C157" s="69">
        <v>594502.05792289972</v>
      </c>
      <c r="D157" s="70">
        <f>IF(F157&lt;&gt;0,VLOOKUP($J157,'Table 1'!$B$13:$C$33,2,FALSE)/12*1000*Study_MW,0)</f>
        <v>0</v>
      </c>
      <c r="E157" s="70">
        <f t="shared" si="43"/>
        <v>594502.05792289972</v>
      </c>
      <c r="F157" s="69">
        <v>16504.64</v>
      </c>
      <c r="G157" s="72">
        <f t="shared" si="44"/>
        <v>36.020298408380903</v>
      </c>
      <c r="I157" s="60">
        <f>I37</f>
        <v>27</v>
      </c>
      <c r="J157" s="73">
        <f t="shared" si="45"/>
        <v>2030</v>
      </c>
      <c r="K157" s="74">
        <f t="shared" si="46"/>
        <v>47484</v>
      </c>
    </row>
    <row r="158" spans="2:11" outlineLevel="1">
      <c r="B158" s="78">
        <f t="shared" si="42"/>
        <v>47515</v>
      </c>
      <c r="C158" s="75">
        <v>501892.31912082434</v>
      </c>
      <c r="D158" s="71">
        <f>IF(F158&lt;&gt;0,VLOOKUP($J158,'Table 1'!$B$13:$C$33,2,FALSE)/12*1000*Study_MW,0)</f>
        <v>0</v>
      </c>
      <c r="E158" s="71">
        <f t="shared" si="43"/>
        <v>501892.31912082434</v>
      </c>
      <c r="F158" s="75">
        <v>13801.92</v>
      </c>
      <c r="G158" s="76">
        <f t="shared" si="44"/>
        <v>36.363949299867286</v>
      </c>
      <c r="I158" s="77">
        <f t="shared" si="41"/>
        <v>28</v>
      </c>
      <c r="J158" s="73">
        <f t="shared" si="45"/>
        <v>2030</v>
      </c>
      <c r="K158" s="78">
        <f t="shared" si="46"/>
        <v>47515</v>
      </c>
    </row>
    <row r="159" spans="2:11" outlineLevel="1">
      <c r="B159" s="78">
        <f t="shared" si="42"/>
        <v>47543</v>
      </c>
      <c r="C159" s="75">
        <v>544279.21856564283</v>
      </c>
      <c r="D159" s="71">
        <f>IF(F159&lt;&gt;0,VLOOKUP($J159,'Table 1'!$B$13:$C$33,2,FALSE)/12*1000*Study_MW,0)</f>
        <v>0</v>
      </c>
      <c r="E159" s="71">
        <f t="shared" si="43"/>
        <v>544279.21856564283</v>
      </c>
      <c r="F159" s="75">
        <v>16861.52</v>
      </c>
      <c r="G159" s="76">
        <f t="shared" si="44"/>
        <v>32.27936856022724</v>
      </c>
      <c r="I159" s="77">
        <f t="shared" si="41"/>
        <v>29</v>
      </c>
      <c r="J159" s="73">
        <f t="shared" si="45"/>
        <v>2030</v>
      </c>
      <c r="K159" s="78">
        <f t="shared" si="46"/>
        <v>47543</v>
      </c>
    </row>
    <row r="160" spans="2:11" outlineLevel="1">
      <c r="B160" s="78">
        <f t="shared" si="42"/>
        <v>47574</v>
      </c>
      <c r="C160" s="75">
        <v>472950.51112905145</v>
      </c>
      <c r="D160" s="71">
        <f>IF(F160&lt;&gt;0,VLOOKUP($J160,'Table 1'!$B$13:$C$33,2,FALSE)/12*1000*Study_MW,0)</f>
        <v>0</v>
      </c>
      <c r="E160" s="71">
        <f t="shared" si="43"/>
        <v>472950.51112905145</v>
      </c>
      <c r="F160" s="75">
        <v>14482.48</v>
      </c>
      <c r="G160" s="76">
        <f t="shared" si="44"/>
        <v>32.656734974193057</v>
      </c>
      <c r="I160" s="77">
        <f t="shared" si="41"/>
        <v>30</v>
      </c>
      <c r="J160" s="73">
        <f t="shared" si="45"/>
        <v>2030</v>
      </c>
      <c r="K160" s="78">
        <f t="shared" si="46"/>
        <v>47574</v>
      </c>
    </row>
    <row r="161" spans="2:11" outlineLevel="1">
      <c r="B161" s="78">
        <f t="shared" si="42"/>
        <v>47604</v>
      </c>
      <c r="C161" s="75">
        <v>429211.27782723308</v>
      </c>
      <c r="D161" s="71">
        <f>IF(F161&lt;&gt;0,VLOOKUP($J161,'Table 1'!$B$13:$C$33,2,FALSE)/12*1000*Study_MW,0)</f>
        <v>0</v>
      </c>
      <c r="E161" s="71">
        <f t="shared" si="43"/>
        <v>429211.27782723308</v>
      </c>
      <c r="F161" s="75">
        <v>14297.28</v>
      </c>
      <c r="G161" s="76">
        <f t="shared" si="44"/>
        <v>30.020484863360938</v>
      </c>
      <c r="I161" s="77">
        <f t="shared" si="41"/>
        <v>31</v>
      </c>
      <c r="J161" s="73">
        <f t="shared" si="45"/>
        <v>2030</v>
      </c>
      <c r="K161" s="78">
        <f t="shared" si="46"/>
        <v>47604</v>
      </c>
    </row>
    <row r="162" spans="2:11" outlineLevel="1">
      <c r="B162" s="78">
        <f t="shared" si="42"/>
        <v>47635</v>
      </c>
      <c r="C162" s="75">
        <v>555398.40687841177</v>
      </c>
      <c r="D162" s="71">
        <f>IF(F162&lt;&gt;0,VLOOKUP($J162,'Table 1'!$B$13:$C$33,2,FALSE)/12*1000*Study_MW,0)</f>
        <v>0</v>
      </c>
      <c r="E162" s="71">
        <f t="shared" si="43"/>
        <v>555398.40687841177</v>
      </c>
      <c r="F162" s="75">
        <v>17929.68</v>
      </c>
      <c r="G162" s="76">
        <f t="shared" si="44"/>
        <v>30.976481837847178</v>
      </c>
      <c r="I162" s="77">
        <f t="shared" si="41"/>
        <v>32</v>
      </c>
      <c r="J162" s="73">
        <f t="shared" si="45"/>
        <v>2030</v>
      </c>
      <c r="K162" s="78">
        <f t="shared" si="46"/>
        <v>47635</v>
      </c>
    </row>
    <row r="163" spans="2:11" outlineLevel="1">
      <c r="B163" s="78">
        <f t="shared" si="42"/>
        <v>47665</v>
      </c>
      <c r="C163" s="75">
        <v>1038638.0208978057</v>
      </c>
      <c r="D163" s="71">
        <f>IF(F163&lt;&gt;0,VLOOKUP($J163,'Table 1'!$B$13:$C$33,2,FALSE)/12*1000*Study_MW,0)</f>
        <v>0</v>
      </c>
      <c r="E163" s="71">
        <f t="shared" si="43"/>
        <v>1038638.0208978057</v>
      </c>
      <c r="F163" s="75">
        <v>20641.68</v>
      </c>
      <c r="G163" s="76">
        <f t="shared" si="44"/>
        <v>50.317513928023573</v>
      </c>
      <c r="I163" s="77">
        <f t="shared" si="41"/>
        <v>33</v>
      </c>
      <c r="J163" s="73">
        <f t="shared" si="45"/>
        <v>2030</v>
      </c>
      <c r="K163" s="78">
        <f t="shared" si="46"/>
        <v>47665</v>
      </c>
    </row>
    <row r="164" spans="2:11" outlineLevel="1">
      <c r="B164" s="78">
        <f t="shared" si="42"/>
        <v>47696</v>
      </c>
      <c r="C164" s="75">
        <v>1047916.9513739049</v>
      </c>
      <c r="D164" s="71">
        <f>IF(F164&lt;&gt;0,VLOOKUP($J164,'Table 1'!$B$13:$C$33,2,FALSE)/12*1000*Study_MW,0)</f>
        <v>0</v>
      </c>
      <c r="E164" s="71">
        <f t="shared" si="43"/>
        <v>1047916.9513739049</v>
      </c>
      <c r="F164" s="75">
        <v>21487.599999999999</v>
      </c>
      <c r="G164" s="76">
        <f t="shared" si="44"/>
        <v>48.76845023985485</v>
      </c>
      <c r="I164" s="77">
        <f t="shared" si="41"/>
        <v>34</v>
      </c>
      <c r="J164" s="73">
        <f t="shared" si="45"/>
        <v>2030</v>
      </c>
      <c r="K164" s="78">
        <f t="shared" si="46"/>
        <v>47696</v>
      </c>
    </row>
    <row r="165" spans="2:11" outlineLevel="1">
      <c r="B165" s="78">
        <f t="shared" si="42"/>
        <v>47727</v>
      </c>
      <c r="C165" s="75">
        <v>877186.53768077493</v>
      </c>
      <c r="D165" s="71">
        <f>IF(F165&lt;&gt;0,VLOOKUP($J165,'Table 1'!$B$13:$C$33,2,FALSE)/12*1000*Study_MW,0)</f>
        <v>0</v>
      </c>
      <c r="E165" s="71">
        <f t="shared" si="43"/>
        <v>877186.53768077493</v>
      </c>
      <c r="F165" s="75">
        <v>21070.240000000002</v>
      </c>
      <c r="G165" s="76">
        <f t="shared" si="44"/>
        <v>41.631539919847846</v>
      </c>
      <c r="I165" s="77">
        <f t="shared" si="41"/>
        <v>35</v>
      </c>
      <c r="J165" s="73">
        <f t="shared" si="45"/>
        <v>2030</v>
      </c>
      <c r="K165" s="78">
        <f t="shared" si="46"/>
        <v>47727</v>
      </c>
    </row>
    <row r="166" spans="2:11" outlineLevel="1">
      <c r="B166" s="78">
        <f t="shared" si="42"/>
        <v>47757</v>
      </c>
      <c r="C166" s="75">
        <v>688726.68655350804</v>
      </c>
      <c r="D166" s="71">
        <f>IF(F166&lt;&gt;0,VLOOKUP($J166,'Table 1'!$B$13:$C$33,2,FALSE)/12*1000*Study_MW,0)</f>
        <v>0</v>
      </c>
      <c r="E166" s="71">
        <f t="shared" si="43"/>
        <v>688726.68655350804</v>
      </c>
      <c r="F166" s="75">
        <v>20190</v>
      </c>
      <c r="G166" s="76">
        <f t="shared" si="44"/>
        <v>34.112267783729969</v>
      </c>
      <c r="I166" s="77">
        <f t="shared" si="41"/>
        <v>36</v>
      </c>
      <c r="J166" s="73">
        <f t="shared" si="45"/>
        <v>2030</v>
      </c>
      <c r="K166" s="78">
        <f t="shared" si="46"/>
        <v>47757</v>
      </c>
    </row>
    <row r="167" spans="2:11" outlineLevel="1">
      <c r="B167" s="78">
        <f t="shared" si="42"/>
        <v>47788</v>
      </c>
      <c r="C167" s="75">
        <v>689311.09596049786</v>
      </c>
      <c r="D167" s="71">
        <f>IF(F167&lt;&gt;0,VLOOKUP($J167,'Table 1'!$B$13:$C$33,2,FALSE)/12*1000*Study_MW,0)</f>
        <v>0</v>
      </c>
      <c r="E167" s="71">
        <f t="shared" si="43"/>
        <v>689311.09596049786</v>
      </c>
      <c r="F167" s="75">
        <v>20168.560000000001</v>
      </c>
      <c r="G167" s="76">
        <f t="shared" si="44"/>
        <v>34.177506770959248</v>
      </c>
      <c r="I167" s="77">
        <f t="shared" si="41"/>
        <v>37</v>
      </c>
      <c r="J167" s="73">
        <f t="shared" si="45"/>
        <v>2030</v>
      </c>
      <c r="K167" s="78">
        <f t="shared" si="46"/>
        <v>47788</v>
      </c>
    </row>
    <row r="168" spans="2:11" outlineLevel="1">
      <c r="B168" s="82">
        <f t="shared" si="42"/>
        <v>47818</v>
      </c>
      <c r="C168" s="79">
        <v>755180.29455533624</v>
      </c>
      <c r="D168" s="80">
        <f>IF(F168&lt;&gt;0,VLOOKUP($J168,'Table 1'!$B$13:$C$33,2,FALSE)/12*1000*Study_MW,0)</f>
        <v>0</v>
      </c>
      <c r="E168" s="80">
        <f t="shared" si="43"/>
        <v>755180.29455533624</v>
      </c>
      <c r="F168" s="79">
        <v>19836.96</v>
      </c>
      <c r="G168" s="81">
        <f t="shared" si="44"/>
        <v>38.069356118847658</v>
      </c>
      <c r="I168" s="64">
        <f t="shared" si="41"/>
        <v>38</v>
      </c>
      <c r="J168" s="73">
        <f t="shared" si="45"/>
        <v>2030</v>
      </c>
      <c r="K168" s="82">
        <f t="shared" si="46"/>
        <v>47818</v>
      </c>
    </row>
    <row r="169" spans="2:11" outlineLevel="1">
      <c r="B169" s="74">
        <f t="shared" si="42"/>
        <v>47849</v>
      </c>
      <c r="C169" s="69">
        <v>604841.45294833183</v>
      </c>
      <c r="D169" s="70">
        <f>IF(F169&lt;&gt;0,VLOOKUP($J169,'Table 1'!$B$13:$C$33,2,FALSE)/12*1000*Study_MW,0)</f>
        <v>0</v>
      </c>
      <c r="E169" s="70">
        <f t="shared" si="43"/>
        <v>604841.45294833183</v>
      </c>
      <c r="F169" s="69">
        <v>16504.64</v>
      </c>
      <c r="G169" s="72">
        <f t="shared" si="44"/>
        <v>36.64675224351042</v>
      </c>
      <c r="I169" s="60">
        <f>I49</f>
        <v>40</v>
      </c>
      <c r="J169" s="73">
        <f t="shared" si="45"/>
        <v>2031</v>
      </c>
      <c r="K169" s="74">
        <f t="shared" si="46"/>
        <v>47849</v>
      </c>
    </row>
    <row r="170" spans="2:11" outlineLevel="1">
      <c r="B170" s="78">
        <f t="shared" si="42"/>
        <v>47880</v>
      </c>
      <c r="C170" s="75">
        <v>543401.75165641308</v>
      </c>
      <c r="D170" s="71">
        <f>IF(F170&lt;&gt;0,VLOOKUP($J170,'Table 1'!$B$13:$C$33,2,FALSE)/12*1000*Study_MW,0)</f>
        <v>0</v>
      </c>
      <c r="E170" s="71">
        <f t="shared" si="43"/>
        <v>543401.75165641308</v>
      </c>
      <c r="F170" s="75">
        <v>13801.92</v>
      </c>
      <c r="G170" s="76">
        <f t="shared" si="44"/>
        <v>39.371460757373832</v>
      </c>
      <c r="I170" s="77">
        <f t="shared" si="41"/>
        <v>41</v>
      </c>
      <c r="J170" s="73">
        <f t="shared" si="45"/>
        <v>2031</v>
      </c>
      <c r="K170" s="78">
        <f t="shared" si="46"/>
        <v>47880</v>
      </c>
    </row>
    <row r="171" spans="2:11" outlineLevel="1">
      <c r="B171" s="78">
        <f t="shared" si="42"/>
        <v>47908</v>
      </c>
      <c r="C171" s="75">
        <v>619241.37792146206</v>
      </c>
      <c r="D171" s="71">
        <f>IF(F171&lt;&gt;0,VLOOKUP($J171,'Table 1'!$B$13:$C$33,2,FALSE)/12*1000*Study_MW,0)</f>
        <v>0</v>
      </c>
      <c r="E171" s="71">
        <f t="shared" si="43"/>
        <v>619241.37792146206</v>
      </c>
      <c r="F171" s="75">
        <v>16861.52</v>
      </c>
      <c r="G171" s="76">
        <f t="shared" si="44"/>
        <v>36.725121929782254</v>
      </c>
      <c r="I171" s="77">
        <f t="shared" si="41"/>
        <v>42</v>
      </c>
      <c r="J171" s="73">
        <f t="shared" si="45"/>
        <v>2031</v>
      </c>
      <c r="K171" s="78">
        <f t="shared" si="46"/>
        <v>47908</v>
      </c>
    </row>
    <row r="172" spans="2:11" outlineLevel="1">
      <c r="B172" s="78">
        <f t="shared" si="42"/>
        <v>47939</v>
      </c>
      <c r="C172" s="75">
        <v>474231.03709821403</v>
      </c>
      <c r="D172" s="71">
        <f>IF(F172&lt;&gt;0,VLOOKUP($J172,'Table 1'!$B$13:$C$33,2,FALSE)/12*1000*Study_MW,0)</f>
        <v>0</v>
      </c>
      <c r="E172" s="71">
        <f t="shared" si="43"/>
        <v>474231.03709821403</v>
      </c>
      <c r="F172" s="75">
        <v>14482.48</v>
      </c>
      <c r="G172" s="76">
        <f t="shared" si="44"/>
        <v>32.745153944504949</v>
      </c>
      <c r="I172" s="77">
        <f t="shared" si="41"/>
        <v>43</v>
      </c>
      <c r="J172" s="73">
        <f t="shared" si="45"/>
        <v>2031</v>
      </c>
      <c r="K172" s="78">
        <f t="shared" si="46"/>
        <v>47939</v>
      </c>
    </row>
    <row r="173" spans="2:11" outlineLevel="1">
      <c r="B173" s="78">
        <f t="shared" si="42"/>
        <v>47969</v>
      </c>
      <c r="C173" s="75">
        <v>442179.24345961213</v>
      </c>
      <c r="D173" s="71">
        <f>IF(F173&lt;&gt;0,VLOOKUP($J173,'Table 1'!$B$13:$C$33,2,FALSE)/12*1000*Study_MW,0)</f>
        <v>0</v>
      </c>
      <c r="E173" s="71">
        <f t="shared" si="43"/>
        <v>442179.24345961213</v>
      </c>
      <c r="F173" s="75">
        <v>14297.28</v>
      </c>
      <c r="G173" s="76">
        <f t="shared" si="44"/>
        <v>30.927508131589512</v>
      </c>
      <c r="I173" s="77">
        <f t="shared" si="41"/>
        <v>44</v>
      </c>
      <c r="J173" s="73">
        <f t="shared" si="45"/>
        <v>2031</v>
      </c>
      <c r="K173" s="78">
        <f t="shared" si="46"/>
        <v>47969</v>
      </c>
    </row>
    <row r="174" spans="2:11" outlineLevel="1">
      <c r="B174" s="78">
        <f t="shared" si="42"/>
        <v>48000</v>
      </c>
      <c r="C174" s="75">
        <v>570902.6293130815</v>
      </c>
      <c r="D174" s="71">
        <f>IF(F174&lt;&gt;0,VLOOKUP($J174,'Table 1'!$B$13:$C$33,2,FALSE)/12*1000*Study_MW,0)</f>
        <v>0</v>
      </c>
      <c r="E174" s="71">
        <f t="shared" si="43"/>
        <v>570902.6293130815</v>
      </c>
      <c r="F174" s="75">
        <v>17929.68</v>
      </c>
      <c r="G174" s="76">
        <f t="shared" si="44"/>
        <v>31.841205716615214</v>
      </c>
      <c r="I174" s="77">
        <f t="shared" si="41"/>
        <v>45</v>
      </c>
      <c r="J174" s="73">
        <f t="shared" si="45"/>
        <v>2031</v>
      </c>
      <c r="K174" s="78">
        <f t="shared" si="46"/>
        <v>48000</v>
      </c>
    </row>
    <row r="175" spans="2:11" outlineLevel="1">
      <c r="B175" s="78">
        <f t="shared" si="42"/>
        <v>48030</v>
      </c>
      <c r="C175" s="75">
        <v>1285841.3510243297</v>
      </c>
      <c r="D175" s="71">
        <f>IF(F175&lt;&gt;0,VLOOKUP($J175,'Table 1'!$B$13:$C$33,2,FALSE)/12*1000*Study_MW,0)</f>
        <v>0</v>
      </c>
      <c r="E175" s="71">
        <f t="shared" si="43"/>
        <v>1285841.3510243297</v>
      </c>
      <c r="F175" s="75">
        <v>20641.68</v>
      </c>
      <c r="G175" s="76">
        <f t="shared" si="44"/>
        <v>62.293444672348841</v>
      </c>
      <c r="I175" s="77">
        <f t="shared" si="41"/>
        <v>46</v>
      </c>
      <c r="J175" s="73">
        <f t="shared" si="45"/>
        <v>2031</v>
      </c>
      <c r="K175" s="78">
        <f t="shared" si="46"/>
        <v>48030</v>
      </c>
    </row>
    <row r="176" spans="2:11" outlineLevel="1">
      <c r="B176" s="78">
        <f t="shared" si="42"/>
        <v>48061</v>
      </c>
      <c r="C176" s="75">
        <v>1044335.9706817269</v>
      </c>
      <c r="D176" s="71">
        <f>IF(F176&lt;&gt;0,VLOOKUP($J176,'Table 1'!$B$13:$C$33,2,FALSE)/12*1000*Study_MW,0)</f>
        <v>0</v>
      </c>
      <c r="E176" s="71">
        <f t="shared" si="43"/>
        <v>1044335.9706817269</v>
      </c>
      <c r="F176" s="75">
        <v>21487.599999999999</v>
      </c>
      <c r="G176" s="76">
        <f t="shared" si="44"/>
        <v>48.601796882002972</v>
      </c>
      <c r="I176" s="77">
        <f t="shared" si="41"/>
        <v>47</v>
      </c>
      <c r="J176" s="73">
        <f t="shared" si="45"/>
        <v>2031</v>
      </c>
      <c r="K176" s="78">
        <f t="shared" si="46"/>
        <v>48061</v>
      </c>
    </row>
    <row r="177" spans="2:11" outlineLevel="1">
      <c r="B177" s="78">
        <f t="shared" si="42"/>
        <v>48092</v>
      </c>
      <c r="C177" s="75">
        <v>889741.03118011355</v>
      </c>
      <c r="D177" s="71">
        <f>IF(F177&lt;&gt;0,VLOOKUP($J177,'Table 1'!$B$13:$C$33,2,FALSE)/12*1000*Study_MW,0)</f>
        <v>0</v>
      </c>
      <c r="E177" s="71">
        <f t="shared" si="43"/>
        <v>889741.03118011355</v>
      </c>
      <c r="F177" s="75">
        <v>21070.240000000002</v>
      </c>
      <c r="G177" s="76">
        <f t="shared" si="44"/>
        <v>42.22738000042304</v>
      </c>
      <c r="I177" s="77">
        <f t="shared" si="41"/>
        <v>48</v>
      </c>
      <c r="J177" s="73">
        <f t="shared" si="45"/>
        <v>2031</v>
      </c>
      <c r="K177" s="78">
        <f t="shared" si="46"/>
        <v>48092</v>
      </c>
    </row>
    <row r="178" spans="2:11" outlineLevel="1">
      <c r="B178" s="78">
        <f t="shared" si="42"/>
        <v>48122</v>
      </c>
      <c r="C178" s="75">
        <v>655461.52761638165</v>
      </c>
      <c r="D178" s="71">
        <f>IF(F178&lt;&gt;0,VLOOKUP($J178,'Table 1'!$B$13:$C$33,2,FALSE)/12*1000*Study_MW,0)</f>
        <v>0</v>
      </c>
      <c r="E178" s="71">
        <f t="shared" si="43"/>
        <v>655461.52761638165</v>
      </c>
      <c r="F178" s="75">
        <v>20190</v>
      </c>
      <c r="G178" s="76">
        <f t="shared" si="44"/>
        <v>32.464662090955009</v>
      </c>
      <c r="I178" s="77">
        <f t="shared" si="41"/>
        <v>49</v>
      </c>
      <c r="J178" s="73">
        <f t="shared" si="45"/>
        <v>2031</v>
      </c>
      <c r="K178" s="78">
        <f t="shared" si="46"/>
        <v>48122</v>
      </c>
    </row>
    <row r="179" spans="2:11" outlineLevel="1">
      <c r="B179" s="78">
        <f t="shared" si="42"/>
        <v>48153</v>
      </c>
      <c r="C179" s="75">
        <v>676406.58675965667</v>
      </c>
      <c r="D179" s="71">
        <f>IF(F179&lt;&gt;0,VLOOKUP($J179,'Table 1'!$B$13:$C$33,2,FALSE)/12*1000*Study_MW,0)</f>
        <v>0</v>
      </c>
      <c r="E179" s="71">
        <f t="shared" si="43"/>
        <v>676406.58675965667</v>
      </c>
      <c r="F179" s="75">
        <v>20168.560000000001</v>
      </c>
      <c r="G179" s="76">
        <f t="shared" si="44"/>
        <v>33.537673823002564</v>
      </c>
      <c r="I179" s="77">
        <f t="shared" si="41"/>
        <v>50</v>
      </c>
      <c r="J179" s="73">
        <f t="shared" si="45"/>
        <v>2031</v>
      </c>
      <c r="K179" s="78">
        <f t="shared" si="46"/>
        <v>48153</v>
      </c>
    </row>
    <row r="180" spans="2:11" outlineLevel="1">
      <c r="B180" s="82">
        <f t="shared" si="42"/>
        <v>48183</v>
      </c>
      <c r="C180" s="79">
        <v>758884.57103040814</v>
      </c>
      <c r="D180" s="80">
        <f>IF(F180&lt;&gt;0,VLOOKUP($J180,'Table 1'!$B$13:$C$33,2,FALSE)/12*1000*Study_MW,0)</f>
        <v>0</v>
      </c>
      <c r="E180" s="80">
        <f t="shared" si="43"/>
        <v>758884.57103040814</v>
      </c>
      <c r="F180" s="79">
        <v>19836.96</v>
      </c>
      <c r="G180" s="81">
        <f t="shared" si="44"/>
        <v>38.256092215259201</v>
      </c>
      <c r="I180" s="64">
        <f t="shared" si="41"/>
        <v>51</v>
      </c>
      <c r="J180" s="73">
        <f t="shared" si="45"/>
        <v>2031</v>
      </c>
      <c r="K180" s="82">
        <f t="shared" si="46"/>
        <v>48183</v>
      </c>
    </row>
    <row r="181" spans="2:11" outlineLevel="1" collapsed="1">
      <c r="B181" s="74">
        <f t="shared" si="42"/>
        <v>48214</v>
      </c>
      <c r="C181" s="69">
        <v>632266.51080960035</v>
      </c>
      <c r="D181" s="70">
        <f>IF(F181&lt;&gt;0,VLOOKUP($J181,'Table 1'!$B$13:$C$33,2,FALSE)/12*1000*Study_MW,0)</f>
        <v>0</v>
      </c>
      <c r="E181" s="70">
        <f t="shared" si="43"/>
        <v>632266.51080960035</v>
      </c>
      <c r="F181" s="69">
        <v>16504.64</v>
      </c>
      <c r="G181" s="72">
        <f t="shared" si="44"/>
        <v>38.308409684161568</v>
      </c>
      <c r="I181" s="60">
        <f>I61</f>
        <v>53</v>
      </c>
      <c r="J181" s="73">
        <f t="shared" si="45"/>
        <v>2032</v>
      </c>
      <c r="K181" s="74">
        <f t="shared" si="46"/>
        <v>48214</v>
      </c>
    </row>
    <row r="182" spans="2:11" outlineLevel="1">
      <c r="B182" s="78">
        <f t="shared" si="42"/>
        <v>48245</v>
      </c>
      <c r="C182" s="75">
        <v>557173.55353099108</v>
      </c>
      <c r="D182" s="71">
        <f>IF(F182&lt;&gt;0,VLOOKUP($J182,'Table 1'!$B$13:$C$33,2,FALSE)/12*1000*Study_MW,0)</f>
        <v>0</v>
      </c>
      <c r="E182" s="71">
        <f t="shared" si="43"/>
        <v>557173.55353099108</v>
      </c>
      <c r="F182" s="75">
        <v>14442.08</v>
      </c>
      <c r="G182" s="76">
        <f t="shared" si="44"/>
        <v>38.579868933767926</v>
      </c>
      <c r="I182" s="77">
        <f t="shared" si="41"/>
        <v>54</v>
      </c>
      <c r="J182" s="73">
        <f t="shared" si="45"/>
        <v>2032</v>
      </c>
      <c r="K182" s="78">
        <f t="shared" si="46"/>
        <v>48245</v>
      </c>
    </row>
    <row r="183" spans="2:11" outlineLevel="1">
      <c r="B183" s="78">
        <f t="shared" si="42"/>
        <v>48274</v>
      </c>
      <c r="C183" s="75">
        <v>632270.02391129732</v>
      </c>
      <c r="D183" s="71">
        <f>IF(F183&lt;&gt;0,VLOOKUP($J183,'Table 1'!$B$13:$C$33,2,FALSE)/12*1000*Study_MW,0)</f>
        <v>0</v>
      </c>
      <c r="E183" s="71">
        <f t="shared" si="43"/>
        <v>632270.02391129732</v>
      </c>
      <c r="F183" s="75">
        <v>16861.52</v>
      </c>
      <c r="G183" s="76">
        <f t="shared" si="44"/>
        <v>37.497807072630302</v>
      </c>
      <c r="I183" s="77">
        <f t="shared" si="41"/>
        <v>55</v>
      </c>
      <c r="J183" s="73">
        <f t="shared" si="45"/>
        <v>2032</v>
      </c>
      <c r="K183" s="78">
        <f t="shared" si="46"/>
        <v>48274</v>
      </c>
    </row>
    <row r="184" spans="2:11" outlineLevel="1">
      <c r="B184" s="78">
        <f t="shared" si="42"/>
        <v>48305</v>
      </c>
      <c r="C184" s="75">
        <v>531569.19685947895</v>
      </c>
      <c r="D184" s="71">
        <f>IF(F184&lt;&gt;0,VLOOKUP($J184,'Table 1'!$B$13:$C$33,2,FALSE)/12*1000*Study_MW,0)</f>
        <v>0</v>
      </c>
      <c r="E184" s="71">
        <f t="shared" si="43"/>
        <v>531569.19685947895</v>
      </c>
      <c r="F184" s="75">
        <v>14482.48</v>
      </c>
      <c r="G184" s="76">
        <f t="shared" si="44"/>
        <v>36.704293522896556</v>
      </c>
      <c r="I184" s="77">
        <f t="shared" si="41"/>
        <v>56</v>
      </c>
      <c r="J184" s="73">
        <f t="shared" si="45"/>
        <v>2032</v>
      </c>
      <c r="K184" s="78">
        <f t="shared" si="46"/>
        <v>48305</v>
      </c>
    </row>
    <row r="185" spans="2:11" outlineLevel="1">
      <c r="B185" s="78">
        <f t="shared" si="42"/>
        <v>48335</v>
      </c>
      <c r="C185" s="75">
        <v>481371.60818451643</v>
      </c>
      <c r="D185" s="71">
        <f>IF(F185&lt;&gt;0,VLOOKUP($J185,'Table 1'!$B$13:$C$33,2,FALSE)/12*1000*Study_MW,0)</f>
        <v>0</v>
      </c>
      <c r="E185" s="71">
        <f t="shared" si="43"/>
        <v>481371.60818451643</v>
      </c>
      <c r="F185" s="75">
        <v>14297.28</v>
      </c>
      <c r="G185" s="76">
        <f t="shared" si="44"/>
        <v>33.668754349394881</v>
      </c>
      <c r="I185" s="77">
        <f t="shared" si="41"/>
        <v>57</v>
      </c>
      <c r="J185" s="73">
        <f t="shared" si="45"/>
        <v>2032</v>
      </c>
      <c r="K185" s="78">
        <f t="shared" si="46"/>
        <v>48335</v>
      </c>
    </row>
    <row r="186" spans="2:11" outlineLevel="1">
      <c r="B186" s="78">
        <f t="shared" si="42"/>
        <v>48366</v>
      </c>
      <c r="C186" s="75">
        <v>544635.30493918061</v>
      </c>
      <c r="D186" s="71">
        <f>IF(F186&lt;&gt;0,VLOOKUP($J186,'Table 1'!$B$13:$C$33,2,FALSE)/12*1000*Study_MW,0)</f>
        <v>0</v>
      </c>
      <c r="E186" s="71">
        <f t="shared" si="43"/>
        <v>544635.30493918061</v>
      </c>
      <c r="F186" s="75">
        <v>17929.68</v>
      </c>
      <c r="G186" s="76">
        <f t="shared" si="44"/>
        <v>30.376186576624939</v>
      </c>
      <c r="I186" s="77">
        <f t="shared" si="41"/>
        <v>58</v>
      </c>
      <c r="J186" s="73">
        <f t="shared" si="45"/>
        <v>2032</v>
      </c>
      <c r="K186" s="78">
        <f t="shared" si="46"/>
        <v>48366</v>
      </c>
    </row>
    <row r="187" spans="2:11" outlineLevel="1">
      <c r="B187" s="78">
        <f t="shared" si="42"/>
        <v>48396</v>
      </c>
      <c r="C187" s="75">
        <v>1033923.1400012076</v>
      </c>
      <c r="D187" s="71">
        <f>IF(F187&lt;&gt;0,VLOOKUP($J187,'Table 1'!$B$13:$C$33,2,FALSE)/12*1000*Study_MW,0)</f>
        <v>0</v>
      </c>
      <c r="E187" s="71">
        <f t="shared" si="43"/>
        <v>1033923.1400012076</v>
      </c>
      <c r="F187" s="75">
        <v>20641.68</v>
      </c>
      <c r="G187" s="76">
        <f t="shared" si="44"/>
        <v>50.0890983680208</v>
      </c>
      <c r="I187" s="77">
        <f t="shared" si="41"/>
        <v>59</v>
      </c>
      <c r="J187" s="73">
        <f t="shared" si="45"/>
        <v>2032</v>
      </c>
      <c r="K187" s="78">
        <f t="shared" si="46"/>
        <v>48396</v>
      </c>
    </row>
    <row r="188" spans="2:11" outlineLevel="1">
      <c r="B188" s="78">
        <f t="shared" si="42"/>
        <v>48427</v>
      </c>
      <c r="C188" s="75">
        <v>1132945.3271820247</v>
      </c>
      <c r="D188" s="71">
        <f>IF(F188&lt;&gt;0,VLOOKUP($J188,'Table 1'!$B$13:$C$33,2,FALSE)/12*1000*Study_MW,0)</f>
        <v>0</v>
      </c>
      <c r="E188" s="71">
        <f t="shared" si="43"/>
        <v>1132945.3271820247</v>
      </c>
      <c r="F188" s="75">
        <v>21487.599999999999</v>
      </c>
      <c r="G188" s="76">
        <f t="shared" si="44"/>
        <v>52.725540645862026</v>
      </c>
      <c r="I188" s="77">
        <f t="shared" si="41"/>
        <v>60</v>
      </c>
      <c r="J188" s="73">
        <f t="shared" si="45"/>
        <v>2032</v>
      </c>
      <c r="K188" s="78">
        <f t="shared" si="46"/>
        <v>48427</v>
      </c>
    </row>
    <row r="189" spans="2:11" outlineLevel="1">
      <c r="B189" s="78">
        <f t="shared" si="42"/>
        <v>48458</v>
      </c>
      <c r="C189" s="75">
        <v>982980.0015270412</v>
      </c>
      <c r="D189" s="71">
        <f>IF(F189&lt;&gt;0,VLOOKUP($J189,'Table 1'!$B$13:$C$33,2,FALSE)/12*1000*Study_MW,0)</f>
        <v>0</v>
      </c>
      <c r="E189" s="71">
        <f t="shared" si="43"/>
        <v>982980.0015270412</v>
      </c>
      <c r="F189" s="75">
        <v>21070.240000000002</v>
      </c>
      <c r="G189" s="76">
        <f t="shared" si="44"/>
        <v>46.652529896528996</v>
      </c>
      <c r="I189" s="77">
        <f t="shared" si="41"/>
        <v>61</v>
      </c>
      <c r="J189" s="73">
        <f t="shared" si="45"/>
        <v>2032</v>
      </c>
      <c r="K189" s="78">
        <f t="shared" si="46"/>
        <v>48458</v>
      </c>
    </row>
    <row r="190" spans="2:11" outlineLevel="1">
      <c r="B190" s="78">
        <f t="shared" si="42"/>
        <v>48488</v>
      </c>
      <c r="C190" s="75">
        <v>718316.00388395786</v>
      </c>
      <c r="D190" s="71">
        <f>IF(F190&lt;&gt;0,VLOOKUP($J190,'Table 1'!$B$13:$C$33,2,FALSE)/12*1000*Study_MW,0)</f>
        <v>0</v>
      </c>
      <c r="E190" s="71">
        <f t="shared" si="43"/>
        <v>718316.00388395786</v>
      </c>
      <c r="F190" s="75">
        <v>20190</v>
      </c>
      <c r="G190" s="76">
        <f t="shared" si="44"/>
        <v>35.577810989794841</v>
      </c>
      <c r="I190" s="77">
        <f t="shared" si="41"/>
        <v>62</v>
      </c>
      <c r="J190" s="73">
        <f t="shared" si="45"/>
        <v>2032</v>
      </c>
      <c r="K190" s="78">
        <f t="shared" si="46"/>
        <v>48488</v>
      </c>
    </row>
    <row r="191" spans="2:11" outlineLevel="1">
      <c r="B191" s="78">
        <f t="shared" si="42"/>
        <v>48519</v>
      </c>
      <c r="C191" s="75">
        <v>743397.27214854956</v>
      </c>
      <c r="D191" s="71">
        <f>IF(F191&lt;&gt;0,VLOOKUP($J191,'Table 1'!$B$13:$C$33,2,FALSE)/12*1000*Study_MW,0)</f>
        <v>0</v>
      </c>
      <c r="E191" s="71">
        <f t="shared" si="43"/>
        <v>743397.27214854956</v>
      </c>
      <c r="F191" s="75">
        <v>20168.560000000001</v>
      </c>
      <c r="G191" s="76">
        <f t="shared" si="44"/>
        <v>36.859214150566501</v>
      </c>
      <c r="I191" s="77">
        <f t="shared" si="41"/>
        <v>63</v>
      </c>
      <c r="J191" s="73">
        <f t="shared" si="45"/>
        <v>2032</v>
      </c>
      <c r="K191" s="78">
        <f t="shared" si="46"/>
        <v>48519</v>
      </c>
    </row>
    <row r="192" spans="2:11" outlineLevel="1">
      <c r="B192" s="82">
        <f t="shared" si="42"/>
        <v>48549</v>
      </c>
      <c r="C192" s="79">
        <v>822808.75289604068</v>
      </c>
      <c r="D192" s="80">
        <f>IF(F192&lt;&gt;0,VLOOKUP($J192,'Table 1'!$B$13:$C$33,2,FALSE)/12*1000*Study_MW,0)</f>
        <v>0</v>
      </c>
      <c r="E192" s="80">
        <f t="shared" si="43"/>
        <v>822808.75289604068</v>
      </c>
      <c r="F192" s="79">
        <v>19836.96</v>
      </c>
      <c r="G192" s="81">
        <f t="shared" si="44"/>
        <v>41.47857095522906</v>
      </c>
      <c r="I192" s="64">
        <f t="shared" si="41"/>
        <v>64</v>
      </c>
      <c r="J192" s="73">
        <f t="shared" si="45"/>
        <v>2032</v>
      </c>
      <c r="K192" s="82">
        <f t="shared" si="46"/>
        <v>48549</v>
      </c>
    </row>
    <row r="193" spans="2:11">
      <c r="B193" s="74">
        <f t="shared" si="42"/>
        <v>48580</v>
      </c>
      <c r="C193" s="69">
        <v>-49562.305914223194</v>
      </c>
      <c r="D193" s="70">
        <f>IF(F193&lt;&gt;0,VLOOKUP($J193,'Table 1'!$B$13:$C$33,2,FALSE)/12*1000*Study_MW,0)</f>
        <v>1028666.6666666667</v>
      </c>
      <c r="E193" s="70">
        <f t="shared" ref="E193:E216" si="47">C193+D193</f>
        <v>979104.36075244355</v>
      </c>
      <c r="F193" s="69">
        <v>16504.64</v>
      </c>
      <c r="G193" s="72">
        <f t="shared" ref="G193:G216" si="48">IF(ISNUMBER($F193),E193/$F193,"")</f>
        <v>59.322975887534874</v>
      </c>
      <c r="I193" s="60">
        <f>I73</f>
        <v>66</v>
      </c>
      <c r="J193" s="73">
        <f t="shared" ref="J193:J216" si="49">YEAR(B193)</f>
        <v>2033</v>
      </c>
      <c r="K193" s="74">
        <f t="shared" ref="K193:K216" si="50">IF(ISNUMBER(F193),IF(F193&lt;&gt;0,B193,""),"")</f>
        <v>48580</v>
      </c>
    </row>
    <row r="194" spans="2:11">
      <c r="B194" s="78">
        <f t="shared" si="42"/>
        <v>48611</v>
      </c>
      <c r="C194" s="75">
        <v>-375544.28582116961</v>
      </c>
      <c r="D194" s="71">
        <f>IF(F194&lt;&gt;0,VLOOKUP($J194,'Table 1'!$B$13:$C$33,2,FALSE)/12*1000*Study_MW,0)</f>
        <v>1028666.6666666667</v>
      </c>
      <c r="E194" s="71">
        <f t="shared" si="47"/>
        <v>653122.38084549713</v>
      </c>
      <c r="F194" s="75">
        <v>13801.92</v>
      </c>
      <c r="G194" s="76">
        <f t="shared" si="48"/>
        <v>47.321124948231635</v>
      </c>
      <c r="I194" s="77">
        <f t="shared" si="41"/>
        <v>67</v>
      </c>
      <c r="J194" s="73">
        <f t="shared" si="49"/>
        <v>2033</v>
      </c>
      <c r="K194" s="78">
        <f t="shared" si="50"/>
        <v>48611</v>
      </c>
    </row>
    <row r="195" spans="2:11">
      <c r="B195" s="78">
        <f t="shared" si="42"/>
        <v>48639</v>
      </c>
      <c r="C195" s="75">
        <v>-328095.01983693242</v>
      </c>
      <c r="D195" s="71">
        <f>IF(F195&lt;&gt;0,VLOOKUP($J195,'Table 1'!$B$13:$C$33,2,FALSE)/12*1000*Study_MW,0)</f>
        <v>1028666.6666666667</v>
      </c>
      <c r="E195" s="71">
        <f t="shared" si="47"/>
        <v>700571.64682973432</v>
      </c>
      <c r="F195" s="75">
        <v>16861.52</v>
      </c>
      <c r="G195" s="76">
        <f t="shared" si="48"/>
        <v>41.548546443602611</v>
      </c>
      <c r="I195" s="77">
        <f t="shared" si="41"/>
        <v>68</v>
      </c>
      <c r="J195" s="73">
        <f t="shared" si="49"/>
        <v>2033</v>
      </c>
      <c r="K195" s="78">
        <f t="shared" si="50"/>
        <v>48639</v>
      </c>
    </row>
    <row r="196" spans="2:11">
      <c r="B196" s="78">
        <f t="shared" si="42"/>
        <v>48670</v>
      </c>
      <c r="C196" s="75">
        <v>-341074.80231280625</v>
      </c>
      <c r="D196" s="71">
        <f>IF(F196&lt;&gt;0,VLOOKUP($J196,'Table 1'!$B$13:$C$33,2,FALSE)/12*1000*Study_MW,0)</f>
        <v>1028666.6666666667</v>
      </c>
      <c r="E196" s="71">
        <f t="shared" si="47"/>
        <v>687591.8643538605</v>
      </c>
      <c r="F196" s="75">
        <v>14482.48</v>
      </c>
      <c r="G196" s="76">
        <f t="shared" si="48"/>
        <v>47.47749448670811</v>
      </c>
      <c r="I196" s="77">
        <f t="shared" si="41"/>
        <v>69</v>
      </c>
      <c r="J196" s="73">
        <f t="shared" si="49"/>
        <v>2033</v>
      </c>
      <c r="K196" s="78">
        <f t="shared" si="50"/>
        <v>48670</v>
      </c>
    </row>
    <row r="197" spans="2:11">
      <c r="B197" s="78">
        <f t="shared" si="42"/>
        <v>48700</v>
      </c>
      <c r="C197" s="75">
        <v>-136617.72423732281</v>
      </c>
      <c r="D197" s="71">
        <f>IF(F197&lt;&gt;0,VLOOKUP($J197,'Table 1'!$B$13:$C$33,2,FALSE)/12*1000*Study_MW,0)</f>
        <v>1028666.6666666667</v>
      </c>
      <c r="E197" s="71">
        <f t="shared" si="47"/>
        <v>892048.94242934394</v>
      </c>
      <c r="F197" s="75">
        <v>14297.28</v>
      </c>
      <c r="G197" s="76">
        <f t="shared" si="48"/>
        <v>62.392912667958093</v>
      </c>
      <c r="I197" s="77">
        <f t="shared" si="41"/>
        <v>70</v>
      </c>
      <c r="J197" s="73">
        <f t="shared" si="49"/>
        <v>2033</v>
      </c>
      <c r="K197" s="78">
        <f t="shared" si="50"/>
        <v>48700</v>
      </c>
    </row>
    <row r="198" spans="2:11">
      <c r="B198" s="78">
        <f t="shared" si="42"/>
        <v>48731</v>
      </c>
      <c r="C198" s="75">
        <v>-122837.59500470757</v>
      </c>
      <c r="D198" s="71">
        <f>IF(F198&lt;&gt;0,VLOOKUP($J198,'Table 1'!$B$13:$C$33,2,FALSE)/12*1000*Study_MW,0)</f>
        <v>1028666.6666666667</v>
      </c>
      <c r="E198" s="71">
        <f t="shared" si="47"/>
        <v>905829.07166195917</v>
      </c>
      <c r="F198" s="75">
        <v>17929.68</v>
      </c>
      <c r="G198" s="76">
        <f t="shared" si="48"/>
        <v>50.521206829232824</v>
      </c>
      <c r="I198" s="77">
        <f t="shared" ref="I198:I204" si="51">I78</f>
        <v>71</v>
      </c>
      <c r="J198" s="73">
        <f t="shared" si="49"/>
        <v>2033</v>
      </c>
      <c r="K198" s="78">
        <f t="shared" si="50"/>
        <v>48731</v>
      </c>
    </row>
    <row r="199" spans="2:11">
      <c r="B199" s="78">
        <f t="shared" si="42"/>
        <v>48761</v>
      </c>
      <c r="C199" s="75">
        <v>128351.31270650029</v>
      </c>
      <c r="D199" s="71">
        <f>IF(F199&lt;&gt;0,VLOOKUP($J199,'Table 1'!$B$13:$C$33,2,FALSE)/12*1000*Study_MW,0)</f>
        <v>1028666.6666666667</v>
      </c>
      <c r="E199" s="71">
        <f t="shared" si="47"/>
        <v>1157017.979373167</v>
      </c>
      <c r="F199" s="75">
        <v>20641.68</v>
      </c>
      <c r="G199" s="76">
        <f t="shared" si="48"/>
        <v>56.052510230425383</v>
      </c>
      <c r="I199" s="77">
        <f t="shared" si="51"/>
        <v>72</v>
      </c>
      <c r="J199" s="73">
        <f t="shared" si="49"/>
        <v>2033</v>
      </c>
      <c r="K199" s="78">
        <f t="shared" si="50"/>
        <v>48761</v>
      </c>
    </row>
    <row r="200" spans="2:11">
      <c r="B200" s="78">
        <f t="shared" si="42"/>
        <v>48792</v>
      </c>
      <c r="C200" s="75">
        <v>230634.24080017209</v>
      </c>
      <c r="D200" s="71">
        <f>IF(F200&lt;&gt;0,VLOOKUP($J200,'Table 1'!$B$13:$C$33,2,FALSE)/12*1000*Study_MW,0)</f>
        <v>1028666.6666666667</v>
      </c>
      <c r="E200" s="71">
        <f t="shared" si="47"/>
        <v>1259300.9074668388</v>
      </c>
      <c r="F200" s="75">
        <v>21487.599999999999</v>
      </c>
      <c r="G200" s="76">
        <f t="shared" si="48"/>
        <v>58.605935863793022</v>
      </c>
      <c r="I200" s="77">
        <f t="shared" si="51"/>
        <v>73</v>
      </c>
      <c r="J200" s="73">
        <f t="shared" si="49"/>
        <v>2033</v>
      </c>
      <c r="K200" s="78">
        <f t="shared" si="50"/>
        <v>48792</v>
      </c>
    </row>
    <row r="201" spans="2:11">
      <c r="B201" s="78">
        <f t="shared" si="42"/>
        <v>48823</v>
      </c>
      <c r="C201" s="75">
        <v>62984.509847819805</v>
      </c>
      <c r="D201" s="71">
        <f>IF(F201&lt;&gt;0,VLOOKUP($J201,'Table 1'!$B$13:$C$33,2,FALSE)/12*1000*Study_MW,0)</f>
        <v>1028666.6666666667</v>
      </c>
      <c r="E201" s="71">
        <f t="shared" si="47"/>
        <v>1091651.1765144865</v>
      </c>
      <c r="F201" s="75">
        <v>21070.240000000002</v>
      </c>
      <c r="G201" s="76">
        <f t="shared" si="48"/>
        <v>51.810096919374743</v>
      </c>
      <c r="I201" s="77">
        <f t="shared" si="51"/>
        <v>74</v>
      </c>
      <c r="J201" s="73">
        <f t="shared" si="49"/>
        <v>2033</v>
      </c>
      <c r="K201" s="78">
        <f t="shared" si="50"/>
        <v>48823</v>
      </c>
    </row>
    <row r="202" spans="2:11">
      <c r="B202" s="78">
        <f t="shared" si="42"/>
        <v>48853</v>
      </c>
      <c r="C202" s="75">
        <v>-56875.948439925909</v>
      </c>
      <c r="D202" s="71">
        <f>IF(F202&lt;&gt;0,VLOOKUP($J202,'Table 1'!$B$13:$C$33,2,FALSE)/12*1000*Study_MW,0)</f>
        <v>1028666.6666666667</v>
      </c>
      <c r="E202" s="71">
        <f t="shared" si="47"/>
        <v>971790.71822674084</v>
      </c>
      <c r="F202" s="75">
        <v>20190</v>
      </c>
      <c r="G202" s="76">
        <f t="shared" si="48"/>
        <v>48.132279258382411</v>
      </c>
      <c r="I202" s="77">
        <f t="shared" si="51"/>
        <v>75</v>
      </c>
      <c r="J202" s="73">
        <f t="shared" si="49"/>
        <v>2033</v>
      </c>
      <c r="K202" s="78">
        <f t="shared" si="50"/>
        <v>48853</v>
      </c>
    </row>
    <row r="203" spans="2:11">
      <c r="B203" s="78">
        <f t="shared" si="42"/>
        <v>48884</v>
      </c>
      <c r="C203" s="75">
        <v>-194531.63587585092</v>
      </c>
      <c r="D203" s="71">
        <f>IF(F203&lt;&gt;0,VLOOKUP($J203,'Table 1'!$B$13:$C$33,2,FALSE)/12*1000*Study_MW,0)</f>
        <v>1028666.6666666667</v>
      </c>
      <c r="E203" s="71">
        <f t="shared" si="47"/>
        <v>834135.03079081583</v>
      </c>
      <c r="F203" s="75">
        <v>20168.560000000001</v>
      </c>
      <c r="G203" s="76">
        <f t="shared" si="48"/>
        <v>41.358184758397016</v>
      </c>
      <c r="I203" s="77">
        <f t="shared" si="51"/>
        <v>76</v>
      </c>
      <c r="J203" s="73">
        <f t="shared" si="49"/>
        <v>2033</v>
      </c>
      <c r="K203" s="78">
        <f t="shared" si="50"/>
        <v>48884</v>
      </c>
    </row>
    <row r="204" spans="2:11">
      <c r="B204" s="82">
        <f t="shared" si="42"/>
        <v>48914</v>
      </c>
      <c r="C204" s="79">
        <v>-239837.21644580364</v>
      </c>
      <c r="D204" s="80">
        <f>IF(F204&lt;&gt;0,VLOOKUP($J204,'Table 1'!$B$13:$C$33,2,FALSE)/12*1000*Study_MW,0)</f>
        <v>1028666.6666666667</v>
      </c>
      <c r="E204" s="80">
        <f t="shared" si="47"/>
        <v>788829.4502208631</v>
      </c>
      <c r="F204" s="79">
        <v>19836.96</v>
      </c>
      <c r="G204" s="81">
        <f t="shared" si="48"/>
        <v>39.765642024829567</v>
      </c>
      <c r="I204" s="64">
        <f t="shared" si="51"/>
        <v>77</v>
      </c>
      <c r="J204" s="73">
        <f t="shared" si="49"/>
        <v>2033</v>
      </c>
      <c r="K204" s="82">
        <f t="shared" si="50"/>
        <v>48914</v>
      </c>
    </row>
    <row r="205" spans="2:11" outlineLevel="1">
      <c r="B205" s="74">
        <f t="shared" si="42"/>
        <v>48945</v>
      </c>
      <c r="C205" s="69">
        <v>-120680.16075438261</v>
      </c>
      <c r="D205" s="70">
        <f>IF(F205&lt;&gt;0,VLOOKUP($J205,'Table 1'!$B$13:$C$33,2,FALSE)/12*1000*Study_MW,0)</f>
        <v>1049266.6666666665</v>
      </c>
      <c r="E205" s="70">
        <f t="shared" si="47"/>
        <v>928586.5059122839</v>
      </c>
      <c r="F205" s="69">
        <v>16504.64</v>
      </c>
      <c r="G205" s="72">
        <f t="shared" si="48"/>
        <v>56.262148457178341</v>
      </c>
      <c r="I205" s="60">
        <f>I85</f>
        <v>79</v>
      </c>
      <c r="J205" s="73">
        <f t="shared" si="49"/>
        <v>2034</v>
      </c>
      <c r="K205" s="74">
        <f t="shared" si="50"/>
        <v>48945</v>
      </c>
    </row>
    <row r="206" spans="2:11" outlineLevel="1">
      <c r="B206" s="78">
        <f t="shared" ref="B206:B263" si="52">EDATE(B205,1)</f>
        <v>48976</v>
      </c>
      <c r="C206" s="75">
        <v>-339417.61351671815</v>
      </c>
      <c r="D206" s="71">
        <f>IF(F206&lt;&gt;0,VLOOKUP($J206,'Table 1'!$B$13:$C$33,2,FALSE)/12*1000*Study_MW,0)</f>
        <v>1049266.6666666665</v>
      </c>
      <c r="E206" s="71">
        <f t="shared" si="47"/>
        <v>709849.05314994836</v>
      </c>
      <c r="F206" s="75">
        <v>13801.92</v>
      </c>
      <c r="G206" s="76">
        <f t="shared" si="48"/>
        <v>51.431181542129529</v>
      </c>
      <c r="I206" s="77">
        <f t="shared" ref="I206:I240" si="53">I86</f>
        <v>80</v>
      </c>
      <c r="J206" s="73">
        <f t="shared" si="49"/>
        <v>2034</v>
      </c>
      <c r="K206" s="78">
        <f t="shared" si="50"/>
        <v>48976</v>
      </c>
    </row>
    <row r="207" spans="2:11" outlineLevel="1">
      <c r="B207" s="78">
        <f t="shared" si="52"/>
        <v>49004</v>
      </c>
      <c r="C207" s="75">
        <v>-322404.36654257774</v>
      </c>
      <c r="D207" s="71">
        <f>IF(F207&lt;&gt;0,VLOOKUP($J207,'Table 1'!$B$13:$C$33,2,FALSE)/12*1000*Study_MW,0)</f>
        <v>1049266.6666666665</v>
      </c>
      <c r="E207" s="71">
        <f t="shared" si="47"/>
        <v>726862.30012408877</v>
      </c>
      <c r="F207" s="75">
        <v>16861.52</v>
      </c>
      <c r="G207" s="76">
        <f t="shared" si="48"/>
        <v>43.10775660344315</v>
      </c>
      <c r="I207" s="77">
        <f t="shared" si="53"/>
        <v>81</v>
      </c>
      <c r="J207" s="73">
        <f t="shared" si="49"/>
        <v>2034</v>
      </c>
      <c r="K207" s="78">
        <f t="shared" si="50"/>
        <v>49004</v>
      </c>
    </row>
    <row r="208" spans="2:11" outlineLevel="1">
      <c r="B208" s="78">
        <f t="shared" si="52"/>
        <v>49035</v>
      </c>
      <c r="C208" s="75">
        <v>-365681.95504435897</v>
      </c>
      <c r="D208" s="71">
        <f>IF(F208&lt;&gt;0,VLOOKUP($J208,'Table 1'!$B$13:$C$33,2,FALSE)/12*1000*Study_MW,0)</f>
        <v>1049266.6666666665</v>
      </c>
      <c r="E208" s="71">
        <f t="shared" si="47"/>
        <v>683584.71162230754</v>
      </c>
      <c r="F208" s="75">
        <v>14482.48</v>
      </c>
      <c r="G208" s="76">
        <f t="shared" si="48"/>
        <v>47.200804808451835</v>
      </c>
      <c r="I208" s="77">
        <f t="shared" si="53"/>
        <v>82</v>
      </c>
      <c r="J208" s="73">
        <f t="shared" si="49"/>
        <v>2034</v>
      </c>
      <c r="K208" s="78">
        <f t="shared" si="50"/>
        <v>49035</v>
      </c>
    </row>
    <row r="209" spans="2:13" outlineLevel="1">
      <c r="B209" s="78">
        <f t="shared" si="52"/>
        <v>49065</v>
      </c>
      <c r="C209" s="75">
        <v>-151626.04435026646</v>
      </c>
      <c r="D209" s="71">
        <f>IF(F209&lt;&gt;0,VLOOKUP($J209,'Table 1'!$B$13:$C$33,2,FALSE)/12*1000*Study_MW,0)</f>
        <v>1049266.6666666665</v>
      </c>
      <c r="E209" s="71">
        <f t="shared" si="47"/>
        <v>897640.62231640005</v>
      </c>
      <c r="F209" s="75">
        <v>14297.28</v>
      </c>
      <c r="G209" s="76">
        <f t="shared" si="48"/>
        <v>62.784013624717431</v>
      </c>
      <c r="I209" s="77">
        <f t="shared" si="53"/>
        <v>83</v>
      </c>
      <c r="J209" s="73">
        <f t="shared" si="49"/>
        <v>2034</v>
      </c>
      <c r="K209" s="78">
        <f t="shared" si="50"/>
        <v>49065</v>
      </c>
    </row>
    <row r="210" spans="2:13" outlineLevel="1">
      <c r="B210" s="78">
        <f t="shared" si="52"/>
        <v>49096</v>
      </c>
      <c r="C210" s="75">
        <v>-129497.50976121426</v>
      </c>
      <c r="D210" s="71">
        <f>IF(F210&lt;&gt;0,VLOOKUP($J210,'Table 1'!$B$13:$C$33,2,FALSE)/12*1000*Study_MW,0)</f>
        <v>1049266.6666666665</v>
      </c>
      <c r="E210" s="71">
        <f t="shared" si="47"/>
        <v>919769.15690545226</v>
      </c>
      <c r="F210" s="75">
        <v>17929.68</v>
      </c>
      <c r="G210" s="76">
        <f t="shared" si="48"/>
        <v>51.29869339025862</v>
      </c>
      <c r="I210" s="77">
        <f t="shared" si="53"/>
        <v>84</v>
      </c>
      <c r="J210" s="73">
        <f t="shared" si="49"/>
        <v>2034</v>
      </c>
      <c r="K210" s="78">
        <f t="shared" si="50"/>
        <v>49096</v>
      </c>
    </row>
    <row r="211" spans="2:13" outlineLevel="1">
      <c r="B211" s="78">
        <f t="shared" si="52"/>
        <v>49126</v>
      </c>
      <c r="C211" s="75">
        <v>126691.34707117081</v>
      </c>
      <c r="D211" s="71">
        <f>IF(F211&lt;&gt;0,VLOOKUP($J211,'Table 1'!$B$13:$C$33,2,FALSE)/12*1000*Study_MW,0)</f>
        <v>1049266.6666666665</v>
      </c>
      <c r="E211" s="71">
        <f t="shared" si="47"/>
        <v>1175958.0137378373</v>
      </c>
      <c r="F211" s="75">
        <v>20641.68</v>
      </c>
      <c r="G211" s="76">
        <f t="shared" si="48"/>
        <v>56.970072868964024</v>
      </c>
      <c r="I211" s="77">
        <f t="shared" si="53"/>
        <v>85</v>
      </c>
      <c r="J211" s="73">
        <f t="shared" si="49"/>
        <v>2034</v>
      </c>
      <c r="K211" s="78">
        <f t="shared" si="50"/>
        <v>49126</v>
      </c>
    </row>
    <row r="212" spans="2:13" outlineLevel="1">
      <c r="B212" s="78">
        <f t="shared" si="52"/>
        <v>49157</v>
      </c>
      <c r="C212" s="75">
        <v>241897.3598869741</v>
      </c>
      <c r="D212" s="71">
        <f>IF(F212&lt;&gt;0,VLOOKUP($J212,'Table 1'!$B$13:$C$33,2,FALSE)/12*1000*Study_MW,0)</f>
        <v>1049266.6666666665</v>
      </c>
      <c r="E212" s="71">
        <f t="shared" si="47"/>
        <v>1291164.0265536406</v>
      </c>
      <c r="F212" s="75">
        <v>21487.599999999999</v>
      </c>
      <c r="G212" s="76">
        <f t="shared" si="48"/>
        <v>60.088796634041991</v>
      </c>
      <c r="I212" s="77">
        <f t="shared" si="53"/>
        <v>86</v>
      </c>
      <c r="J212" s="73">
        <f t="shared" si="49"/>
        <v>2034</v>
      </c>
      <c r="K212" s="78">
        <f t="shared" si="50"/>
        <v>49157</v>
      </c>
    </row>
    <row r="213" spans="2:13" outlineLevel="1">
      <c r="B213" s="78">
        <f t="shared" si="52"/>
        <v>49188</v>
      </c>
      <c r="C213" s="75">
        <v>62613.36367470026</v>
      </c>
      <c r="D213" s="71">
        <f>IF(F213&lt;&gt;0,VLOOKUP($J213,'Table 1'!$B$13:$C$33,2,FALSE)/12*1000*Study_MW,0)</f>
        <v>1049266.6666666665</v>
      </c>
      <c r="E213" s="71">
        <f t="shared" si="47"/>
        <v>1111880.0303413668</v>
      </c>
      <c r="F213" s="75">
        <v>21070.240000000002</v>
      </c>
      <c r="G213" s="76">
        <f t="shared" si="48"/>
        <v>52.770164475647483</v>
      </c>
      <c r="I213" s="77">
        <f t="shared" si="53"/>
        <v>87</v>
      </c>
      <c r="J213" s="73">
        <f t="shared" si="49"/>
        <v>2034</v>
      </c>
      <c r="K213" s="78">
        <f t="shared" si="50"/>
        <v>49188</v>
      </c>
    </row>
    <row r="214" spans="2:13" outlineLevel="1">
      <c r="B214" s="78">
        <f t="shared" si="52"/>
        <v>49218</v>
      </c>
      <c r="C214" s="75">
        <v>-47321.198456585407</v>
      </c>
      <c r="D214" s="71">
        <f>IF(F214&lt;&gt;0,VLOOKUP($J214,'Table 1'!$B$13:$C$33,2,FALSE)/12*1000*Study_MW,0)</f>
        <v>1049266.6666666665</v>
      </c>
      <c r="E214" s="71">
        <f t="shared" si="47"/>
        <v>1001945.4682100811</v>
      </c>
      <c r="F214" s="75">
        <v>20190</v>
      </c>
      <c r="G214" s="76">
        <f t="shared" si="48"/>
        <v>49.625828044085246</v>
      </c>
      <c r="I214" s="77">
        <f t="shared" si="53"/>
        <v>88</v>
      </c>
      <c r="J214" s="73">
        <f t="shared" si="49"/>
        <v>2034</v>
      </c>
      <c r="K214" s="78">
        <f t="shared" si="50"/>
        <v>49218</v>
      </c>
    </row>
    <row r="215" spans="2:13" outlineLevel="1">
      <c r="B215" s="78">
        <f t="shared" si="52"/>
        <v>49249</v>
      </c>
      <c r="C215" s="75">
        <v>-190072.06814226508</v>
      </c>
      <c r="D215" s="71">
        <f>IF(F215&lt;&gt;0,VLOOKUP($J215,'Table 1'!$B$13:$C$33,2,FALSE)/12*1000*Study_MW,0)</f>
        <v>1049266.6666666665</v>
      </c>
      <c r="E215" s="71">
        <f t="shared" si="47"/>
        <v>859194.59852440143</v>
      </c>
      <c r="F215" s="75">
        <v>20168.560000000001</v>
      </c>
      <c r="G215" s="76">
        <f t="shared" si="48"/>
        <v>42.600691299944138</v>
      </c>
      <c r="I215" s="77">
        <f t="shared" si="53"/>
        <v>89</v>
      </c>
      <c r="J215" s="73">
        <f t="shared" si="49"/>
        <v>2034</v>
      </c>
      <c r="K215" s="78">
        <f t="shared" si="50"/>
        <v>49249</v>
      </c>
    </row>
    <row r="216" spans="2:13" outlineLevel="1">
      <c r="B216" s="82">
        <f t="shared" si="52"/>
        <v>49279</v>
      </c>
      <c r="C216" s="79">
        <v>-235913.01142632961</v>
      </c>
      <c r="D216" s="80">
        <f>IF(F216&lt;&gt;0,VLOOKUP($J216,'Table 1'!$B$13:$C$33,2,FALSE)/12*1000*Study_MW,0)</f>
        <v>1049266.6666666665</v>
      </c>
      <c r="E216" s="80">
        <f t="shared" si="47"/>
        <v>813353.6552403369</v>
      </c>
      <c r="F216" s="79">
        <v>19836.96</v>
      </c>
      <c r="G216" s="81">
        <f t="shared" si="48"/>
        <v>41.001930499448349</v>
      </c>
      <c r="I216" s="64">
        <f t="shared" si="53"/>
        <v>90</v>
      </c>
      <c r="J216" s="73">
        <f t="shared" si="49"/>
        <v>2034</v>
      </c>
      <c r="K216" s="82">
        <f t="shared" si="50"/>
        <v>49279</v>
      </c>
    </row>
    <row r="217" spans="2:13" outlineLevel="1">
      <c r="B217" s="74">
        <f t="shared" si="52"/>
        <v>49310</v>
      </c>
      <c r="C217" s="69">
        <v>-55837.99573418498</v>
      </c>
      <c r="D217" s="70">
        <f>IF(F217&lt;&gt;0,VLOOKUP($J217,'Table 1'!$B$13:$C$33,2,FALSE)/12*1000*Study_MW,0)</f>
        <v>1070266.6666666665</v>
      </c>
      <c r="E217" s="70">
        <f t="shared" ref="E217:E240" si="54">C217+D217</f>
        <v>1014428.6709324815</v>
      </c>
      <c r="F217" s="69">
        <v>16504.64</v>
      </c>
      <c r="G217" s="72">
        <f t="shared" ref="G217:G240" si="55">IF(ISNUMBER($F217),E217/$F217,"")</f>
        <v>61.463241302596217</v>
      </c>
      <c r="I217" s="60">
        <f>I97</f>
        <v>92</v>
      </c>
      <c r="J217" s="73">
        <f t="shared" ref="J217:J240" si="56">YEAR(B217)</f>
        <v>2035</v>
      </c>
      <c r="K217" s="74">
        <f t="shared" ref="K217:K240" si="57">IF(ISNUMBER(F217),IF(F217&lt;&gt;0,B217,""),"")</f>
        <v>49310</v>
      </c>
      <c r="M217" s="41">
        <v>0.02</v>
      </c>
    </row>
    <row r="218" spans="2:13" outlineLevel="1">
      <c r="B218" s="78">
        <f t="shared" si="52"/>
        <v>49341</v>
      </c>
      <c r="C218" s="75">
        <v>-324502.92694622278</v>
      </c>
      <c r="D218" s="71">
        <f>IF(F218&lt;&gt;0,VLOOKUP($J218,'Table 1'!$B$13:$C$33,2,FALSE)/12*1000*Study_MW,0)</f>
        <v>1070266.6666666665</v>
      </c>
      <c r="E218" s="71">
        <f t="shared" si="54"/>
        <v>745763.73972044373</v>
      </c>
      <c r="F218" s="75">
        <v>13801.92</v>
      </c>
      <c r="G218" s="76">
        <f t="shared" si="55"/>
        <v>54.033333023263701</v>
      </c>
      <c r="I218" s="77">
        <f t="shared" si="53"/>
        <v>93</v>
      </c>
      <c r="J218" s="73">
        <f t="shared" si="56"/>
        <v>2035</v>
      </c>
      <c r="K218" s="78">
        <f t="shared" si="57"/>
        <v>49341</v>
      </c>
      <c r="M218" s="41">
        <v>0.02</v>
      </c>
    </row>
    <row r="219" spans="2:13" outlineLevel="1">
      <c r="B219" s="78">
        <f t="shared" si="52"/>
        <v>49369</v>
      </c>
      <c r="C219" s="75">
        <v>-329559.73331090808</v>
      </c>
      <c r="D219" s="71">
        <f>IF(F219&lt;&gt;0,VLOOKUP($J219,'Table 1'!$B$13:$C$33,2,FALSE)/12*1000*Study_MW,0)</f>
        <v>1070266.6666666665</v>
      </c>
      <c r="E219" s="71">
        <f t="shared" si="54"/>
        <v>740706.93335575843</v>
      </c>
      <c r="F219" s="75">
        <v>16861.52</v>
      </c>
      <c r="G219" s="76">
        <f t="shared" si="55"/>
        <v>43.928835203217645</v>
      </c>
      <c r="I219" s="77">
        <f t="shared" si="53"/>
        <v>94</v>
      </c>
      <c r="J219" s="73">
        <f t="shared" si="56"/>
        <v>2035</v>
      </c>
      <c r="K219" s="78">
        <f t="shared" si="57"/>
        <v>49369</v>
      </c>
      <c r="M219" s="41">
        <v>0.02</v>
      </c>
    </row>
    <row r="220" spans="2:13" outlineLevel="1">
      <c r="B220" s="78">
        <f t="shared" si="52"/>
        <v>49400</v>
      </c>
      <c r="C220" s="75">
        <v>-351183.76835852861</v>
      </c>
      <c r="D220" s="71">
        <f>IF(F220&lt;&gt;0,VLOOKUP($J220,'Table 1'!$B$13:$C$33,2,FALSE)/12*1000*Study_MW,0)</f>
        <v>1070266.6666666665</v>
      </c>
      <c r="E220" s="71">
        <f t="shared" si="54"/>
        <v>719082.8983081379</v>
      </c>
      <c r="F220" s="75">
        <v>14482.48</v>
      </c>
      <c r="G220" s="76">
        <f t="shared" si="55"/>
        <v>49.651917234350606</v>
      </c>
      <c r="I220" s="77">
        <f t="shared" si="53"/>
        <v>95</v>
      </c>
      <c r="J220" s="73">
        <f t="shared" si="56"/>
        <v>2035</v>
      </c>
      <c r="K220" s="78">
        <f t="shared" si="57"/>
        <v>49400</v>
      </c>
      <c r="M220" s="41">
        <v>0.02</v>
      </c>
    </row>
    <row r="221" spans="2:13" outlineLevel="1">
      <c r="B221" s="78">
        <f t="shared" si="52"/>
        <v>49430</v>
      </c>
      <c r="C221" s="75">
        <v>-189897.29021170735</v>
      </c>
      <c r="D221" s="71">
        <f>IF(F221&lt;&gt;0,VLOOKUP($J221,'Table 1'!$B$13:$C$33,2,FALSE)/12*1000*Study_MW,0)</f>
        <v>1070266.6666666665</v>
      </c>
      <c r="E221" s="71">
        <f t="shared" si="54"/>
        <v>880369.37645495916</v>
      </c>
      <c r="F221" s="75">
        <v>14297.28</v>
      </c>
      <c r="G221" s="76">
        <f t="shared" si="55"/>
        <v>61.576004418669783</v>
      </c>
      <c r="I221" s="77">
        <f t="shared" si="53"/>
        <v>96</v>
      </c>
      <c r="J221" s="73">
        <f t="shared" si="56"/>
        <v>2035</v>
      </c>
      <c r="K221" s="78">
        <f t="shared" si="57"/>
        <v>49430</v>
      </c>
      <c r="M221" s="41">
        <v>0.02</v>
      </c>
    </row>
    <row r="222" spans="2:13" outlineLevel="1">
      <c r="B222" s="78">
        <f t="shared" si="52"/>
        <v>49461</v>
      </c>
      <c r="C222" s="75">
        <v>-122656.85281524062</v>
      </c>
      <c r="D222" s="71">
        <f>IF(F222&lt;&gt;0,VLOOKUP($J222,'Table 1'!$B$13:$C$33,2,FALSE)/12*1000*Study_MW,0)</f>
        <v>1070266.6666666665</v>
      </c>
      <c r="E222" s="71">
        <f t="shared" si="54"/>
        <v>947609.81385142589</v>
      </c>
      <c r="F222" s="75">
        <v>17929.68</v>
      </c>
      <c r="G222" s="76">
        <f t="shared" si="55"/>
        <v>52.851462706050853</v>
      </c>
      <c r="I222" s="77">
        <f t="shared" si="53"/>
        <v>97</v>
      </c>
      <c r="J222" s="73">
        <f t="shared" si="56"/>
        <v>2035</v>
      </c>
      <c r="K222" s="78">
        <f t="shared" si="57"/>
        <v>49461</v>
      </c>
      <c r="M222" s="41">
        <v>0.02</v>
      </c>
    </row>
    <row r="223" spans="2:13" outlineLevel="1">
      <c r="B223" s="78">
        <f t="shared" si="52"/>
        <v>49491</v>
      </c>
      <c r="C223" s="75">
        <v>128349.3584228456</v>
      </c>
      <c r="D223" s="71">
        <f>IF(F223&lt;&gt;0,VLOOKUP($J223,'Table 1'!$B$13:$C$33,2,FALSE)/12*1000*Study_MW,0)</f>
        <v>1070266.6666666665</v>
      </c>
      <c r="E223" s="71">
        <f t="shared" si="54"/>
        <v>1198616.0250895121</v>
      </c>
      <c r="F223" s="75">
        <v>20641.68</v>
      </c>
      <c r="G223" s="76">
        <f t="shared" si="55"/>
        <v>58.067755390525967</v>
      </c>
      <c r="I223" s="77">
        <f t="shared" si="53"/>
        <v>98</v>
      </c>
      <c r="J223" s="73">
        <f t="shared" si="56"/>
        <v>2035</v>
      </c>
      <c r="K223" s="78">
        <f t="shared" si="57"/>
        <v>49491</v>
      </c>
      <c r="M223" s="41">
        <v>0.02</v>
      </c>
    </row>
    <row r="224" spans="2:13" outlineLevel="1">
      <c r="B224" s="78">
        <f t="shared" si="52"/>
        <v>49522</v>
      </c>
      <c r="C224" s="75">
        <v>248333.20765164495</v>
      </c>
      <c r="D224" s="71">
        <f>IF(F224&lt;&gt;0,VLOOKUP($J224,'Table 1'!$B$13:$C$33,2,FALSE)/12*1000*Study_MW,0)</f>
        <v>1070266.6666666665</v>
      </c>
      <c r="E224" s="71">
        <f t="shared" si="54"/>
        <v>1318599.8743183115</v>
      </c>
      <c r="F224" s="75">
        <v>21487.599999999999</v>
      </c>
      <c r="G224" s="76">
        <f t="shared" si="55"/>
        <v>61.365618976447415</v>
      </c>
      <c r="I224" s="77">
        <f t="shared" si="53"/>
        <v>99</v>
      </c>
      <c r="J224" s="73">
        <f t="shared" si="56"/>
        <v>2035</v>
      </c>
      <c r="K224" s="78">
        <f t="shared" si="57"/>
        <v>49522</v>
      </c>
      <c r="M224" s="41">
        <v>0.02</v>
      </c>
    </row>
    <row r="225" spans="2:20" outlineLevel="1">
      <c r="B225" s="78">
        <f t="shared" si="52"/>
        <v>49553</v>
      </c>
      <c r="C225" s="75">
        <v>58030.505823463202</v>
      </c>
      <c r="D225" s="71">
        <f>IF(F225&lt;&gt;0,VLOOKUP($J225,'Table 1'!$B$13:$C$33,2,FALSE)/12*1000*Study_MW,0)</f>
        <v>1070266.6666666665</v>
      </c>
      <c r="E225" s="71">
        <f t="shared" si="54"/>
        <v>1128297.1724901297</v>
      </c>
      <c r="F225" s="75">
        <v>21070.240000000002</v>
      </c>
      <c r="G225" s="76">
        <f t="shared" si="55"/>
        <v>53.549327036148121</v>
      </c>
      <c r="I225" s="77">
        <f t="shared" si="53"/>
        <v>100</v>
      </c>
      <c r="J225" s="73">
        <f t="shared" si="56"/>
        <v>2035</v>
      </c>
      <c r="K225" s="78">
        <f t="shared" si="57"/>
        <v>49553</v>
      </c>
      <c r="M225" s="41">
        <v>0.02</v>
      </c>
    </row>
    <row r="226" spans="2:20" outlineLevel="1">
      <c r="B226" s="78">
        <f t="shared" si="52"/>
        <v>49583</v>
      </c>
      <c r="C226" s="75">
        <v>-19809.323979139328</v>
      </c>
      <c r="D226" s="71">
        <f>IF(F226&lt;&gt;0,VLOOKUP($J226,'Table 1'!$B$13:$C$33,2,FALSE)/12*1000*Study_MW,0)</f>
        <v>1070266.6666666665</v>
      </c>
      <c r="E226" s="71">
        <f t="shared" si="54"/>
        <v>1050457.3426875272</v>
      </c>
      <c r="F226" s="75">
        <v>20190</v>
      </c>
      <c r="G226" s="76">
        <f t="shared" si="55"/>
        <v>52.028595477341611</v>
      </c>
      <c r="I226" s="77">
        <f t="shared" si="53"/>
        <v>101</v>
      </c>
      <c r="J226" s="73">
        <f t="shared" si="56"/>
        <v>2035</v>
      </c>
      <c r="K226" s="78">
        <f t="shared" si="57"/>
        <v>49583</v>
      </c>
      <c r="M226" s="41">
        <v>0.02</v>
      </c>
    </row>
    <row r="227" spans="2:20" outlineLevel="1">
      <c r="B227" s="78">
        <f t="shared" si="52"/>
        <v>49614</v>
      </c>
      <c r="C227" s="75">
        <v>-192412.35515877604</v>
      </c>
      <c r="D227" s="71">
        <f>IF(F227&lt;&gt;0,VLOOKUP($J227,'Table 1'!$B$13:$C$33,2,FALSE)/12*1000*Study_MW,0)</f>
        <v>1070266.6666666665</v>
      </c>
      <c r="E227" s="71">
        <f t="shared" si="54"/>
        <v>877854.31150789047</v>
      </c>
      <c r="F227" s="75">
        <v>20168.560000000001</v>
      </c>
      <c r="G227" s="76">
        <f t="shared" si="55"/>
        <v>43.525879463278017</v>
      </c>
      <c r="I227" s="77">
        <f t="shared" si="53"/>
        <v>102</v>
      </c>
      <c r="J227" s="73">
        <f t="shared" si="56"/>
        <v>2035</v>
      </c>
      <c r="K227" s="78">
        <f t="shared" si="57"/>
        <v>49614</v>
      </c>
      <c r="M227" s="41">
        <v>0.02</v>
      </c>
      <c r="T227" s="193"/>
    </row>
    <row r="228" spans="2:20" outlineLevel="1">
      <c r="B228" s="82">
        <f t="shared" si="52"/>
        <v>49644</v>
      </c>
      <c r="C228" s="79">
        <v>-229634.82105571032</v>
      </c>
      <c r="D228" s="80">
        <f>IF(F228&lt;&gt;0,VLOOKUP($J228,'Table 1'!$B$13:$C$33,2,FALSE)/12*1000*Study_MW,0)</f>
        <v>1070266.6666666665</v>
      </c>
      <c r="E228" s="80">
        <f t="shared" si="54"/>
        <v>840631.8456109562</v>
      </c>
      <c r="F228" s="79">
        <v>19836.96</v>
      </c>
      <c r="G228" s="81">
        <f t="shared" si="55"/>
        <v>42.377049992083272</v>
      </c>
      <c r="I228" s="64">
        <f t="shared" si="53"/>
        <v>103</v>
      </c>
      <c r="J228" s="73">
        <f t="shared" si="56"/>
        <v>2035</v>
      </c>
      <c r="K228" s="82">
        <f t="shared" si="57"/>
        <v>49644</v>
      </c>
      <c r="M228" s="41">
        <v>0.02</v>
      </c>
      <c r="T228" s="193"/>
    </row>
    <row r="229" spans="2:20" outlineLevel="1">
      <c r="B229" s="74">
        <f t="shared" si="52"/>
        <v>49675</v>
      </c>
      <c r="C229" s="69">
        <v>-75668.792658001184</v>
      </c>
      <c r="D229" s="70">
        <f>IF(F229&lt;&gt;0,VLOOKUP($J229,'Table 1'!$B$13:$C$33,2,FALSE)/12*1000*Study_MW,0)</f>
        <v>1091666.6666666667</v>
      </c>
      <c r="E229" s="70">
        <f t="shared" si="54"/>
        <v>1015997.8740086656</v>
      </c>
      <c r="F229" s="69">
        <v>16504.64</v>
      </c>
      <c r="G229" s="72">
        <f t="shared" si="55"/>
        <v>61.558317782675999</v>
      </c>
      <c r="I229" s="60">
        <f>I109</f>
        <v>105</v>
      </c>
      <c r="J229" s="73">
        <f t="shared" si="56"/>
        <v>2036</v>
      </c>
      <c r="K229" s="74">
        <f t="shared" si="57"/>
        <v>49675</v>
      </c>
      <c r="M229" s="41">
        <v>0.02</v>
      </c>
      <c r="T229" s="193"/>
    </row>
    <row r="230" spans="2:20" outlineLevel="1">
      <c r="B230" s="78">
        <f t="shared" si="52"/>
        <v>49706</v>
      </c>
      <c r="C230" s="75">
        <v>-351597.66741219163</v>
      </c>
      <c r="D230" s="71">
        <f>IF(F230&lt;&gt;0,VLOOKUP($J230,'Table 1'!$B$13:$C$33,2,FALSE)/12*1000*Study_MW,0)</f>
        <v>1091666.6666666667</v>
      </c>
      <c r="E230" s="71">
        <f t="shared" si="54"/>
        <v>740068.99925447511</v>
      </c>
      <c r="F230" s="75">
        <v>14442.08</v>
      </c>
      <c r="G230" s="76">
        <f t="shared" si="55"/>
        <v>51.24393434010026</v>
      </c>
      <c r="I230" s="77">
        <f t="shared" si="53"/>
        <v>106</v>
      </c>
      <c r="J230" s="73">
        <f t="shared" si="56"/>
        <v>2036</v>
      </c>
      <c r="K230" s="78">
        <f t="shared" si="57"/>
        <v>49706</v>
      </c>
      <c r="M230" s="41">
        <v>0.02</v>
      </c>
      <c r="T230" s="193"/>
    </row>
    <row r="231" spans="2:20" outlineLevel="1">
      <c r="B231" s="78">
        <f t="shared" si="52"/>
        <v>49735</v>
      </c>
      <c r="C231" s="75">
        <v>-345962.68528142571</v>
      </c>
      <c r="D231" s="71">
        <f>IF(F231&lt;&gt;0,VLOOKUP($J231,'Table 1'!$B$13:$C$33,2,FALSE)/12*1000*Study_MW,0)</f>
        <v>1091666.6666666667</v>
      </c>
      <c r="E231" s="71">
        <f t="shared" si="54"/>
        <v>745703.98138524103</v>
      </c>
      <c r="F231" s="75">
        <v>16861.52</v>
      </c>
      <c r="G231" s="76">
        <f t="shared" si="55"/>
        <v>44.22519330316846</v>
      </c>
      <c r="I231" s="77">
        <f t="shared" si="53"/>
        <v>107</v>
      </c>
      <c r="J231" s="73">
        <f t="shared" si="56"/>
        <v>2036</v>
      </c>
      <c r="K231" s="78">
        <f t="shared" si="57"/>
        <v>49735</v>
      </c>
      <c r="M231" s="41">
        <v>0.02</v>
      </c>
      <c r="T231" s="193"/>
    </row>
    <row r="232" spans="2:20" outlineLevel="1">
      <c r="B232" s="78">
        <f t="shared" si="52"/>
        <v>49766</v>
      </c>
      <c r="C232" s="75">
        <v>-395866.82792319357</v>
      </c>
      <c r="D232" s="71">
        <f>IF(F232&lt;&gt;0,VLOOKUP($J232,'Table 1'!$B$13:$C$33,2,FALSE)/12*1000*Study_MW,0)</f>
        <v>1091666.6666666667</v>
      </c>
      <c r="E232" s="71">
        <f t="shared" si="54"/>
        <v>695799.83874347317</v>
      </c>
      <c r="F232" s="75">
        <v>14482.48</v>
      </c>
      <c r="G232" s="76">
        <f t="shared" si="55"/>
        <v>48.044246478743503</v>
      </c>
      <c r="I232" s="77">
        <f t="shared" si="53"/>
        <v>108</v>
      </c>
      <c r="J232" s="73">
        <f t="shared" si="56"/>
        <v>2036</v>
      </c>
      <c r="K232" s="78">
        <f t="shared" si="57"/>
        <v>49766</v>
      </c>
      <c r="M232" s="41">
        <v>0.02</v>
      </c>
      <c r="T232" s="193"/>
    </row>
    <row r="233" spans="2:20" outlineLevel="1">
      <c r="B233" s="78">
        <f t="shared" si="52"/>
        <v>49796</v>
      </c>
      <c r="C233" s="75">
        <v>-194734.6837400496</v>
      </c>
      <c r="D233" s="71">
        <f>IF(F233&lt;&gt;0,VLOOKUP($J233,'Table 1'!$B$13:$C$33,2,FALSE)/12*1000*Study_MW,0)</f>
        <v>1091666.6666666667</v>
      </c>
      <c r="E233" s="71">
        <f t="shared" si="54"/>
        <v>896931.98292661714</v>
      </c>
      <c r="F233" s="75">
        <v>14297.28</v>
      </c>
      <c r="G233" s="76">
        <f t="shared" si="55"/>
        <v>62.734448994956878</v>
      </c>
      <c r="I233" s="77">
        <f t="shared" si="53"/>
        <v>109</v>
      </c>
      <c r="J233" s="73">
        <f t="shared" si="56"/>
        <v>2036</v>
      </c>
      <c r="K233" s="78">
        <f t="shared" si="57"/>
        <v>49796</v>
      </c>
      <c r="M233" s="41">
        <v>0.02</v>
      </c>
      <c r="T233" s="193"/>
    </row>
    <row r="234" spans="2:20" outlineLevel="1">
      <c r="B234" s="78">
        <f t="shared" si="52"/>
        <v>49827</v>
      </c>
      <c r="C234" s="75">
        <v>-156327.24656882882</v>
      </c>
      <c r="D234" s="71">
        <f>IF(F234&lt;&gt;0,VLOOKUP($J234,'Table 1'!$B$13:$C$33,2,FALSE)/12*1000*Study_MW,0)</f>
        <v>1091666.6666666667</v>
      </c>
      <c r="E234" s="71">
        <f t="shared" si="54"/>
        <v>935339.42009783792</v>
      </c>
      <c r="F234" s="75">
        <v>17929.68</v>
      </c>
      <c r="G234" s="76">
        <f t="shared" si="55"/>
        <v>52.167100589516259</v>
      </c>
      <c r="I234" s="77">
        <f t="shared" si="53"/>
        <v>110</v>
      </c>
      <c r="J234" s="73">
        <f t="shared" si="56"/>
        <v>2036</v>
      </c>
      <c r="K234" s="78">
        <f t="shared" si="57"/>
        <v>49827</v>
      </c>
      <c r="M234" s="41">
        <v>0.02</v>
      </c>
      <c r="T234" s="193"/>
    </row>
    <row r="235" spans="2:20" outlineLevel="1">
      <c r="B235" s="78">
        <f t="shared" si="52"/>
        <v>49857</v>
      </c>
      <c r="C235" s="75">
        <v>89963.696439146996</v>
      </c>
      <c r="D235" s="71">
        <f>IF(F235&lt;&gt;0,VLOOKUP($J235,'Table 1'!$B$13:$C$33,2,FALSE)/12*1000*Study_MW,0)</f>
        <v>1091666.6666666667</v>
      </c>
      <c r="E235" s="71">
        <f t="shared" si="54"/>
        <v>1181630.3631058137</v>
      </c>
      <c r="F235" s="75">
        <v>20641.68</v>
      </c>
      <c r="G235" s="76">
        <f t="shared" si="55"/>
        <v>57.24487362975367</v>
      </c>
      <c r="I235" s="77">
        <f t="shared" si="53"/>
        <v>111</v>
      </c>
      <c r="J235" s="73">
        <f t="shared" si="56"/>
        <v>2036</v>
      </c>
      <c r="K235" s="78">
        <f t="shared" si="57"/>
        <v>49857</v>
      </c>
      <c r="M235" s="41">
        <v>0.02</v>
      </c>
      <c r="T235" s="193"/>
    </row>
    <row r="236" spans="2:20" outlineLevel="1">
      <c r="B236" s="78">
        <f t="shared" si="52"/>
        <v>49888</v>
      </c>
      <c r="C236" s="75">
        <v>239813.95729103684</v>
      </c>
      <c r="D236" s="71">
        <f>IF(F236&lt;&gt;0,VLOOKUP($J236,'Table 1'!$B$13:$C$33,2,FALSE)/12*1000*Study_MW,0)</f>
        <v>1091666.6666666667</v>
      </c>
      <c r="E236" s="71">
        <f t="shared" si="54"/>
        <v>1331480.6239577036</v>
      </c>
      <c r="F236" s="75">
        <v>21487.599999999999</v>
      </c>
      <c r="G236" s="76">
        <f t="shared" si="55"/>
        <v>61.965069340349956</v>
      </c>
      <c r="I236" s="77">
        <f t="shared" si="53"/>
        <v>112</v>
      </c>
      <c r="J236" s="73">
        <f t="shared" si="56"/>
        <v>2036</v>
      </c>
      <c r="K236" s="78">
        <f t="shared" si="57"/>
        <v>49888</v>
      </c>
      <c r="M236" s="41">
        <v>0.02</v>
      </c>
      <c r="T236" s="193"/>
    </row>
    <row r="237" spans="2:20" outlineLevel="1">
      <c r="B237" s="78">
        <f t="shared" si="52"/>
        <v>49919</v>
      </c>
      <c r="C237" s="75">
        <v>14043.157096236944</v>
      </c>
      <c r="D237" s="71">
        <f>IF(F237&lt;&gt;0,VLOOKUP($J237,'Table 1'!$B$13:$C$33,2,FALSE)/12*1000*Study_MW,0)</f>
        <v>1091666.6666666667</v>
      </c>
      <c r="E237" s="71">
        <f t="shared" si="54"/>
        <v>1105709.8237629037</v>
      </c>
      <c r="F237" s="75">
        <v>21070.240000000002</v>
      </c>
      <c r="G237" s="76">
        <f t="shared" si="55"/>
        <v>52.477324594447126</v>
      </c>
      <c r="I237" s="77">
        <f t="shared" si="53"/>
        <v>113</v>
      </c>
      <c r="J237" s="73">
        <f t="shared" si="56"/>
        <v>2036</v>
      </c>
      <c r="K237" s="78">
        <f t="shared" si="57"/>
        <v>49919</v>
      </c>
      <c r="M237" s="41">
        <v>0.02</v>
      </c>
      <c r="T237" s="193"/>
    </row>
    <row r="238" spans="2:20" outlineLevel="1">
      <c r="B238" s="78">
        <f t="shared" si="52"/>
        <v>49949</v>
      </c>
      <c r="C238" s="75">
        <v>-107900.97989550233</v>
      </c>
      <c r="D238" s="71">
        <f>IF(F238&lt;&gt;0,VLOOKUP($J238,'Table 1'!$B$13:$C$33,2,FALSE)/12*1000*Study_MW,0)</f>
        <v>1091666.6666666667</v>
      </c>
      <c r="E238" s="71">
        <f t="shared" si="54"/>
        <v>983765.68677116442</v>
      </c>
      <c r="F238" s="75">
        <v>20190</v>
      </c>
      <c r="G238" s="76">
        <f t="shared" si="55"/>
        <v>48.72539310406956</v>
      </c>
      <c r="I238" s="77">
        <f t="shared" si="53"/>
        <v>114</v>
      </c>
      <c r="J238" s="73">
        <f t="shared" si="56"/>
        <v>2036</v>
      </c>
      <c r="K238" s="78">
        <f t="shared" si="57"/>
        <v>49949</v>
      </c>
      <c r="M238" s="41">
        <v>0.02</v>
      </c>
      <c r="T238" s="193"/>
    </row>
    <row r="239" spans="2:20" outlineLevel="1">
      <c r="B239" s="78">
        <f t="shared" si="52"/>
        <v>49980</v>
      </c>
      <c r="C239" s="75">
        <v>-222658.08555927873</v>
      </c>
      <c r="D239" s="71">
        <f>IF(F239&lt;&gt;0,VLOOKUP($J239,'Table 1'!$B$13:$C$33,2,FALSE)/12*1000*Study_MW,0)</f>
        <v>1091666.6666666667</v>
      </c>
      <c r="E239" s="71">
        <f t="shared" si="54"/>
        <v>869008.58110738802</v>
      </c>
      <c r="F239" s="75">
        <v>20168.560000000001</v>
      </c>
      <c r="G239" s="76">
        <f t="shared" si="55"/>
        <v>43.087289380470793</v>
      </c>
      <c r="I239" s="77">
        <f t="shared" si="53"/>
        <v>115</v>
      </c>
      <c r="J239" s="73">
        <f t="shared" si="56"/>
        <v>2036</v>
      </c>
      <c r="K239" s="78">
        <f t="shared" si="57"/>
        <v>49980</v>
      </c>
      <c r="M239" s="41">
        <v>0.02</v>
      </c>
      <c r="T239" s="193"/>
    </row>
    <row r="240" spans="2:20" outlineLevel="1">
      <c r="B240" s="82">
        <f t="shared" si="52"/>
        <v>50010</v>
      </c>
      <c r="C240" s="79">
        <v>-231795.60533282161</v>
      </c>
      <c r="D240" s="80">
        <f>IF(F240&lt;&gt;0,VLOOKUP($J240,'Table 1'!$B$13:$C$33,2,FALSE)/12*1000*Study_MW,0)</f>
        <v>1091666.6666666667</v>
      </c>
      <c r="E240" s="80">
        <f t="shared" si="54"/>
        <v>859871.06133384514</v>
      </c>
      <c r="F240" s="79">
        <v>19836.96</v>
      </c>
      <c r="G240" s="81">
        <f t="shared" si="55"/>
        <v>43.346917135178231</v>
      </c>
      <c r="I240" s="64">
        <f t="shared" si="53"/>
        <v>116</v>
      </c>
      <c r="J240" s="73">
        <f t="shared" si="56"/>
        <v>2036</v>
      </c>
      <c r="K240" s="82">
        <f t="shared" si="57"/>
        <v>50010</v>
      </c>
      <c r="M240" s="41">
        <v>0.02</v>
      </c>
      <c r="T240" s="193"/>
    </row>
    <row r="241" spans="2:20" outlineLevel="1">
      <c r="B241" s="212">
        <f t="shared" si="52"/>
        <v>50041</v>
      </c>
      <c r="C241" s="201">
        <f t="shared" ref="C241:C263" si="58">(C229*(1+M241))*IF(AND(MONTH(K241)=2,OR(J229=2036,J229=2040)),28/29,1)</f>
        <v>-77257.837303819208</v>
      </c>
      <c r="D241" s="202">
        <f>IF(ISNUMBER($F241)*SUM(F241:F252)&lt;&gt;0,VLOOKUP($J241,'Table 1'!$B$13:$C$33,2,FALSE)/12*1000*Study_MW,0)</f>
        <v>1114600</v>
      </c>
      <c r="E241" s="202">
        <f t="shared" ref="E241:E263" si="59">C241+D241</f>
        <v>1037342.1626961807</v>
      </c>
      <c r="F241" s="201">
        <v>16504.64</v>
      </c>
      <c r="G241" s="203">
        <f t="shared" ref="G241:G263" si="60">IFERROR(E241/$F241,0)</f>
        <v>62.851547364630839</v>
      </c>
      <c r="I241" s="60">
        <f>I121</f>
        <v>118</v>
      </c>
      <c r="J241" s="73">
        <f t="shared" ref="J241:J264" si="61">YEAR(B241)</f>
        <v>2037</v>
      </c>
      <c r="K241" s="74">
        <f t="shared" ref="K241:K264" si="62">IF(ISNUMBER(F241),IF(F241&lt;&gt;0,B241,""),"")</f>
        <v>50041</v>
      </c>
      <c r="M241" s="41">
        <v>2.1000000000000001E-2</v>
      </c>
      <c r="T241" s="193"/>
    </row>
    <row r="242" spans="2:20" outlineLevel="1">
      <c r="B242" s="213">
        <f t="shared" si="52"/>
        <v>50072</v>
      </c>
      <c r="C242" s="195">
        <f t="shared" si="58"/>
        <v>-346602.55572343909</v>
      </c>
      <c r="D242" s="196">
        <f>IF(ISNUMBER($F242)*SUM(F242:F253)&lt;&gt;0,VLOOKUP($J242,'Table 1'!$B$13:$C$33,2,FALSE)/12*1000*Study_MW,0)</f>
        <v>1114600</v>
      </c>
      <c r="E242" s="196">
        <f t="shared" si="59"/>
        <v>767997.44427656091</v>
      </c>
      <c r="F242" s="195">
        <v>13944.077241379311</v>
      </c>
      <c r="G242" s="197">
        <f t="shared" si="60"/>
        <v>55.07696428972109</v>
      </c>
      <c r="I242" s="77">
        <f t="shared" ref="I242:I264" si="63">I122</f>
        <v>119</v>
      </c>
      <c r="J242" s="73">
        <f t="shared" si="61"/>
        <v>2037</v>
      </c>
      <c r="K242" s="78">
        <f t="shared" si="62"/>
        <v>50072</v>
      </c>
      <c r="M242" s="41">
        <v>2.1000000000000001E-2</v>
      </c>
      <c r="T242" s="193"/>
    </row>
    <row r="243" spans="2:20" outlineLevel="1">
      <c r="B243" s="213">
        <f t="shared" si="52"/>
        <v>50100</v>
      </c>
      <c r="C243" s="195">
        <f t="shared" si="58"/>
        <v>-353227.90167233563</v>
      </c>
      <c r="D243" s="196">
        <f>IF(ISNUMBER($F243)*SUM(F243:F254)&lt;&gt;0,VLOOKUP($J243,'Table 1'!$B$13:$C$33,2,FALSE)/12*1000*Study_MW,0)</f>
        <v>1114600</v>
      </c>
      <c r="E243" s="196">
        <f t="shared" si="59"/>
        <v>761372.09832766443</v>
      </c>
      <c r="F243" s="195">
        <v>16861.52</v>
      </c>
      <c r="G243" s="197">
        <f t="shared" si="60"/>
        <v>45.154416584487308</v>
      </c>
      <c r="I243" s="77">
        <f t="shared" si="63"/>
        <v>120</v>
      </c>
      <c r="J243" s="73">
        <f t="shared" si="61"/>
        <v>2037</v>
      </c>
      <c r="K243" s="78">
        <f t="shared" si="62"/>
        <v>50100</v>
      </c>
      <c r="M243" s="41">
        <v>2.1000000000000001E-2</v>
      </c>
      <c r="T243" s="193"/>
    </row>
    <row r="244" spans="2:20" outlineLevel="1">
      <c r="B244" s="213">
        <f t="shared" si="52"/>
        <v>50131</v>
      </c>
      <c r="C244" s="195">
        <f t="shared" si="58"/>
        <v>-404180.03130958061</v>
      </c>
      <c r="D244" s="196">
        <f>IF(ISNUMBER($F244)*SUM(F244:F255)&lt;&gt;0,VLOOKUP($J244,'Table 1'!$B$13:$C$33,2,FALSE)/12*1000*Study_MW,0)</f>
        <v>1114600</v>
      </c>
      <c r="E244" s="196">
        <f t="shared" si="59"/>
        <v>710419.96869041934</v>
      </c>
      <c r="F244" s="195">
        <v>14482.48</v>
      </c>
      <c r="G244" s="197">
        <f t="shared" si="60"/>
        <v>49.053751062692257</v>
      </c>
      <c r="I244" s="77">
        <f t="shared" si="63"/>
        <v>121</v>
      </c>
      <c r="J244" s="73">
        <f t="shared" si="61"/>
        <v>2037</v>
      </c>
      <c r="K244" s="78">
        <f t="shared" si="62"/>
        <v>50131</v>
      </c>
      <c r="M244" s="41">
        <v>2.1000000000000001E-2</v>
      </c>
      <c r="T244" s="193"/>
    </row>
    <row r="245" spans="2:20" outlineLevel="1">
      <c r="B245" s="213">
        <f t="shared" si="52"/>
        <v>50161</v>
      </c>
      <c r="C245" s="195">
        <f t="shared" si="58"/>
        <v>-198824.11209859062</v>
      </c>
      <c r="D245" s="196">
        <f>IF(ISNUMBER($F245)*SUM(F245:F256)&lt;&gt;0,VLOOKUP($J245,'Table 1'!$B$13:$C$33,2,FALSE)/12*1000*Study_MW,0)</f>
        <v>1114600</v>
      </c>
      <c r="E245" s="196">
        <f t="shared" si="59"/>
        <v>915775.88790140941</v>
      </c>
      <c r="F245" s="195">
        <v>14297.28</v>
      </c>
      <c r="G245" s="197">
        <f t="shared" si="60"/>
        <v>64.052455285299672</v>
      </c>
      <c r="I245" s="77">
        <f t="shared" si="63"/>
        <v>122</v>
      </c>
      <c r="J245" s="73">
        <f t="shared" si="61"/>
        <v>2037</v>
      </c>
      <c r="K245" s="78">
        <f t="shared" si="62"/>
        <v>50161</v>
      </c>
      <c r="M245" s="41">
        <v>2.1000000000000001E-2</v>
      </c>
      <c r="T245" s="193"/>
    </row>
    <row r="246" spans="2:20" outlineLevel="1">
      <c r="B246" s="213">
        <f t="shared" si="52"/>
        <v>50192</v>
      </c>
      <c r="C246" s="195">
        <f t="shared" si="58"/>
        <v>-159610.11874677421</v>
      </c>
      <c r="D246" s="196">
        <f>IF(ISNUMBER($F246)*SUM(F246:F257)&lt;&gt;0,VLOOKUP($J246,'Table 1'!$B$13:$C$33,2,FALSE)/12*1000*Study_MW,0)</f>
        <v>1114600</v>
      </c>
      <c r="E246" s="196">
        <f t="shared" si="59"/>
        <v>954989.88125322573</v>
      </c>
      <c r="F246" s="195">
        <v>17929.68</v>
      </c>
      <c r="G246" s="197">
        <f t="shared" si="60"/>
        <v>53.263074480594504</v>
      </c>
      <c r="I246" s="77">
        <f t="shared" si="63"/>
        <v>123</v>
      </c>
      <c r="J246" s="73">
        <f t="shared" si="61"/>
        <v>2037</v>
      </c>
      <c r="K246" s="78">
        <f t="shared" si="62"/>
        <v>50192</v>
      </c>
      <c r="M246" s="41">
        <v>2.1000000000000001E-2</v>
      </c>
      <c r="T246" s="193"/>
    </row>
    <row r="247" spans="2:20" outlineLevel="1">
      <c r="B247" s="213">
        <f t="shared" si="52"/>
        <v>50222</v>
      </c>
      <c r="C247" s="195">
        <f t="shared" si="58"/>
        <v>91852.934064369081</v>
      </c>
      <c r="D247" s="196">
        <f>IF(ISNUMBER($F247)*SUM(F247:F258)&lt;&gt;0,VLOOKUP($J247,'Table 1'!$B$13:$C$33,2,FALSE)/12*1000*Study_MW,0)</f>
        <v>1114600</v>
      </c>
      <c r="E247" s="196">
        <f t="shared" si="59"/>
        <v>1206452.9340643692</v>
      </c>
      <c r="F247" s="195">
        <v>20641.68</v>
      </c>
      <c r="G247" s="197">
        <f t="shared" si="60"/>
        <v>58.447419689888086</v>
      </c>
      <c r="I247" s="77">
        <f t="shared" si="63"/>
        <v>124</v>
      </c>
      <c r="J247" s="73">
        <f t="shared" si="61"/>
        <v>2037</v>
      </c>
      <c r="K247" s="78">
        <f t="shared" si="62"/>
        <v>50222</v>
      </c>
      <c r="M247" s="41">
        <v>2.1000000000000001E-2</v>
      </c>
      <c r="T247" s="193"/>
    </row>
    <row r="248" spans="2:20" outlineLevel="1">
      <c r="B248" s="213">
        <f t="shared" si="52"/>
        <v>50253</v>
      </c>
      <c r="C248" s="195">
        <f t="shared" si="58"/>
        <v>244850.05039414859</v>
      </c>
      <c r="D248" s="196">
        <f>IF(ISNUMBER($F248)*SUM(F248:F259)&lt;&gt;0,VLOOKUP($J248,'Table 1'!$B$13:$C$33,2,FALSE)/12*1000*Study_MW,0)</f>
        <v>1114600</v>
      </c>
      <c r="E248" s="196">
        <f t="shared" si="59"/>
        <v>1359450.0503941486</v>
      </c>
      <c r="F248" s="195">
        <v>21487.599999999999</v>
      </c>
      <c r="G248" s="197">
        <f t="shared" si="60"/>
        <v>63.266723617069779</v>
      </c>
      <c r="I248" s="77">
        <f t="shared" si="63"/>
        <v>125</v>
      </c>
      <c r="J248" s="73">
        <f t="shared" si="61"/>
        <v>2037</v>
      </c>
      <c r="K248" s="78">
        <f t="shared" si="62"/>
        <v>50253</v>
      </c>
      <c r="M248" s="41">
        <v>2.1000000000000001E-2</v>
      </c>
      <c r="T248" s="193"/>
    </row>
    <row r="249" spans="2:20" outlineLevel="1">
      <c r="B249" s="213">
        <f t="shared" si="52"/>
        <v>50284</v>
      </c>
      <c r="C249" s="195">
        <f t="shared" si="58"/>
        <v>14338.063395257919</v>
      </c>
      <c r="D249" s="196">
        <f>IF(ISNUMBER($F249)*SUM(F249:F260)&lt;&gt;0,VLOOKUP($J249,'Table 1'!$B$13:$C$33,2,FALSE)/12*1000*Study_MW,0)</f>
        <v>1114600</v>
      </c>
      <c r="E249" s="196">
        <f t="shared" si="59"/>
        <v>1128938.0633952578</v>
      </c>
      <c r="F249" s="195">
        <v>21070.240000000002</v>
      </c>
      <c r="G249" s="197">
        <f t="shared" si="60"/>
        <v>53.579743913465521</v>
      </c>
      <c r="I249" s="77">
        <f t="shared" si="63"/>
        <v>126</v>
      </c>
      <c r="J249" s="73">
        <f t="shared" si="61"/>
        <v>2037</v>
      </c>
      <c r="K249" s="78">
        <f t="shared" si="62"/>
        <v>50284</v>
      </c>
      <c r="M249" s="41">
        <v>2.1000000000000001E-2</v>
      </c>
      <c r="T249" s="193"/>
    </row>
    <row r="250" spans="2:20" outlineLevel="1">
      <c r="B250" s="213">
        <f t="shared" si="52"/>
        <v>50314</v>
      </c>
      <c r="C250" s="195">
        <f t="shared" si="58"/>
        <v>-110166.90047330786</v>
      </c>
      <c r="D250" s="196">
        <f>IF(ISNUMBER($F250)*SUM(F250:F261)&lt;&gt;0,VLOOKUP($J250,'Table 1'!$B$13:$C$33,2,FALSE)/12*1000*Study_MW,0)</f>
        <v>1114600</v>
      </c>
      <c r="E250" s="196">
        <f t="shared" si="59"/>
        <v>1004433.0995266922</v>
      </c>
      <c r="F250" s="195">
        <v>20190</v>
      </c>
      <c r="G250" s="197">
        <f t="shared" si="60"/>
        <v>49.749039104838644</v>
      </c>
      <c r="I250" s="77">
        <f t="shared" si="63"/>
        <v>127</v>
      </c>
      <c r="J250" s="73">
        <f t="shared" si="61"/>
        <v>2037</v>
      </c>
      <c r="K250" s="78">
        <f t="shared" si="62"/>
        <v>50314</v>
      </c>
      <c r="M250" s="41">
        <v>2.1000000000000001E-2</v>
      </c>
      <c r="T250" s="193"/>
    </row>
    <row r="251" spans="2:20" outlineLevel="1">
      <c r="B251" s="213">
        <f t="shared" si="52"/>
        <v>50345</v>
      </c>
      <c r="C251" s="195">
        <f t="shared" si="58"/>
        <v>-227333.90535602355</v>
      </c>
      <c r="D251" s="196">
        <f>IF(ISNUMBER($F251)*SUM(F251:F262)&lt;&gt;0,VLOOKUP($J251,'Table 1'!$B$13:$C$33,2,FALSE)/12*1000*Study_MW,0)</f>
        <v>1114600</v>
      </c>
      <c r="E251" s="196">
        <f t="shared" si="59"/>
        <v>887266.09464397642</v>
      </c>
      <c r="F251" s="195">
        <v>20168.560000000001</v>
      </c>
      <c r="G251" s="197">
        <f t="shared" si="60"/>
        <v>43.992535641809646</v>
      </c>
      <c r="I251" s="77">
        <f t="shared" si="63"/>
        <v>128</v>
      </c>
      <c r="J251" s="73">
        <f t="shared" si="61"/>
        <v>2037</v>
      </c>
      <c r="K251" s="78">
        <f t="shared" si="62"/>
        <v>50345</v>
      </c>
      <c r="M251" s="41">
        <v>2.1000000000000001E-2</v>
      </c>
      <c r="O251" s="193"/>
      <c r="P251" s="193"/>
      <c r="T251" s="193"/>
    </row>
    <row r="252" spans="2:20" outlineLevel="1" collapsed="1">
      <c r="B252" s="214">
        <f t="shared" si="52"/>
        <v>50375</v>
      </c>
      <c r="C252" s="198">
        <f t="shared" si="58"/>
        <v>-236663.31304481084</v>
      </c>
      <c r="D252" s="199">
        <f>IF(ISNUMBER($F252)*SUM(F252:F263)&lt;&gt;0,VLOOKUP($J252,'Table 1'!$B$13:$C$33,2,FALSE)/12*1000*Study_MW,0)</f>
        <v>1114600</v>
      </c>
      <c r="E252" s="199">
        <f t="shared" si="59"/>
        <v>877936.6869551891</v>
      </c>
      <c r="F252" s="198">
        <v>19836.96</v>
      </c>
      <c r="G252" s="200">
        <f t="shared" si="60"/>
        <v>44.257622486267508</v>
      </c>
      <c r="I252" s="64">
        <f t="shared" si="63"/>
        <v>129</v>
      </c>
      <c r="J252" s="73">
        <f t="shared" si="61"/>
        <v>2037</v>
      </c>
      <c r="K252" s="82">
        <f t="shared" si="62"/>
        <v>50375</v>
      </c>
      <c r="M252" s="41">
        <v>2.1000000000000001E-2</v>
      </c>
      <c r="O252" s="193"/>
      <c r="P252" s="193"/>
      <c r="T252" s="193"/>
    </row>
    <row r="253" spans="2:20" outlineLevel="1">
      <c r="B253" s="212">
        <f t="shared" si="52"/>
        <v>50406</v>
      </c>
      <c r="C253" s="201">
        <f t="shared" si="58"/>
        <v>-78880.251887199411</v>
      </c>
      <c r="D253" s="202">
        <f>IF(ISNUMBER($F253)*SUM(F253:F264)&lt;&gt;0,VLOOKUP($J253,'Table 1'!$B$13:$C$33,2,FALSE)/12*1000*Study_MW,0)</f>
        <v>0</v>
      </c>
      <c r="E253" s="202">
        <f t="shared" si="59"/>
        <v>-78880.251887199411</v>
      </c>
      <c r="F253" s="201">
        <v>16504.64</v>
      </c>
      <c r="G253" s="203">
        <f t="shared" si="60"/>
        <v>-4.7792773357794784</v>
      </c>
      <c r="I253" s="60">
        <f>I133</f>
        <v>1</v>
      </c>
      <c r="J253" s="73">
        <f t="shared" si="61"/>
        <v>2038</v>
      </c>
      <c r="K253" s="74">
        <f t="shared" si="62"/>
        <v>50406</v>
      </c>
      <c r="M253" s="41">
        <v>2.1000000000000001E-2</v>
      </c>
      <c r="O253" s="193"/>
      <c r="P253" s="193"/>
      <c r="T253" s="193"/>
    </row>
    <row r="254" spans="2:20" outlineLevel="1">
      <c r="B254" s="213">
        <f t="shared" si="52"/>
        <v>50437</v>
      </c>
      <c r="C254" s="195">
        <f t="shared" si="58"/>
        <v>-353881.20939363126</v>
      </c>
      <c r="D254" s="196">
        <f>IF(ISNUMBER($F254)*SUM(F254:F265)&lt;&gt;0,VLOOKUP($J254,'Table 1'!$B$13:$C$33,2,FALSE)/12*1000*Study_MW,0)</f>
        <v>0</v>
      </c>
      <c r="E254" s="196">
        <f t="shared" si="59"/>
        <v>-353881.20939363126</v>
      </c>
      <c r="F254" s="195">
        <v>13944.077241379311</v>
      </c>
      <c r="G254" s="197">
        <f t="shared" si="60"/>
        <v>-25.37860363706837</v>
      </c>
      <c r="I254" s="77">
        <f t="shared" si="63"/>
        <v>2</v>
      </c>
      <c r="J254" s="73">
        <f t="shared" si="61"/>
        <v>2038</v>
      </c>
      <c r="K254" s="78">
        <f t="shared" si="62"/>
        <v>50437</v>
      </c>
      <c r="M254" s="41">
        <v>2.1000000000000001E-2</v>
      </c>
      <c r="O254" s="193"/>
      <c r="P254" s="193"/>
      <c r="T254" s="193"/>
    </row>
    <row r="255" spans="2:20" outlineLevel="1">
      <c r="B255" s="213">
        <f t="shared" si="52"/>
        <v>50465</v>
      </c>
      <c r="C255" s="195">
        <f t="shared" si="58"/>
        <v>-360645.68760745466</v>
      </c>
      <c r="D255" s="196">
        <f>IF(ISNUMBER($F255)*SUM(F255:F266)&lt;&gt;0,VLOOKUP($J255,'Table 1'!$B$13:$C$33,2,FALSE)/12*1000*Study_MW,0)</f>
        <v>0</v>
      </c>
      <c r="E255" s="196">
        <f t="shared" si="59"/>
        <v>-360645.68760745466</v>
      </c>
      <c r="F255" s="195">
        <v>16861.52</v>
      </c>
      <c r="G255" s="197">
        <f t="shared" si="60"/>
        <v>-21.388681898633969</v>
      </c>
      <c r="I255" s="77">
        <f t="shared" si="63"/>
        <v>3</v>
      </c>
      <c r="J255" s="73">
        <f t="shared" si="61"/>
        <v>2038</v>
      </c>
      <c r="K255" s="78">
        <f t="shared" si="62"/>
        <v>50465</v>
      </c>
      <c r="M255" s="41">
        <v>2.1000000000000001E-2</v>
      </c>
      <c r="O255" s="193"/>
      <c r="P255" s="193"/>
      <c r="T255" s="193"/>
    </row>
    <row r="256" spans="2:20" outlineLevel="1">
      <c r="B256" s="213">
        <f t="shared" si="52"/>
        <v>50496</v>
      </c>
      <c r="C256" s="195">
        <f t="shared" si="58"/>
        <v>-412667.81196708174</v>
      </c>
      <c r="D256" s="196">
        <f>IF(ISNUMBER($F256)*SUM(F256:F267)&lt;&gt;0,VLOOKUP($J256,'Table 1'!$B$13:$C$33,2,FALSE)/12*1000*Study_MW,0)</f>
        <v>0</v>
      </c>
      <c r="E256" s="196">
        <f t="shared" si="59"/>
        <v>-412667.81196708174</v>
      </c>
      <c r="F256" s="195">
        <v>14482.48</v>
      </c>
      <c r="G256" s="197">
        <f t="shared" si="60"/>
        <v>-28.494278049552406</v>
      </c>
      <c r="I256" s="77">
        <f t="shared" si="63"/>
        <v>4</v>
      </c>
      <c r="J256" s="73">
        <f t="shared" si="61"/>
        <v>2038</v>
      </c>
      <c r="K256" s="78">
        <f t="shared" si="62"/>
        <v>50496</v>
      </c>
      <c r="M256" s="41">
        <v>2.1000000000000001E-2</v>
      </c>
      <c r="O256" s="193"/>
      <c r="P256" s="193"/>
      <c r="T256" s="193"/>
    </row>
    <row r="257" spans="2:20" outlineLevel="1">
      <c r="B257" s="213">
        <f t="shared" si="52"/>
        <v>50526</v>
      </c>
      <c r="C257" s="195">
        <f t="shared" si="58"/>
        <v>-202999.41845266099</v>
      </c>
      <c r="D257" s="196">
        <f>IF(ISNUMBER($F257)*SUM(F257:F268)&lt;&gt;0,VLOOKUP($J257,'Table 1'!$B$13:$C$33,2,FALSE)/12*1000*Study_MW,0)</f>
        <v>0</v>
      </c>
      <c r="E257" s="196">
        <f t="shared" si="59"/>
        <v>-202999.41845266099</v>
      </c>
      <c r="F257" s="195">
        <v>14297.28</v>
      </c>
      <c r="G257" s="197">
        <f t="shared" si="60"/>
        <v>-14.198464215057758</v>
      </c>
      <c r="I257" s="77">
        <f t="shared" si="63"/>
        <v>5</v>
      </c>
      <c r="J257" s="73">
        <f t="shared" si="61"/>
        <v>2038</v>
      </c>
      <c r="K257" s="78">
        <f t="shared" si="62"/>
        <v>50526</v>
      </c>
      <c r="M257" s="41">
        <v>2.1000000000000001E-2</v>
      </c>
      <c r="O257" s="193"/>
      <c r="P257" s="193"/>
      <c r="T257" s="193"/>
    </row>
    <row r="258" spans="2:20" outlineLevel="1">
      <c r="B258" s="213">
        <f t="shared" si="52"/>
        <v>50557</v>
      </c>
      <c r="C258" s="195">
        <f t="shared" si="58"/>
        <v>-162961.93124045647</v>
      </c>
      <c r="D258" s="196">
        <f>IF(ISNUMBER($F258)*SUM(F258:F269)&lt;&gt;0,VLOOKUP($J258,'Table 1'!$B$13:$C$33,2,FALSE)/12*1000*Study_MW,0)</f>
        <v>0</v>
      </c>
      <c r="E258" s="196">
        <f t="shared" si="59"/>
        <v>-162961.93124045647</v>
      </c>
      <c r="F258" s="195">
        <v>17929.68</v>
      </c>
      <c r="G258" s="197">
        <f t="shared" si="60"/>
        <v>-9.0889481151061524</v>
      </c>
      <c r="I258" s="77">
        <f t="shared" si="63"/>
        <v>6</v>
      </c>
      <c r="J258" s="73">
        <f t="shared" si="61"/>
        <v>2038</v>
      </c>
      <c r="K258" s="78">
        <f t="shared" si="62"/>
        <v>50557</v>
      </c>
      <c r="M258" s="41">
        <v>2.1000000000000001E-2</v>
      </c>
      <c r="O258" s="193"/>
      <c r="P258" s="193"/>
      <c r="T258" s="193"/>
    </row>
    <row r="259" spans="2:20" outlineLevel="1">
      <c r="B259" s="213">
        <f t="shared" si="52"/>
        <v>50587</v>
      </c>
      <c r="C259" s="195">
        <f t="shared" si="58"/>
        <v>93781.84567972082</v>
      </c>
      <c r="D259" s="196">
        <f>IF(ISNUMBER($F259)*SUM(F259:F270)&lt;&gt;0,VLOOKUP($J259,'Table 1'!$B$13:$C$33,2,FALSE)/12*1000*Study_MW,0)</f>
        <v>0</v>
      </c>
      <c r="E259" s="196">
        <f t="shared" si="59"/>
        <v>93781.84567972082</v>
      </c>
      <c r="F259" s="195">
        <v>20641.68</v>
      </c>
      <c r="G259" s="197">
        <f t="shared" si="60"/>
        <v>4.5433242681661969</v>
      </c>
      <c r="I259" s="77">
        <f t="shared" si="63"/>
        <v>7</v>
      </c>
      <c r="J259" s="73">
        <f t="shared" si="61"/>
        <v>2038</v>
      </c>
      <c r="K259" s="78">
        <f t="shared" si="62"/>
        <v>50587</v>
      </c>
      <c r="M259" s="41">
        <v>2.1000000000000001E-2</v>
      </c>
      <c r="O259" s="193"/>
      <c r="P259" s="193"/>
    </row>
    <row r="260" spans="2:20" outlineLevel="1">
      <c r="B260" s="213">
        <f t="shared" si="52"/>
        <v>50618</v>
      </c>
      <c r="C260" s="195">
        <f t="shared" si="58"/>
        <v>249991.90145242569</v>
      </c>
      <c r="D260" s="196">
        <f>IF(ISNUMBER($F260)*SUM(F260:F271)&lt;&gt;0,VLOOKUP($J260,'Table 1'!$B$13:$C$33,2,FALSE)/12*1000*Study_MW,0)</f>
        <v>0</v>
      </c>
      <c r="E260" s="196">
        <f t="shared" si="59"/>
        <v>249991.90145242569</v>
      </c>
      <c r="F260" s="195">
        <v>21487.599999999999</v>
      </c>
      <c r="G260" s="197">
        <f t="shared" si="60"/>
        <v>11.634240280553701</v>
      </c>
      <c r="I260" s="77">
        <f t="shared" si="63"/>
        <v>8</v>
      </c>
      <c r="J260" s="73">
        <f t="shared" si="61"/>
        <v>2038</v>
      </c>
      <c r="K260" s="78">
        <f t="shared" si="62"/>
        <v>50618</v>
      </c>
      <c r="M260" s="41">
        <v>2.1000000000000001E-2</v>
      </c>
      <c r="O260" s="193"/>
      <c r="P260" s="193"/>
    </row>
    <row r="261" spans="2:20" outlineLevel="1">
      <c r="B261" s="213">
        <f t="shared" si="52"/>
        <v>50649</v>
      </c>
      <c r="C261" s="195">
        <f t="shared" si="58"/>
        <v>14639.162726558334</v>
      </c>
      <c r="D261" s="196">
        <f>IF(ISNUMBER($F261)*SUM(F261:F272)&lt;&gt;0,VLOOKUP($J261,'Table 1'!$B$13:$C$33,2,FALSE)/12*1000*Study_MW,0)</f>
        <v>0</v>
      </c>
      <c r="E261" s="196">
        <f t="shared" si="59"/>
        <v>14639.162726558334</v>
      </c>
      <c r="F261" s="195">
        <v>21070.240000000002</v>
      </c>
      <c r="G261" s="197">
        <f t="shared" si="60"/>
        <v>0.69477911625868205</v>
      </c>
      <c r="I261" s="77">
        <f t="shared" si="63"/>
        <v>9</v>
      </c>
      <c r="J261" s="73">
        <f t="shared" si="61"/>
        <v>2038</v>
      </c>
      <c r="K261" s="78">
        <f t="shared" si="62"/>
        <v>50649</v>
      </c>
      <c r="M261" s="41">
        <v>2.1000000000000001E-2</v>
      </c>
      <c r="O261" s="193"/>
      <c r="P261" s="193"/>
    </row>
    <row r="262" spans="2:20" outlineLevel="1">
      <c r="B262" s="213">
        <f t="shared" si="52"/>
        <v>50679</v>
      </c>
      <c r="C262" s="195">
        <f t="shared" si="58"/>
        <v>-112480.40538324731</v>
      </c>
      <c r="D262" s="196">
        <f>IF(ISNUMBER($F262)*SUM(F262:F273)&lt;&gt;0,VLOOKUP($J262,'Table 1'!$B$13:$C$33,2,FALSE)/12*1000*Study_MW,0)</f>
        <v>0</v>
      </c>
      <c r="E262" s="196">
        <f t="shared" si="59"/>
        <v>-112480.40538324731</v>
      </c>
      <c r="F262" s="195">
        <v>20190</v>
      </c>
      <c r="G262" s="197">
        <f t="shared" si="60"/>
        <v>-5.5710948679171528</v>
      </c>
      <c r="I262" s="77">
        <f t="shared" si="63"/>
        <v>10</v>
      </c>
      <c r="J262" s="73">
        <f t="shared" si="61"/>
        <v>2038</v>
      </c>
      <c r="K262" s="78">
        <f t="shared" si="62"/>
        <v>50679</v>
      </c>
      <c r="M262" s="41">
        <v>2.1000000000000001E-2</v>
      </c>
    </row>
    <row r="263" spans="2:20" outlineLevel="1">
      <c r="B263" s="213">
        <f t="shared" si="52"/>
        <v>50710</v>
      </c>
      <c r="C263" s="195">
        <f t="shared" si="58"/>
        <v>-232107.91736850003</v>
      </c>
      <c r="D263" s="196">
        <f>IF(ISNUMBER($F263)*SUM(F263:F274)&lt;&gt;0,VLOOKUP($J263,'Table 1'!$B$13:$C$33,2,FALSE)/12*1000*Study_MW,0)</f>
        <v>0</v>
      </c>
      <c r="E263" s="196">
        <f t="shared" si="59"/>
        <v>-232107.91736850003</v>
      </c>
      <c r="F263" s="195">
        <v>20168.560000000001</v>
      </c>
      <c r="G263" s="197">
        <f t="shared" si="60"/>
        <v>-11.50840304754033</v>
      </c>
      <c r="I263" s="77">
        <f t="shared" si="63"/>
        <v>11</v>
      </c>
      <c r="J263" s="73">
        <f t="shared" si="61"/>
        <v>2038</v>
      </c>
      <c r="K263" s="78">
        <f t="shared" si="62"/>
        <v>50710</v>
      </c>
      <c r="M263" s="41">
        <v>2.1000000000000001E-2</v>
      </c>
    </row>
    <row r="264" spans="2:20" outlineLevel="1">
      <c r="B264" s="214"/>
      <c r="C264" s="198"/>
      <c r="D264" s="199"/>
      <c r="E264" s="199"/>
      <c r="F264" s="198"/>
      <c r="G264" s="200"/>
      <c r="I264" s="64">
        <f t="shared" si="63"/>
        <v>12</v>
      </c>
      <c r="J264" s="73">
        <f t="shared" si="61"/>
        <v>1900</v>
      </c>
      <c r="K264" s="82" t="str">
        <f t="shared" si="62"/>
        <v/>
      </c>
      <c r="M264" s="41" t="e">
        <v>#N/A</v>
      </c>
    </row>
    <row r="265" spans="2:20">
      <c r="B265" s="83"/>
      <c r="K265" s="73"/>
    </row>
    <row r="266" spans="2:20" hidden="1">
      <c r="B266" s="56" t="str">
        <f>"Note: Energy Dollars in "&amp;YEAR(B253)&amp;" are "&amp;YEAR(B241)&amp;" x ("&amp;YEAR(B241)&amp;" / "&amp;YEAR(B193)&amp;" ) ^ (1/4)"</f>
        <v>Note: Energy Dollars in 2038 are 2037 x (2037 / 2033 ) ^ (1/4)</v>
      </c>
    </row>
  </sheetData>
  <printOptions horizontalCentered="1"/>
  <pageMargins left="0.25" right="0.25" top="0.75" bottom="0.75" header="0.3" footer="0.3"/>
  <pageSetup scale="87" fitToHeight="0" orientation="portrait" r:id="rId1"/>
  <headerFooter alignWithMargins="0">
    <oddFooter>&amp;L&amp;8NPC Group - &amp;F   ( &amp;A )&amp;C &amp;R 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P77"/>
  <sheetViews>
    <sheetView workbookViewId="0">
      <selection activeCell="F36" sqref="F36"/>
    </sheetView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3.83203125" style="122" customWidth="1"/>
    <col min="9" max="10" width="12.5" style="122" customWidth="1"/>
    <col min="11" max="11" width="11.6640625" style="122" customWidth="1"/>
    <col min="12" max="12" width="9.33203125" style="122"/>
    <col min="13" max="13" width="6.1640625" style="122" customWidth="1"/>
    <col min="14" max="14" width="7.83203125" style="173" customWidth="1"/>
    <col min="15" max="16384" width="9.33203125" style="122"/>
  </cols>
  <sheetData>
    <row r="1" spans="2:16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6" ht="15.75">
      <c r="B2" s="120" t="s">
        <v>102</v>
      </c>
      <c r="C2" s="121"/>
      <c r="D2" s="121"/>
      <c r="E2" s="121"/>
      <c r="F2" s="121"/>
      <c r="G2" s="121"/>
      <c r="H2" s="121"/>
      <c r="I2" s="121"/>
      <c r="J2" s="121"/>
    </row>
    <row r="3" spans="2:16" ht="15.75">
      <c r="B3" s="120"/>
      <c r="C3" s="121"/>
      <c r="D3" s="121"/>
      <c r="E3" s="121"/>
      <c r="F3" s="121"/>
      <c r="G3" s="121"/>
      <c r="H3" s="121"/>
      <c r="I3" s="121"/>
      <c r="J3" s="121"/>
    </row>
    <row r="4" spans="2:16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6" ht="51.75" customHeight="1">
      <c r="B5" s="125" t="s">
        <v>0</v>
      </c>
      <c r="C5" s="126" t="s">
        <v>108</v>
      </c>
      <c r="D5" s="126" t="s">
        <v>103</v>
      </c>
      <c r="E5" s="17" t="s">
        <v>55</v>
      </c>
      <c r="H5" s="173"/>
      <c r="N5" s="122"/>
    </row>
    <row r="6" spans="2:16" ht="24" customHeight="1">
      <c r="B6" s="127"/>
      <c r="C6" s="129" t="s">
        <v>9</v>
      </c>
      <c r="D6" s="128" t="s">
        <v>104</v>
      </c>
      <c r="E6" s="19" t="s">
        <v>9</v>
      </c>
      <c r="H6" s="173"/>
      <c r="N6" s="122"/>
    </row>
    <row r="7" spans="2:16">
      <c r="C7" s="130" t="s">
        <v>2</v>
      </c>
      <c r="D7" s="130" t="s">
        <v>4</v>
      </c>
      <c r="E7" s="130" t="s">
        <v>25</v>
      </c>
      <c r="H7" s="173"/>
      <c r="N7" s="122"/>
    </row>
    <row r="8" spans="2:16" ht="6" customHeight="1">
      <c r="H8" s="173"/>
      <c r="N8" s="122"/>
    </row>
    <row r="9" spans="2:16" ht="15.75">
      <c r="B9" s="43" t="str">
        <f>B2</f>
        <v>2017 IRP Aeolus-Bridger/Anticline Transmission</v>
      </c>
      <c r="D9" s="124"/>
      <c r="E9" s="124"/>
      <c r="N9" s="122"/>
    </row>
    <row r="10" spans="2:16">
      <c r="B10" s="141">
        <v>2020</v>
      </c>
      <c r="C10" s="133">
        <f>ROUND(C11/(1+$D44),2)</f>
        <v>47.41</v>
      </c>
      <c r="D10" s="141">
        <v>2</v>
      </c>
      <c r="E10" s="135">
        <f t="shared" ref="E10:E32" si="0">SUM(C10:C10)*D10/12</f>
        <v>7.9016666666666664</v>
      </c>
      <c r="F10" s="124"/>
      <c r="G10" s="160"/>
      <c r="M10" s="174"/>
      <c r="N10" s="138"/>
      <c r="O10" s="139"/>
      <c r="P10" s="140"/>
    </row>
    <row r="11" spans="2:16">
      <c r="B11" s="141">
        <f t="shared" ref="B11:B32" si="1">B10+1</f>
        <v>2021</v>
      </c>
      <c r="C11" s="133">
        <f>D36</f>
        <v>48.5910167356733</v>
      </c>
      <c r="D11" s="141">
        <v>12</v>
      </c>
      <c r="E11" s="135">
        <f t="shared" si="0"/>
        <v>48.5910167356733</v>
      </c>
      <c r="F11" s="124"/>
      <c r="G11" s="160"/>
      <c r="M11" s="174"/>
      <c r="N11" s="204"/>
      <c r="O11" s="204"/>
      <c r="P11" s="140"/>
    </row>
    <row r="12" spans="2:16">
      <c r="B12" s="141">
        <f t="shared" si="1"/>
        <v>2022</v>
      </c>
      <c r="C12" s="133">
        <f>ROUND(C11*(1+$D46),2)</f>
        <v>49.76</v>
      </c>
      <c r="D12" s="141">
        <v>12</v>
      </c>
      <c r="E12" s="135">
        <f t="shared" si="0"/>
        <v>49.76</v>
      </c>
      <c r="F12" s="124"/>
      <c r="H12" s="174"/>
      <c r="J12" s="205"/>
      <c r="N12" s="122"/>
    </row>
    <row r="13" spans="2:16">
      <c r="B13" s="141">
        <f t="shared" si="1"/>
        <v>2023</v>
      </c>
      <c r="C13" s="133">
        <f>ROUND(C12*(1+$D47),2)</f>
        <v>50.95</v>
      </c>
      <c r="D13" s="141">
        <v>12</v>
      </c>
      <c r="E13" s="135">
        <f t="shared" si="0"/>
        <v>50.95000000000001</v>
      </c>
      <c r="F13" s="124"/>
      <c r="H13" s="174"/>
      <c r="I13" s="138"/>
      <c r="J13" s="205"/>
      <c r="N13" s="122"/>
    </row>
    <row r="14" spans="2:16">
      <c r="B14" s="141">
        <f t="shared" si="1"/>
        <v>2024</v>
      </c>
      <c r="C14" s="133">
        <f>ROUND(C13*(1+$D48),2)</f>
        <v>52.12</v>
      </c>
      <c r="D14" s="141">
        <v>12</v>
      </c>
      <c r="E14" s="135">
        <f t="shared" si="0"/>
        <v>52.12</v>
      </c>
      <c r="F14" s="124"/>
      <c r="H14" s="174"/>
      <c r="K14" s="206"/>
      <c r="N14" s="122"/>
    </row>
    <row r="15" spans="2:16">
      <c r="B15" s="141">
        <f t="shared" si="1"/>
        <v>2025</v>
      </c>
      <c r="C15" s="133">
        <f>ROUND(C14*(1+$D49),2)</f>
        <v>53.32</v>
      </c>
      <c r="D15" s="141">
        <v>12</v>
      </c>
      <c r="E15" s="135">
        <f t="shared" si="0"/>
        <v>53.32</v>
      </c>
      <c r="F15" s="124"/>
      <c r="H15" s="174"/>
      <c r="N15" s="122"/>
    </row>
    <row r="16" spans="2:16">
      <c r="B16" s="141">
        <f t="shared" si="1"/>
        <v>2026</v>
      </c>
      <c r="C16" s="133">
        <f t="shared" ref="C16:C24" si="2">ROUND(C15*(1+$G41),2)</f>
        <v>54.49</v>
      </c>
      <c r="D16" s="141">
        <v>12</v>
      </c>
      <c r="E16" s="135">
        <f t="shared" si="0"/>
        <v>54.49</v>
      </c>
      <c r="F16" s="124"/>
      <c r="H16" s="174"/>
      <c r="J16" s="171"/>
      <c r="N16" s="122"/>
    </row>
    <row r="17" spans="2:14">
      <c r="B17" s="141">
        <f t="shared" si="1"/>
        <v>2027</v>
      </c>
      <c r="C17" s="133">
        <f t="shared" si="2"/>
        <v>55.69</v>
      </c>
      <c r="D17" s="141">
        <v>12</v>
      </c>
      <c r="E17" s="135">
        <f t="shared" si="0"/>
        <v>55.69</v>
      </c>
      <c r="F17" s="124"/>
      <c r="H17" s="174"/>
      <c r="N17" s="122"/>
    </row>
    <row r="18" spans="2:14">
      <c r="B18" s="141">
        <f t="shared" si="1"/>
        <v>2028</v>
      </c>
      <c r="C18" s="133">
        <f t="shared" si="2"/>
        <v>56.92</v>
      </c>
      <c r="D18" s="141">
        <v>12</v>
      </c>
      <c r="E18" s="135">
        <f t="shared" si="0"/>
        <v>56.919999999999995</v>
      </c>
      <c r="F18" s="124"/>
      <c r="H18" s="174"/>
      <c r="N18" s="122"/>
    </row>
    <row r="19" spans="2:14">
      <c r="B19" s="141">
        <f t="shared" si="1"/>
        <v>2029</v>
      </c>
      <c r="C19" s="133">
        <f t="shared" si="2"/>
        <v>58.12</v>
      </c>
      <c r="D19" s="141">
        <v>12</v>
      </c>
      <c r="E19" s="135">
        <f t="shared" si="0"/>
        <v>58.12</v>
      </c>
      <c r="F19" s="124"/>
      <c r="H19" s="174"/>
      <c r="N19" s="122"/>
    </row>
    <row r="20" spans="2:14">
      <c r="B20" s="141">
        <f t="shared" si="1"/>
        <v>2030</v>
      </c>
      <c r="C20" s="143">
        <f t="shared" si="2"/>
        <v>59.28</v>
      </c>
      <c r="D20" s="141">
        <v>12</v>
      </c>
      <c r="E20" s="135">
        <f t="shared" si="0"/>
        <v>59.28</v>
      </c>
      <c r="F20" s="124"/>
      <c r="H20" s="174"/>
      <c r="N20" s="122"/>
    </row>
    <row r="21" spans="2:14">
      <c r="B21" s="141">
        <f t="shared" si="1"/>
        <v>2031</v>
      </c>
      <c r="C21" s="143">
        <f t="shared" si="2"/>
        <v>60.47</v>
      </c>
      <c r="D21" s="141">
        <v>12</v>
      </c>
      <c r="E21" s="135">
        <f t="shared" si="0"/>
        <v>60.47</v>
      </c>
      <c r="F21" s="124"/>
      <c r="H21" s="174"/>
      <c r="N21" s="122"/>
    </row>
    <row r="22" spans="2:14">
      <c r="B22" s="141">
        <f t="shared" si="1"/>
        <v>2032</v>
      </c>
      <c r="C22" s="133">
        <f t="shared" si="2"/>
        <v>61.68</v>
      </c>
      <c r="D22" s="141">
        <v>12</v>
      </c>
      <c r="E22" s="135">
        <f t="shared" si="0"/>
        <v>61.68</v>
      </c>
      <c r="F22" s="124"/>
      <c r="H22" s="174"/>
      <c r="N22" s="122"/>
    </row>
    <row r="23" spans="2:14">
      <c r="B23" s="141">
        <f t="shared" si="1"/>
        <v>2033</v>
      </c>
      <c r="C23" s="133">
        <f t="shared" si="2"/>
        <v>62.91</v>
      </c>
      <c r="D23" s="141">
        <v>12</v>
      </c>
      <c r="E23" s="135">
        <f t="shared" si="0"/>
        <v>62.91</v>
      </c>
      <c r="F23" s="124"/>
      <c r="H23" s="174"/>
      <c r="N23" s="122"/>
    </row>
    <row r="24" spans="2:14">
      <c r="B24" s="141">
        <f t="shared" si="1"/>
        <v>2034</v>
      </c>
      <c r="C24" s="133">
        <f t="shared" si="2"/>
        <v>64.17</v>
      </c>
      <c r="D24" s="141">
        <v>12</v>
      </c>
      <c r="E24" s="135">
        <f t="shared" si="0"/>
        <v>64.17</v>
      </c>
      <c r="F24" s="124"/>
      <c r="H24" s="174"/>
      <c r="N24" s="122"/>
    </row>
    <row r="25" spans="2:14">
      <c r="B25" s="141">
        <f t="shared" si="1"/>
        <v>2035</v>
      </c>
      <c r="C25" s="133">
        <f t="shared" ref="C25:C32" si="3">ROUND(C24*(1+$K41),2)</f>
        <v>65.45</v>
      </c>
      <c r="D25" s="141">
        <v>12</v>
      </c>
      <c r="E25" s="135">
        <f t="shared" si="0"/>
        <v>65.45</v>
      </c>
      <c r="F25" s="124"/>
      <c r="H25" s="174"/>
      <c r="N25" s="122"/>
    </row>
    <row r="26" spans="2:14">
      <c r="B26" s="141">
        <f t="shared" si="1"/>
        <v>2036</v>
      </c>
      <c r="C26" s="133">
        <f t="shared" si="3"/>
        <v>66.760000000000005</v>
      </c>
      <c r="D26" s="141">
        <v>12</v>
      </c>
      <c r="E26" s="135">
        <f t="shared" si="0"/>
        <v>66.760000000000005</v>
      </c>
      <c r="F26" s="124"/>
      <c r="H26" s="174"/>
      <c r="N26" s="122"/>
    </row>
    <row r="27" spans="2:14">
      <c r="B27" s="141">
        <f t="shared" si="1"/>
        <v>2037</v>
      </c>
      <c r="C27" s="133">
        <f t="shared" si="3"/>
        <v>68.16</v>
      </c>
      <c r="D27" s="141">
        <v>12</v>
      </c>
      <c r="E27" s="135">
        <f t="shared" si="0"/>
        <v>68.16</v>
      </c>
      <c r="F27" s="124"/>
      <c r="H27" s="174"/>
      <c r="N27" s="122"/>
    </row>
    <row r="28" spans="2:14">
      <c r="B28" s="141">
        <f t="shared" si="1"/>
        <v>2038</v>
      </c>
      <c r="C28" s="133">
        <f t="shared" si="3"/>
        <v>69.59</v>
      </c>
      <c r="D28" s="141">
        <v>12</v>
      </c>
      <c r="E28" s="135">
        <f t="shared" si="0"/>
        <v>69.59</v>
      </c>
      <c r="F28" s="124"/>
      <c r="H28" s="174"/>
      <c r="N28" s="122"/>
    </row>
    <row r="29" spans="2:14">
      <c r="B29" s="141">
        <f t="shared" si="1"/>
        <v>2039</v>
      </c>
      <c r="C29" s="133">
        <f t="shared" si="3"/>
        <v>71.05</v>
      </c>
      <c r="D29" s="141">
        <v>12</v>
      </c>
      <c r="E29" s="135">
        <f t="shared" si="0"/>
        <v>71.05</v>
      </c>
      <c r="F29" s="124"/>
      <c r="H29" s="174"/>
      <c r="N29" s="122"/>
    </row>
    <row r="30" spans="2:14">
      <c r="B30" s="141">
        <f t="shared" si="1"/>
        <v>2040</v>
      </c>
      <c r="C30" s="133">
        <f t="shared" si="3"/>
        <v>72.540000000000006</v>
      </c>
      <c r="D30" s="141">
        <v>12</v>
      </c>
      <c r="E30" s="135">
        <f t="shared" si="0"/>
        <v>72.540000000000006</v>
      </c>
      <c r="F30" s="124"/>
      <c r="H30" s="174"/>
      <c r="N30" s="122"/>
    </row>
    <row r="31" spans="2:14">
      <c r="B31" s="141">
        <f t="shared" si="1"/>
        <v>2041</v>
      </c>
      <c r="C31" s="133">
        <f t="shared" si="3"/>
        <v>74.14</v>
      </c>
      <c r="D31" s="141">
        <v>12</v>
      </c>
      <c r="E31" s="135">
        <f t="shared" si="0"/>
        <v>74.14</v>
      </c>
      <c r="F31" s="124"/>
      <c r="H31" s="174"/>
      <c r="N31" s="122"/>
    </row>
    <row r="32" spans="2:14">
      <c r="B32" s="141">
        <f t="shared" si="1"/>
        <v>2042</v>
      </c>
      <c r="C32" s="133">
        <f t="shared" si="3"/>
        <v>75.77</v>
      </c>
      <c r="D32" s="141">
        <v>12</v>
      </c>
      <c r="E32" s="135">
        <f t="shared" si="0"/>
        <v>75.77</v>
      </c>
      <c r="F32" s="124"/>
      <c r="G32" s="160"/>
      <c r="H32" s="174"/>
      <c r="N32" s="122"/>
    </row>
    <row r="33" spans="2:14">
      <c r="B33" s="141"/>
      <c r="C33" s="137"/>
      <c r="D33" s="133"/>
      <c r="E33" s="133"/>
      <c r="F33" s="134"/>
      <c r="G33" s="133"/>
      <c r="H33" s="133"/>
      <c r="I33" s="135"/>
      <c r="J33" s="135"/>
      <c r="K33" s="144"/>
    </row>
    <row r="34" spans="2:14">
      <c r="B34" s="131"/>
      <c r="C34" s="137"/>
      <c r="D34" s="133"/>
      <c r="E34" s="133"/>
      <c r="F34" s="134"/>
      <c r="G34" s="133"/>
      <c r="H34" s="133"/>
      <c r="I34" s="135"/>
      <c r="J34" s="135"/>
      <c r="K34" s="144"/>
    </row>
    <row r="35" spans="2:14" ht="15">
      <c r="C35" s="207" t="s">
        <v>105</v>
      </c>
      <c r="D35" s="208">
        <v>750</v>
      </c>
      <c r="E35" s="133"/>
      <c r="F35" s="134"/>
      <c r="G35" s="133"/>
      <c r="H35" s="133"/>
      <c r="I35" s="135"/>
      <c r="J35" s="135"/>
      <c r="K35" s="144"/>
    </row>
    <row r="36" spans="2:14" ht="39.75" customHeight="1">
      <c r="B36" s="336" t="s">
        <v>109</v>
      </c>
      <c r="C36" s="337"/>
      <c r="D36" s="218">
        <v>48.5910167356733</v>
      </c>
      <c r="E36" s="133"/>
      <c r="F36" s="134"/>
      <c r="G36" s="133"/>
      <c r="H36" s="133"/>
      <c r="I36" s="135"/>
      <c r="J36" s="135"/>
      <c r="K36" s="144"/>
    </row>
    <row r="39" spans="2:14" ht="13.5" thickBot="1">
      <c r="D39" s="161"/>
    </row>
    <row r="40" spans="2:14" ht="13.5" thickBot="1">
      <c r="C40" s="40" t="str">
        <f>"Company Official Inflation Forecast Dated "&amp;TEXT('Table 4'!$G$5,"mmmm dd, yyyy")</f>
        <v>Company Official Inflation Forecast Dated June 29, 2018</v>
      </c>
      <c r="D40" s="149"/>
      <c r="E40" s="149"/>
      <c r="F40" s="149"/>
      <c r="G40" s="149"/>
      <c r="H40" s="149"/>
      <c r="I40" s="149"/>
      <c r="J40" s="149"/>
      <c r="K40" s="151"/>
    </row>
    <row r="41" spans="2:14">
      <c r="C41" s="88">
        <v>2017</v>
      </c>
      <c r="D41" s="41">
        <v>0.02</v>
      </c>
      <c r="E41" s="86"/>
      <c r="F41" s="88">
        <f>C49+1</f>
        <v>2026</v>
      </c>
      <c r="G41" s="41">
        <v>2.1999999999999999E-2</v>
      </c>
      <c r="H41" s="86"/>
      <c r="I41" s="88">
        <f>F49+1</f>
        <v>2035</v>
      </c>
      <c r="J41" s="88"/>
      <c r="K41" s="41">
        <v>0.02</v>
      </c>
    </row>
    <row r="42" spans="2:14">
      <c r="C42" s="88">
        <f t="shared" ref="C42:C49" si="4">C41+1</f>
        <v>2018</v>
      </c>
      <c r="D42" s="41">
        <v>2.3E-2</v>
      </c>
      <c r="E42" s="86"/>
      <c r="F42" s="88">
        <f t="shared" ref="F42:F49" si="5">F41+1</f>
        <v>2027</v>
      </c>
      <c r="G42" s="41">
        <v>2.1999999999999999E-2</v>
      </c>
      <c r="H42" s="86"/>
      <c r="I42" s="88">
        <f t="shared" ref="I42:I49" si="6">I41+1</f>
        <v>2036</v>
      </c>
      <c r="J42" s="88"/>
      <c r="K42" s="41">
        <v>0.02</v>
      </c>
    </row>
    <row r="43" spans="2:14">
      <c r="C43" s="88">
        <f t="shared" si="4"/>
        <v>2019</v>
      </c>
      <c r="D43" s="41">
        <v>2.1999999999999999E-2</v>
      </c>
      <c r="E43" s="86"/>
      <c r="F43" s="88">
        <f t="shared" si="5"/>
        <v>2028</v>
      </c>
      <c r="G43" s="41">
        <v>2.1999999999999999E-2</v>
      </c>
      <c r="H43" s="86"/>
      <c r="I43" s="88">
        <f t="shared" si="6"/>
        <v>2037</v>
      </c>
      <c r="J43" s="88"/>
      <c r="K43" s="41">
        <v>2.1000000000000001E-2</v>
      </c>
    </row>
    <row r="44" spans="2:14">
      <c r="C44" s="88">
        <f t="shared" si="4"/>
        <v>2020</v>
      </c>
      <c r="D44" s="41">
        <v>2.5000000000000001E-2</v>
      </c>
      <c r="E44" s="86"/>
      <c r="F44" s="88">
        <f t="shared" si="5"/>
        <v>2029</v>
      </c>
      <c r="G44" s="41">
        <v>2.1000000000000001E-2</v>
      </c>
      <c r="H44" s="86"/>
      <c r="I44" s="88">
        <f t="shared" si="6"/>
        <v>2038</v>
      </c>
      <c r="J44" s="88"/>
      <c r="K44" s="41">
        <v>2.1000000000000001E-2</v>
      </c>
    </row>
    <row r="45" spans="2:14">
      <c r="C45" s="88">
        <f t="shared" si="4"/>
        <v>2021</v>
      </c>
      <c r="D45" s="41">
        <v>2.4E-2</v>
      </c>
      <c r="E45" s="86"/>
      <c r="F45" s="88">
        <f t="shared" si="5"/>
        <v>2030</v>
      </c>
      <c r="G45" s="41">
        <v>0.02</v>
      </c>
      <c r="H45" s="86"/>
      <c r="I45" s="88">
        <f t="shared" si="6"/>
        <v>2039</v>
      </c>
      <c r="J45" s="88"/>
      <c r="K45" s="41">
        <v>2.1000000000000001E-2</v>
      </c>
    </row>
    <row r="46" spans="2:14">
      <c r="C46" s="88">
        <f t="shared" si="4"/>
        <v>2022</v>
      </c>
      <c r="D46" s="41">
        <v>2.4E-2</v>
      </c>
      <c r="E46" s="86"/>
      <c r="F46" s="88">
        <f t="shared" si="5"/>
        <v>2031</v>
      </c>
      <c r="G46" s="41">
        <v>0.02</v>
      </c>
      <c r="H46" s="86"/>
      <c r="I46" s="88">
        <f t="shared" si="6"/>
        <v>2040</v>
      </c>
      <c r="J46" s="88"/>
      <c r="K46" s="41">
        <v>2.1000000000000001E-2</v>
      </c>
    </row>
    <row r="47" spans="2:14" s="124" customFormat="1">
      <c r="C47" s="88">
        <f t="shared" si="4"/>
        <v>2023</v>
      </c>
      <c r="D47" s="41">
        <v>2.4E-2</v>
      </c>
      <c r="E47" s="87"/>
      <c r="F47" s="88">
        <f t="shared" si="5"/>
        <v>2032</v>
      </c>
      <c r="G47" s="41">
        <v>0.02</v>
      </c>
      <c r="H47" s="87"/>
      <c r="I47" s="88">
        <f t="shared" si="6"/>
        <v>2041</v>
      </c>
      <c r="J47" s="88"/>
      <c r="K47" s="41">
        <v>2.1999999999999999E-2</v>
      </c>
      <c r="N47" s="176"/>
    </row>
    <row r="48" spans="2:14" s="124" customFormat="1">
      <c r="C48" s="88">
        <f t="shared" si="4"/>
        <v>2024</v>
      </c>
      <c r="D48" s="41">
        <v>2.3E-2</v>
      </c>
      <c r="E48" s="87"/>
      <c r="F48" s="88">
        <f t="shared" si="5"/>
        <v>2033</v>
      </c>
      <c r="G48" s="41">
        <v>0.02</v>
      </c>
      <c r="H48" s="87"/>
      <c r="I48" s="88">
        <f t="shared" si="6"/>
        <v>2042</v>
      </c>
      <c r="J48" s="88"/>
      <c r="K48" s="41">
        <v>2.1999999999999999E-2</v>
      </c>
      <c r="N48" s="176"/>
    </row>
    <row r="49" spans="3:14" s="124" customFormat="1">
      <c r="C49" s="88">
        <f t="shared" si="4"/>
        <v>2025</v>
      </c>
      <c r="D49" s="41">
        <v>2.3E-2</v>
      </c>
      <c r="E49" s="87"/>
      <c r="F49" s="88">
        <f t="shared" si="5"/>
        <v>2034</v>
      </c>
      <c r="G49" s="41">
        <v>0.02</v>
      </c>
      <c r="H49" s="87"/>
      <c r="I49" s="88">
        <f t="shared" si="6"/>
        <v>2043</v>
      </c>
      <c r="J49" s="88"/>
      <c r="K49" s="41">
        <v>2.1999999999999999E-2</v>
      </c>
      <c r="N49" s="176"/>
    </row>
    <row r="50" spans="3:14" s="124" customFormat="1">
      <c r="N50" s="176"/>
    </row>
    <row r="51" spans="3:14" s="124" customFormat="1">
      <c r="N51" s="176"/>
    </row>
    <row r="68" spans="3:4">
      <c r="C68" s="157"/>
      <c r="D68" s="161"/>
    </row>
    <row r="69" spans="3:4">
      <c r="C69" s="157"/>
      <c r="D69" s="161"/>
    </row>
    <row r="70" spans="3:4">
      <c r="C70" s="157"/>
      <c r="D70" s="161"/>
    </row>
    <row r="71" spans="3:4">
      <c r="C71" s="157"/>
      <c r="D71" s="161"/>
    </row>
    <row r="72" spans="3:4">
      <c r="C72" s="157"/>
      <c r="D72" s="161"/>
    </row>
    <row r="73" spans="3:4">
      <c r="C73" s="157"/>
      <c r="D73" s="161"/>
    </row>
    <row r="74" spans="3:4">
      <c r="C74" s="157"/>
      <c r="D74" s="161"/>
    </row>
    <row r="75" spans="3:4">
      <c r="C75" s="157"/>
      <c r="D75" s="161"/>
    </row>
    <row r="76" spans="3:4">
      <c r="C76" s="157"/>
      <c r="D76" s="161"/>
    </row>
    <row r="77" spans="3:4">
      <c r="C77" s="157"/>
      <c r="D77" s="161"/>
    </row>
  </sheetData>
  <mergeCells count="1">
    <mergeCell ref="B36:C36"/>
  </mergeCells>
  <printOptions horizontalCentered="1"/>
  <pageMargins left="0.8" right="0.3" top="0.4" bottom="0.4" header="0.5" footer="0.2"/>
  <pageSetup scale="7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0" style="122" hidden="1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123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31%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26" t="s">
        <v>89</v>
      </c>
      <c r="J5" s="17" t="s">
        <v>55</v>
      </c>
      <c r="K5" s="126" t="s">
        <v>72</v>
      </c>
      <c r="P5" s="126" t="s">
        <v>71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26</v>
      </c>
    </row>
    <row r="8" spans="2:18" ht="6" customHeight="1">
      <c r="K8" s="124"/>
    </row>
    <row r="9" spans="2:18" ht="15.75">
      <c r="B9" s="43" t="str">
        <f>C52</f>
        <v>2017 IRP Update Utah Wind Resource - 31%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224"/>
      <c r="N10" s="136"/>
      <c r="P10" s="170">
        <f>$C$59</f>
        <v>0</v>
      </c>
    </row>
    <row r="11" spans="2:18">
      <c r="B11" s="131">
        <f t="shared" ref="B11:B36" si="0">B10+1</f>
        <v>2017</v>
      </c>
      <c r="C11" s="137"/>
      <c r="D11" s="133"/>
      <c r="E11" s="133">
        <f>$C$56</f>
        <v>37.570551305416139</v>
      </c>
      <c r="F11" s="134">
        <f t="shared" ref="F11:F36" si="1">(D11+E11)/(8.76*$C$63)</f>
        <v>13.835082967085043</v>
      </c>
      <c r="G11" s="134">
        <f>$C$58</f>
        <v>0</v>
      </c>
      <c r="H11" s="133">
        <f>ROUND(H10*(1+$D66),2)</f>
        <v>0</v>
      </c>
      <c r="I11" s="135">
        <f t="shared" ref="I11:I36" si="2">F11+H11+G11</f>
        <v>13.835082967085043</v>
      </c>
      <c r="J11" s="135">
        <f t="shared" ref="J11:J36" si="3">ROUND(I11*$C$63*8.76,2)</f>
        <v>37.57</v>
      </c>
      <c r="K11" s="133">
        <f>$C$57</f>
        <v>0.58600709999999989</v>
      </c>
      <c r="N11" s="136"/>
      <c r="P11" s="170">
        <f>ROUND(P10*(1+$D66),2)</f>
        <v>0</v>
      </c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38.43</v>
      </c>
      <c r="F12" s="135">
        <f t="shared" si="1"/>
        <v>14.151568714096333</v>
      </c>
      <c r="G12" s="133">
        <f t="shared" ref="G12:H19" si="5">ROUND(G11*(1+$D67),2)</f>
        <v>0</v>
      </c>
      <c r="H12" s="143">
        <f t="shared" si="5"/>
        <v>0</v>
      </c>
      <c r="I12" s="135">
        <f t="shared" si="2"/>
        <v>14.151568714096333</v>
      </c>
      <c r="J12" s="135">
        <f t="shared" si="3"/>
        <v>38.43</v>
      </c>
      <c r="K12" s="133">
        <f t="shared" ref="K12:K19" si="6">ROUND(K11*(1+$D67),2)</f>
        <v>0.6</v>
      </c>
      <c r="L12" s="124"/>
      <c r="N12" s="136"/>
      <c r="P12" s="170">
        <f t="shared" ref="P12:P19" si="7">ROUND(P11*(1+$D67),2)</f>
        <v>0</v>
      </c>
    </row>
    <row r="13" spans="2:18">
      <c r="B13" s="141">
        <f t="shared" si="0"/>
        <v>2019</v>
      </c>
      <c r="C13" s="142"/>
      <c r="D13" s="133"/>
      <c r="E13" s="133">
        <f t="shared" si="4"/>
        <v>39.28</v>
      </c>
      <c r="F13" s="135">
        <f t="shared" si="1"/>
        <v>14.464575047871559</v>
      </c>
      <c r="G13" s="133">
        <f t="shared" si="5"/>
        <v>0</v>
      </c>
      <c r="H13" s="143">
        <f t="shared" si="5"/>
        <v>0</v>
      </c>
      <c r="I13" s="135">
        <f t="shared" si="2"/>
        <v>14.464575047871559</v>
      </c>
      <c r="J13" s="135">
        <f t="shared" si="3"/>
        <v>39.28</v>
      </c>
      <c r="K13" s="133">
        <f t="shared" si="6"/>
        <v>0.61</v>
      </c>
      <c r="L13" s="124"/>
      <c r="N13" s="136"/>
      <c r="P13" s="170">
        <f t="shared" si="7"/>
        <v>0</v>
      </c>
    </row>
    <row r="14" spans="2:18">
      <c r="B14" s="141">
        <f t="shared" si="0"/>
        <v>2020</v>
      </c>
      <c r="C14" s="142"/>
      <c r="D14" s="133"/>
      <c r="E14" s="133">
        <f t="shared" si="4"/>
        <v>40.26</v>
      </c>
      <c r="F14" s="135">
        <f t="shared" si="1"/>
        <v>14.82545293857711</v>
      </c>
      <c r="G14" s="133">
        <f t="shared" si="5"/>
        <v>0</v>
      </c>
      <c r="H14" s="143">
        <f t="shared" si="5"/>
        <v>0</v>
      </c>
      <c r="I14" s="135">
        <f t="shared" si="2"/>
        <v>14.82545293857711</v>
      </c>
      <c r="J14" s="135">
        <f t="shared" si="3"/>
        <v>40.26</v>
      </c>
      <c r="K14" s="133">
        <f t="shared" si="6"/>
        <v>0.63</v>
      </c>
      <c r="L14" s="124"/>
      <c r="N14" s="136"/>
      <c r="O14" s="138"/>
      <c r="P14" s="170">
        <f t="shared" si="7"/>
        <v>0</v>
      </c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41.23</v>
      </c>
      <c r="F15" s="135">
        <f t="shared" si="1"/>
        <v>15.182648401826484</v>
      </c>
      <c r="G15" s="133">
        <f t="shared" si="5"/>
        <v>0</v>
      </c>
      <c r="H15" s="143">
        <f t="shared" si="5"/>
        <v>0</v>
      </c>
      <c r="I15" s="135">
        <f t="shared" si="2"/>
        <v>15.182648401826484</v>
      </c>
      <c r="J15" s="135">
        <f t="shared" si="3"/>
        <v>41.23</v>
      </c>
      <c r="K15" s="133">
        <f t="shared" si="6"/>
        <v>0.65</v>
      </c>
      <c r="L15" s="124"/>
      <c r="N15" s="139"/>
      <c r="O15" s="139"/>
      <c r="P15" s="170">
        <f t="shared" si="7"/>
        <v>0</v>
      </c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42.22</v>
      </c>
      <c r="F16" s="135">
        <f t="shared" si="1"/>
        <v>15.547208719988218</v>
      </c>
      <c r="G16" s="133">
        <f t="shared" si="5"/>
        <v>0</v>
      </c>
      <c r="H16" s="143">
        <f t="shared" si="5"/>
        <v>0</v>
      </c>
      <c r="I16" s="135">
        <f t="shared" si="2"/>
        <v>15.547208719988218</v>
      </c>
      <c r="J16" s="135">
        <f t="shared" si="3"/>
        <v>42.22</v>
      </c>
      <c r="K16" s="133">
        <f t="shared" si="6"/>
        <v>0.67</v>
      </c>
      <c r="L16" s="124"/>
      <c r="N16" s="136"/>
      <c r="P16" s="170">
        <f t="shared" si="7"/>
        <v>0</v>
      </c>
    </row>
    <row r="17" spans="2:17">
      <c r="B17" s="141">
        <f t="shared" si="0"/>
        <v>2023</v>
      </c>
      <c r="C17" s="142"/>
      <c r="D17" s="133"/>
      <c r="E17" s="133">
        <f t="shared" si="4"/>
        <v>43.23</v>
      </c>
      <c r="F17" s="135">
        <f t="shared" si="1"/>
        <v>15.919133893062307</v>
      </c>
      <c r="G17" s="133">
        <f t="shared" si="5"/>
        <v>0</v>
      </c>
      <c r="H17" s="143">
        <f t="shared" si="5"/>
        <v>0</v>
      </c>
      <c r="I17" s="135">
        <f t="shared" si="2"/>
        <v>15.919133893062307</v>
      </c>
      <c r="J17" s="135">
        <f t="shared" si="3"/>
        <v>43.23</v>
      </c>
      <c r="K17" s="133">
        <f t="shared" si="6"/>
        <v>0.69</v>
      </c>
      <c r="L17" s="124"/>
      <c r="N17" s="136"/>
      <c r="O17" s="138"/>
      <c r="P17" s="170">
        <f t="shared" si="7"/>
        <v>0</v>
      </c>
    </row>
    <row r="18" spans="2:17">
      <c r="B18" s="141">
        <f t="shared" si="0"/>
        <v>2024</v>
      </c>
      <c r="C18" s="142"/>
      <c r="D18" s="133"/>
      <c r="E18" s="133">
        <f t="shared" si="4"/>
        <v>44.22</v>
      </c>
      <c r="F18" s="135">
        <f t="shared" si="1"/>
        <v>16.283694211224041</v>
      </c>
      <c r="G18" s="133">
        <f t="shared" si="5"/>
        <v>0</v>
      </c>
      <c r="H18" s="143">
        <f t="shared" si="5"/>
        <v>0</v>
      </c>
      <c r="I18" s="135">
        <f t="shared" si="2"/>
        <v>16.283694211224041</v>
      </c>
      <c r="J18" s="135">
        <f t="shared" si="3"/>
        <v>44.22</v>
      </c>
      <c r="K18" s="133">
        <f t="shared" si="6"/>
        <v>0.71</v>
      </c>
      <c r="L18" s="124"/>
      <c r="P18" s="170">
        <f t="shared" si="7"/>
        <v>0</v>
      </c>
    </row>
    <row r="19" spans="2:17">
      <c r="B19" s="141">
        <f t="shared" si="0"/>
        <v>2025</v>
      </c>
      <c r="C19" s="142"/>
      <c r="D19" s="133"/>
      <c r="E19" s="133">
        <f t="shared" si="4"/>
        <v>45.24</v>
      </c>
      <c r="F19" s="135">
        <f t="shared" si="1"/>
        <v>16.659301811754311</v>
      </c>
      <c r="G19" s="133">
        <f t="shared" si="5"/>
        <v>0</v>
      </c>
      <c r="H19" s="143">
        <f t="shared" si="5"/>
        <v>0</v>
      </c>
      <c r="I19" s="135">
        <f t="shared" si="2"/>
        <v>16.659301811754311</v>
      </c>
      <c r="J19" s="135">
        <f t="shared" si="3"/>
        <v>45.24</v>
      </c>
      <c r="K19" s="133">
        <f t="shared" si="6"/>
        <v>0.73</v>
      </c>
      <c r="L19" s="124"/>
      <c r="P19" s="170">
        <f t="shared" si="7"/>
        <v>0</v>
      </c>
    </row>
    <row r="20" spans="2:17">
      <c r="B20" s="141">
        <f t="shared" si="0"/>
        <v>2026</v>
      </c>
      <c r="C20" s="142"/>
      <c r="D20" s="133"/>
      <c r="E20" s="133">
        <f t="shared" ref="E20:E23" si="8">ROUND(E19*(1+$G66),2)</f>
        <v>46.24</v>
      </c>
      <c r="F20" s="135">
        <f t="shared" si="1"/>
        <v>17.02754455737222</v>
      </c>
      <c r="G20" s="133">
        <f t="shared" ref="G20:H23" si="9">ROUND(G19*(1+$G66),2)</f>
        <v>0</v>
      </c>
      <c r="H20" s="143">
        <f t="shared" si="9"/>
        <v>0</v>
      </c>
      <c r="I20" s="135">
        <f t="shared" si="2"/>
        <v>17.02754455737222</v>
      </c>
      <c r="J20" s="135">
        <f t="shared" si="3"/>
        <v>46.24</v>
      </c>
      <c r="K20" s="133">
        <f t="shared" ref="K20:K23" si="10">ROUND(K19*(1+$G66),2)</f>
        <v>0.75</v>
      </c>
      <c r="L20" s="124"/>
      <c r="P20" s="170">
        <f t="shared" ref="P20:P28" si="11">ROUND(P19*(1+$G66),2)</f>
        <v>0</v>
      </c>
      <c r="Q20" s="171"/>
    </row>
    <row r="21" spans="2:17">
      <c r="B21" s="141">
        <f t="shared" si="0"/>
        <v>2027</v>
      </c>
      <c r="C21" s="142"/>
      <c r="D21" s="133"/>
      <c r="E21" s="133">
        <f t="shared" si="8"/>
        <v>47.26</v>
      </c>
      <c r="F21" s="135">
        <f t="shared" si="1"/>
        <v>17.40315215790249</v>
      </c>
      <c r="G21" s="133">
        <f t="shared" si="9"/>
        <v>0</v>
      </c>
      <c r="H21" s="143">
        <f t="shared" si="9"/>
        <v>0</v>
      </c>
      <c r="I21" s="135">
        <f t="shared" si="2"/>
        <v>17.40315215790249</v>
      </c>
      <c r="J21" s="135">
        <f t="shared" si="3"/>
        <v>47.26</v>
      </c>
      <c r="K21" s="133">
        <f t="shared" si="10"/>
        <v>0.77</v>
      </c>
      <c r="L21" s="124"/>
      <c r="P21" s="170">
        <f t="shared" si="11"/>
        <v>0</v>
      </c>
    </row>
    <row r="22" spans="2:17">
      <c r="B22" s="141">
        <f t="shared" si="0"/>
        <v>2028</v>
      </c>
      <c r="C22" s="142"/>
      <c r="D22" s="133"/>
      <c r="E22" s="133">
        <f t="shared" si="8"/>
        <v>48.3</v>
      </c>
      <c r="F22" s="135">
        <f t="shared" si="1"/>
        <v>17.786124613345116</v>
      </c>
      <c r="G22" s="133">
        <f t="shared" si="9"/>
        <v>0</v>
      </c>
      <c r="H22" s="143">
        <f t="shared" si="9"/>
        <v>0</v>
      </c>
      <c r="I22" s="135">
        <f t="shared" si="2"/>
        <v>17.786124613345116</v>
      </c>
      <c r="J22" s="135">
        <f t="shared" si="3"/>
        <v>48.3</v>
      </c>
      <c r="K22" s="133">
        <f t="shared" si="10"/>
        <v>0.79</v>
      </c>
      <c r="L22" s="124"/>
      <c r="P22" s="170">
        <f t="shared" si="11"/>
        <v>0</v>
      </c>
    </row>
    <row r="23" spans="2:17">
      <c r="B23" s="141">
        <f t="shared" si="0"/>
        <v>2029</v>
      </c>
      <c r="C23" s="142"/>
      <c r="D23" s="133"/>
      <c r="E23" s="133">
        <f t="shared" si="8"/>
        <v>49.31</v>
      </c>
      <c r="F23" s="135">
        <f t="shared" si="1"/>
        <v>18.158049786419209</v>
      </c>
      <c r="G23" s="133">
        <f t="shared" si="9"/>
        <v>0</v>
      </c>
      <c r="H23" s="143">
        <f t="shared" si="9"/>
        <v>0</v>
      </c>
      <c r="I23" s="135">
        <f t="shared" si="2"/>
        <v>18.158049786419209</v>
      </c>
      <c r="J23" s="135">
        <f t="shared" si="3"/>
        <v>49.31</v>
      </c>
      <c r="K23" s="133">
        <f t="shared" si="10"/>
        <v>0.81</v>
      </c>
      <c r="L23" s="124"/>
      <c r="P23" s="170">
        <f t="shared" si="11"/>
        <v>0</v>
      </c>
    </row>
    <row r="24" spans="2:17">
      <c r="B24" s="141">
        <f t="shared" si="0"/>
        <v>2030</v>
      </c>
      <c r="C24" s="142">
        <f>$C$55</f>
        <v>1351.8149072293081</v>
      </c>
      <c r="D24" s="133">
        <f>C24*$C$62</f>
        <v>96.059849537504135</v>
      </c>
      <c r="E24" s="133">
        <f t="shared" ref="E24" si="12">ROUND(E23*(1+$K61),2)</f>
        <v>49.31</v>
      </c>
      <c r="F24" s="135">
        <f t="shared" ref="F24:F29" si="13">(D24+E24)/(8.76*$C$63)</f>
        <v>53.531392523753183</v>
      </c>
      <c r="G24" s="133">
        <f t="shared" ref="G24:H24" si="14">ROUND(G23*(1+$K61),2)</f>
        <v>0</v>
      </c>
      <c r="H24" s="143">
        <f t="shared" si="14"/>
        <v>0</v>
      </c>
      <c r="I24" s="135">
        <f t="shared" ref="I24:I29" si="15">F24+H24+G24</f>
        <v>53.531392523753183</v>
      </c>
      <c r="J24" s="135">
        <f t="shared" ref="J24:J29" si="16">ROUND(I24*$C$63*8.76,2)</f>
        <v>145.37</v>
      </c>
      <c r="K24" s="133">
        <f t="shared" ref="K24:K29" si="17">ROUND(K23*(1+$K61),2)</f>
        <v>0.81</v>
      </c>
      <c r="L24" s="124"/>
      <c r="P24" s="170">
        <f t="shared" si="11"/>
        <v>0</v>
      </c>
    </row>
    <row r="25" spans="2:17">
      <c r="B25" s="141">
        <f t="shared" si="0"/>
        <v>2031</v>
      </c>
      <c r="C25" s="142"/>
      <c r="D25" s="133">
        <f t="shared" ref="D25" si="18">ROUND(D24*(1+$K62),2)</f>
        <v>96.06</v>
      </c>
      <c r="E25" s="133">
        <f t="shared" ref="E25" si="19">ROUND(E24*(1+$K62),2)</f>
        <v>49.31</v>
      </c>
      <c r="F25" s="135">
        <f t="shared" si="13"/>
        <v>53.531447930475778</v>
      </c>
      <c r="G25" s="133">
        <f t="shared" ref="G25:H25" si="20">ROUND(G24*(1+$K62),2)</f>
        <v>0</v>
      </c>
      <c r="H25" s="143">
        <f t="shared" si="20"/>
        <v>0</v>
      </c>
      <c r="I25" s="135">
        <f t="shared" si="15"/>
        <v>53.531447930475778</v>
      </c>
      <c r="J25" s="135">
        <f t="shared" si="16"/>
        <v>145.37</v>
      </c>
      <c r="K25" s="133">
        <f t="shared" si="17"/>
        <v>0.81</v>
      </c>
      <c r="L25" s="124"/>
      <c r="P25" s="170">
        <f t="shared" si="11"/>
        <v>0</v>
      </c>
    </row>
    <row r="26" spans="2:17">
      <c r="B26" s="141">
        <f t="shared" si="0"/>
        <v>2032</v>
      </c>
      <c r="C26" s="142"/>
      <c r="D26" s="133">
        <f t="shared" ref="D26" si="21">ROUND(D25*(1+$K63),2)</f>
        <v>96.06</v>
      </c>
      <c r="E26" s="133">
        <f t="shared" ref="E26" si="22">ROUND(E25*(1+$K63),2)</f>
        <v>49.31</v>
      </c>
      <c r="F26" s="135">
        <f t="shared" si="13"/>
        <v>53.531447930475778</v>
      </c>
      <c r="G26" s="133">
        <f t="shared" ref="G26:H26" si="23">ROUND(G25*(1+$K63),2)</f>
        <v>0</v>
      </c>
      <c r="H26" s="143">
        <f t="shared" si="23"/>
        <v>0</v>
      </c>
      <c r="I26" s="135">
        <f t="shared" si="15"/>
        <v>53.531447930475778</v>
      </c>
      <c r="J26" s="135">
        <f t="shared" si="16"/>
        <v>145.37</v>
      </c>
      <c r="K26" s="133">
        <f t="shared" si="17"/>
        <v>0.81</v>
      </c>
      <c r="L26" s="124"/>
      <c r="P26" s="170">
        <f t="shared" si="11"/>
        <v>0</v>
      </c>
    </row>
    <row r="27" spans="2:17">
      <c r="B27" s="141">
        <f t="shared" si="0"/>
        <v>2033</v>
      </c>
      <c r="C27" s="142"/>
      <c r="D27" s="133">
        <f t="shared" ref="D27" si="24">ROUND(D26*(1+$K64),2)</f>
        <v>96.06</v>
      </c>
      <c r="E27" s="133">
        <f t="shared" ref="E27" si="25">ROUND(E26*(1+$K64),2)</f>
        <v>49.31</v>
      </c>
      <c r="F27" s="135">
        <f t="shared" si="13"/>
        <v>53.531447930475778</v>
      </c>
      <c r="G27" s="133">
        <f t="shared" ref="G27:H27" si="26">ROUND(G26*(1+$K64),2)</f>
        <v>0</v>
      </c>
      <c r="H27" s="143">
        <f t="shared" si="26"/>
        <v>0</v>
      </c>
      <c r="I27" s="135">
        <f t="shared" si="15"/>
        <v>53.531447930475778</v>
      </c>
      <c r="J27" s="135">
        <f t="shared" si="16"/>
        <v>145.37</v>
      </c>
      <c r="K27" s="133">
        <f t="shared" si="17"/>
        <v>0.81</v>
      </c>
      <c r="L27" s="124"/>
      <c r="P27" s="170">
        <f t="shared" si="11"/>
        <v>0</v>
      </c>
    </row>
    <row r="28" spans="2:17">
      <c r="B28" s="141">
        <f t="shared" si="0"/>
        <v>2034</v>
      </c>
      <c r="C28" s="142"/>
      <c r="D28" s="133">
        <f t="shared" ref="D28" si="27">ROUND(D27*(1+$K65),2)</f>
        <v>96.06</v>
      </c>
      <c r="E28" s="133">
        <f t="shared" ref="E28" si="28">ROUND(E27*(1+$K65),2)</f>
        <v>49.31</v>
      </c>
      <c r="F28" s="135">
        <f t="shared" si="13"/>
        <v>53.531447930475778</v>
      </c>
      <c r="G28" s="133">
        <f t="shared" ref="G28:H28" si="29">ROUND(G27*(1+$K65),2)</f>
        <v>0</v>
      </c>
      <c r="H28" s="143">
        <f t="shared" si="29"/>
        <v>0</v>
      </c>
      <c r="I28" s="135">
        <f t="shared" si="15"/>
        <v>53.531447930475778</v>
      </c>
      <c r="J28" s="135">
        <f t="shared" si="16"/>
        <v>145.37</v>
      </c>
      <c r="K28" s="133">
        <f t="shared" si="17"/>
        <v>0.81</v>
      </c>
      <c r="L28" s="124"/>
      <c r="P28" s="170">
        <f t="shared" si="11"/>
        <v>0</v>
      </c>
    </row>
    <row r="29" spans="2:17">
      <c r="B29" s="141">
        <f t="shared" si="0"/>
        <v>2035</v>
      </c>
      <c r="C29" s="142"/>
      <c r="D29" s="133">
        <f t="shared" ref="D29" si="30">ROUND(D28*(1+$K66),2)</f>
        <v>97.98</v>
      </c>
      <c r="E29" s="133">
        <f t="shared" ref="E29" si="31">ROUND(E28*(1+$K66),2)</f>
        <v>50.3</v>
      </c>
      <c r="F29" s="135">
        <f t="shared" si="13"/>
        <v>54.603034320223898</v>
      </c>
      <c r="G29" s="133">
        <f t="shared" ref="G29:H29" si="32">ROUND(G28*(1+$K66),2)</f>
        <v>0</v>
      </c>
      <c r="H29" s="143">
        <f t="shared" si="32"/>
        <v>0</v>
      </c>
      <c r="I29" s="135">
        <f t="shared" si="15"/>
        <v>54.603034320223898</v>
      </c>
      <c r="J29" s="135">
        <f t="shared" si="16"/>
        <v>148.28</v>
      </c>
      <c r="K29" s="133">
        <f t="shared" si="17"/>
        <v>0.83</v>
      </c>
      <c r="L29" s="124"/>
      <c r="P29" s="170">
        <f>ROUND(P28*(1+$K66),2)</f>
        <v>0</v>
      </c>
    </row>
    <row r="30" spans="2:17">
      <c r="B30" s="141">
        <f t="shared" si="0"/>
        <v>2036</v>
      </c>
      <c r="C30" s="142"/>
      <c r="D30" s="133">
        <f t="shared" ref="D30" si="33">ROUND(D29*(1+$K67),2)</f>
        <v>99.94</v>
      </c>
      <c r="E30" s="133">
        <f t="shared" ref="D30:E36" si="34">ROUND(E29*(1+$K67),2)</f>
        <v>51.31</v>
      </c>
      <c r="F30" s="135">
        <f t="shared" si="1"/>
        <v>55.696715274709092</v>
      </c>
      <c r="G30" s="133">
        <f t="shared" ref="G30:H36" si="35">ROUND(G29*(1+$K67),2)</f>
        <v>0</v>
      </c>
      <c r="H30" s="143">
        <f t="shared" si="35"/>
        <v>0</v>
      </c>
      <c r="I30" s="135">
        <f t="shared" si="2"/>
        <v>55.696715274709092</v>
      </c>
      <c r="J30" s="135">
        <f t="shared" si="3"/>
        <v>151.25</v>
      </c>
      <c r="K30" s="133">
        <f t="shared" ref="K30:K36" si="36">ROUND(K29*(1+$K67),2)</f>
        <v>0.85</v>
      </c>
      <c r="L30" s="124"/>
      <c r="P30" s="170">
        <f t="shared" ref="P30:P36" si="37">ROUND(P29*(1+$K67),2)</f>
        <v>0</v>
      </c>
    </row>
    <row r="31" spans="2:17">
      <c r="B31" s="141">
        <f t="shared" si="0"/>
        <v>2037</v>
      </c>
      <c r="C31" s="142"/>
      <c r="D31" s="133">
        <f t="shared" si="34"/>
        <v>102.04</v>
      </c>
      <c r="E31" s="133">
        <f t="shared" si="34"/>
        <v>52.39</v>
      </c>
      <c r="F31" s="135">
        <f t="shared" si="1"/>
        <v>56.867727205774052</v>
      </c>
      <c r="G31" s="133">
        <f t="shared" si="35"/>
        <v>0</v>
      </c>
      <c r="H31" s="143">
        <f t="shared" si="35"/>
        <v>0</v>
      </c>
      <c r="I31" s="135">
        <f t="shared" si="2"/>
        <v>56.867727205774052</v>
      </c>
      <c r="J31" s="135">
        <f t="shared" si="3"/>
        <v>154.43</v>
      </c>
      <c r="K31" s="133">
        <f t="shared" si="36"/>
        <v>0.87</v>
      </c>
      <c r="L31" s="124"/>
      <c r="P31" s="170">
        <f t="shared" si="37"/>
        <v>0</v>
      </c>
    </row>
    <row r="32" spans="2:17">
      <c r="B32" s="141">
        <f t="shared" si="0"/>
        <v>2038</v>
      </c>
      <c r="C32" s="142"/>
      <c r="D32" s="133">
        <f t="shared" ref="D32" si="38">ROUND(D31*(1+$K69),2)</f>
        <v>104.18</v>
      </c>
      <c r="E32" s="133">
        <f t="shared" si="34"/>
        <v>53.49</v>
      </c>
      <c r="F32" s="135">
        <f t="shared" si="1"/>
        <v>58.060833701576087</v>
      </c>
      <c r="G32" s="133">
        <f t="shared" si="35"/>
        <v>0</v>
      </c>
      <c r="H32" s="143">
        <f t="shared" si="35"/>
        <v>0</v>
      </c>
      <c r="I32" s="135">
        <f t="shared" si="2"/>
        <v>58.060833701576087</v>
      </c>
      <c r="J32" s="135">
        <f t="shared" si="3"/>
        <v>157.66999999999999</v>
      </c>
      <c r="K32" s="133">
        <f t="shared" si="36"/>
        <v>0.89</v>
      </c>
      <c r="L32" s="124"/>
      <c r="P32" s="170">
        <f t="shared" si="37"/>
        <v>0</v>
      </c>
    </row>
    <row r="33" spans="2:16">
      <c r="B33" s="141">
        <f t="shared" si="0"/>
        <v>2039</v>
      </c>
      <c r="C33" s="142"/>
      <c r="D33" s="133">
        <f t="shared" ref="D33" si="39">ROUND(D32*(1+$K70),2)</f>
        <v>106.37</v>
      </c>
      <c r="E33" s="133">
        <f t="shared" si="34"/>
        <v>54.61</v>
      </c>
      <c r="F33" s="135">
        <f t="shared" si="1"/>
        <v>59.279717189571379</v>
      </c>
      <c r="G33" s="133">
        <f t="shared" si="35"/>
        <v>0</v>
      </c>
      <c r="H33" s="143">
        <f t="shared" si="35"/>
        <v>0</v>
      </c>
      <c r="I33" s="135">
        <f t="shared" si="2"/>
        <v>59.279717189571379</v>
      </c>
      <c r="J33" s="135">
        <f t="shared" si="3"/>
        <v>160.97999999999999</v>
      </c>
      <c r="K33" s="133">
        <f t="shared" si="36"/>
        <v>0.91</v>
      </c>
      <c r="L33" s="124"/>
      <c r="P33" s="170">
        <f t="shared" si="37"/>
        <v>0</v>
      </c>
    </row>
    <row r="34" spans="2:16">
      <c r="B34" s="141">
        <f t="shared" si="0"/>
        <v>2040</v>
      </c>
      <c r="C34" s="142"/>
      <c r="D34" s="133">
        <f t="shared" ref="D34" si="40">ROUND(D33*(1+$K71),2)</f>
        <v>108.6</v>
      </c>
      <c r="E34" s="133">
        <f t="shared" si="34"/>
        <v>55.76</v>
      </c>
      <c r="F34" s="135">
        <f t="shared" si="1"/>
        <v>60.524377669759907</v>
      </c>
      <c r="G34" s="133">
        <f t="shared" si="35"/>
        <v>0</v>
      </c>
      <c r="H34" s="143">
        <f t="shared" si="35"/>
        <v>0</v>
      </c>
      <c r="I34" s="135">
        <f t="shared" si="2"/>
        <v>60.524377669759907</v>
      </c>
      <c r="J34" s="135">
        <f t="shared" si="3"/>
        <v>164.36</v>
      </c>
      <c r="K34" s="133">
        <f t="shared" si="36"/>
        <v>0.93</v>
      </c>
      <c r="L34" s="124"/>
      <c r="P34" s="170">
        <f t="shared" si="37"/>
        <v>0</v>
      </c>
    </row>
    <row r="35" spans="2:16">
      <c r="B35" s="141">
        <f t="shared" si="0"/>
        <v>2041</v>
      </c>
      <c r="C35" s="142"/>
      <c r="D35" s="133">
        <f t="shared" ref="D35" si="41">ROUND(D34*(1+$K72),2)</f>
        <v>110.99</v>
      </c>
      <c r="E35" s="133">
        <f t="shared" si="34"/>
        <v>56.99</v>
      </c>
      <c r="F35" s="135">
        <f t="shared" si="1"/>
        <v>61.857416408896746</v>
      </c>
      <c r="G35" s="133">
        <f t="shared" si="35"/>
        <v>0</v>
      </c>
      <c r="H35" s="143">
        <f t="shared" si="35"/>
        <v>0</v>
      </c>
      <c r="I35" s="135">
        <f t="shared" si="2"/>
        <v>61.857416408896746</v>
      </c>
      <c r="J35" s="135">
        <f t="shared" si="3"/>
        <v>167.98</v>
      </c>
      <c r="K35" s="133">
        <f t="shared" si="36"/>
        <v>0.95</v>
      </c>
      <c r="L35" s="124"/>
      <c r="P35" s="170">
        <f t="shared" si="37"/>
        <v>0</v>
      </c>
    </row>
    <row r="36" spans="2:16">
      <c r="B36" s="141">
        <f t="shared" si="0"/>
        <v>2042</v>
      </c>
      <c r="C36" s="142"/>
      <c r="D36" s="133">
        <f t="shared" ref="D36" si="42">ROUND(D35*(1+$K73),2)</f>
        <v>113.43</v>
      </c>
      <c r="E36" s="133">
        <f t="shared" si="34"/>
        <v>58.24</v>
      </c>
      <c r="F36" s="135">
        <f t="shared" si="1"/>
        <v>63.21623214022685</v>
      </c>
      <c r="G36" s="133">
        <f t="shared" si="35"/>
        <v>0</v>
      </c>
      <c r="H36" s="143">
        <f t="shared" si="35"/>
        <v>0</v>
      </c>
      <c r="I36" s="135">
        <f t="shared" si="2"/>
        <v>63.21623214022685</v>
      </c>
      <c r="J36" s="135">
        <f t="shared" si="3"/>
        <v>171.67</v>
      </c>
      <c r="K36" s="133">
        <f t="shared" si="36"/>
        <v>0.97</v>
      </c>
      <c r="L36" s="124"/>
      <c r="P36" s="170">
        <f t="shared" si="37"/>
        <v>0</v>
      </c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tr">
        <f>'Table 3 EV2020 Wind_2020'!D44</f>
        <v>Plant Costs  - 2017 IRP Update - Table 5.4 &amp; 5.5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0.0710599128799291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31.0%)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(i)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Utah Wind Resource - 31%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76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120</v>
      </c>
      <c r="C55" s="186">
        <v>1351.8149072293081</v>
      </c>
      <c r="D55" s="122" t="s">
        <v>75</v>
      </c>
      <c r="H55" s="122" t="s">
        <v>9</v>
      </c>
    </row>
    <row r="56" spans="2:24">
      <c r="B56" s="86" t="s">
        <v>112</v>
      </c>
      <c r="C56" s="155">
        <v>37.570551305416139</v>
      </c>
      <c r="D56" s="122" t="s">
        <v>78</v>
      </c>
      <c r="H56" s="122" t="s">
        <v>9</v>
      </c>
    </row>
    <row r="57" spans="2:24">
      <c r="B57" s="86" t="s">
        <v>112</v>
      </c>
      <c r="C57" s="160">
        <v>0.58600709999999989</v>
      </c>
      <c r="D57" s="122" t="s">
        <v>83</v>
      </c>
      <c r="H57" s="122" t="s">
        <v>80</v>
      </c>
    </row>
    <row r="58" spans="2:24">
      <c r="B58" s="86" t="s">
        <v>112</v>
      </c>
      <c r="C58" s="155">
        <v>0</v>
      </c>
      <c r="D58" s="122" t="s">
        <v>79</v>
      </c>
      <c r="H58" s="122" t="s">
        <v>80</v>
      </c>
      <c r="K58" s="124"/>
      <c r="L58" s="156"/>
      <c r="M58" s="52"/>
      <c r="N58" s="157"/>
      <c r="O58" s="52"/>
      <c r="P58" s="157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158"/>
      <c r="L59" s="158"/>
      <c r="M59" s="159"/>
      <c r="N59" s="160"/>
      <c r="O59" s="157"/>
      <c r="P59" s="161"/>
      <c r="Q59" s="124"/>
      <c r="R59" s="124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124"/>
      <c r="O60" s="157"/>
      <c r="P60" s="161"/>
      <c r="Q60" s="124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24"/>
      <c r="O61" s="158"/>
      <c r="P61" s="161"/>
      <c r="S61" s="124"/>
      <c r="T61" s="124"/>
      <c r="U61" s="124"/>
      <c r="V61" s="124"/>
      <c r="W61" s="124"/>
      <c r="X61" s="124"/>
    </row>
    <row r="62" spans="2:24">
      <c r="C62" s="163">
        <v>7.1059912879929146E-2</v>
      </c>
      <c r="D62" s="122" t="s">
        <v>38</v>
      </c>
      <c r="K62" s="164"/>
      <c r="L62" s="165"/>
      <c r="M62" s="165"/>
      <c r="O62" s="166"/>
    </row>
    <row r="63" spans="2:24">
      <c r="C63" s="167">
        <v>0.31</v>
      </c>
      <c r="D63" s="122" t="s">
        <v>39</v>
      </c>
      <c r="G63" s="223"/>
      <c r="H63" s="222"/>
    </row>
    <row r="64" spans="2:24" ht="13.5" thickBot="1">
      <c r="D64" s="161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43">C66+1</f>
        <v>2018</v>
      </c>
      <c r="D67" s="41">
        <v>2.3E-2</v>
      </c>
      <c r="E67" s="86"/>
      <c r="F67" s="88">
        <f t="shared" ref="F67:F74" si="44">F66+1</f>
        <v>2027</v>
      </c>
      <c r="G67" s="41">
        <v>2.1999999999999999E-2</v>
      </c>
      <c r="H67" s="86"/>
      <c r="I67" s="88">
        <f t="shared" ref="I67:I74" si="45">I66+1</f>
        <v>2036</v>
      </c>
      <c r="J67" s="88"/>
      <c r="K67" s="41">
        <v>0.02</v>
      </c>
    </row>
    <row r="68" spans="3:11">
      <c r="C68" s="88">
        <f t="shared" si="43"/>
        <v>2019</v>
      </c>
      <c r="D68" s="41">
        <v>2.1999999999999999E-2</v>
      </c>
      <c r="E68" s="86"/>
      <c r="F68" s="88">
        <f t="shared" si="44"/>
        <v>2028</v>
      </c>
      <c r="G68" s="41">
        <v>2.1999999999999999E-2</v>
      </c>
      <c r="H68" s="86"/>
      <c r="I68" s="88">
        <f t="shared" si="45"/>
        <v>2037</v>
      </c>
      <c r="J68" s="88"/>
      <c r="K68" s="41">
        <v>2.1000000000000001E-2</v>
      </c>
    </row>
    <row r="69" spans="3:11">
      <c r="C69" s="88">
        <f t="shared" si="43"/>
        <v>2020</v>
      </c>
      <c r="D69" s="41">
        <v>2.5000000000000001E-2</v>
      </c>
      <c r="E69" s="86"/>
      <c r="F69" s="88">
        <f t="shared" si="44"/>
        <v>2029</v>
      </c>
      <c r="G69" s="41">
        <v>2.1000000000000001E-2</v>
      </c>
      <c r="H69" s="86"/>
      <c r="I69" s="88">
        <f t="shared" si="45"/>
        <v>2038</v>
      </c>
      <c r="J69" s="88"/>
      <c r="K69" s="41">
        <v>2.1000000000000001E-2</v>
      </c>
    </row>
    <row r="70" spans="3:11">
      <c r="C70" s="88">
        <f t="shared" si="43"/>
        <v>2021</v>
      </c>
      <c r="D70" s="41">
        <v>2.4E-2</v>
      </c>
      <c r="E70" s="86"/>
      <c r="F70" s="88">
        <f t="shared" si="44"/>
        <v>2030</v>
      </c>
      <c r="G70" s="41">
        <v>0.02</v>
      </c>
      <c r="H70" s="86"/>
      <c r="I70" s="88">
        <f t="shared" si="45"/>
        <v>2039</v>
      </c>
      <c r="J70" s="88"/>
      <c r="K70" s="41">
        <v>2.1000000000000001E-2</v>
      </c>
    </row>
    <row r="71" spans="3:11">
      <c r="C71" s="88">
        <f t="shared" si="43"/>
        <v>2022</v>
      </c>
      <c r="D71" s="41">
        <v>2.4E-2</v>
      </c>
      <c r="E71" s="86"/>
      <c r="F71" s="88">
        <f t="shared" si="44"/>
        <v>2031</v>
      </c>
      <c r="G71" s="41">
        <v>0.02</v>
      </c>
      <c r="H71" s="86"/>
      <c r="I71" s="88">
        <f t="shared" si="45"/>
        <v>2040</v>
      </c>
      <c r="J71" s="88"/>
      <c r="K71" s="41">
        <v>2.1000000000000001E-2</v>
      </c>
    </row>
    <row r="72" spans="3:11" s="124" customFormat="1">
      <c r="C72" s="88">
        <f t="shared" si="43"/>
        <v>2023</v>
      </c>
      <c r="D72" s="41">
        <v>2.4E-2</v>
      </c>
      <c r="E72" s="87"/>
      <c r="F72" s="88">
        <f t="shared" si="44"/>
        <v>2032</v>
      </c>
      <c r="G72" s="41">
        <v>0.02</v>
      </c>
      <c r="H72" s="87"/>
      <c r="I72" s="88">
        <f t="shared" si="45"/>
        <v>2041</v>
      </c>
      <c r="J72" s="88"/>
      <c r="K72" s="41">
        <v>2.1999999999999999E-2</v>
      </c>
    </row>
    <row r="73" spans="3:11" s="124" customFormat="1">
      <c r="C73" s="88">
        <f t="shared" si="43"/>
        <v>2024</v>
      </c>
      <c r="D73" s="41">
        <v>2.3E-2</v>
      </c>
      <c r="E73" s="87"/>
      <c r="F73" s="88">
        <f t="shared" si="44"/>
        <v>2033</v>
      </c>
      <c r="G73" s="41">
        <v>0.02</v>
      </c>
      <c r="H73" s="87"/>
      <c r="I73" s="88">
        <f t="shared" si="45"/>
        <v>2042</v>
      </c>
      <c r="J73" s="88"/>
      <c r="K73" s="41">
        <v>2.1999999999999999E-2</v>
      </c>
    </row>
    <row r="74" spans="3:11" s="124" customFormat="1">
      <c r="C74" s="88">
        <f t="shared" si="43"/>
        <v>2025</v>
      </c>
      <c r="D74" s="41">
        <v>2.3E-2</v>
      </c>
      <c r="E74" s="87"/>
      <c r="F74" s="88">
        <f t="shared" si="44"/>
        <v>2034</v>
      </c>
      <c r="G74" s="41">
        <v>0.02</v>
      </c>
      <c r="H74" s="87"/>
      <c r="I74" s="88">
        <f t="shared" si="45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landscape" r:id="rId1"/>
  <headerFooter alignWithMargins="0"/>
  <rowBreaks count="1" manualBreakCount="1">
    <brk id="51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0" style="122" hidden="1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122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TEXT($G$63,"0%")&amp;" Capacity Factor"</f>
        <v>41%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70</v>
      </c>
      <c r="G5" s="17" t="s">
        <v>13</v>
      </c>
      <c r="H5" s="126" t="s">
        <v>71</v>
      </c>
      <c r="I5" s="126" t="s">
        <v>89</v>
      </c>
      <c r="J5" s="17" t="s">
        <v>55</v>
      </c>
      <c r="K5" s="126" t="s">
        <v>72</v>
      </c>
      <c r="P5" s="126" t="s">
        <v>71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26</v>
      </c>
    </row>
    <row r="8" spans="2:18" ht="6" customHeight="1">
      <c r="K8" s="124"/>
    </row>
    <row r="9" spans="2:18" ht="15.75">
      <c r="B9" s="43" t="str">
        <f>C52</f>
        <v>2017 IRP Update Wyoming DJ Wind Resource - 41%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224"/>
      <c r="N10" s="136"/>
      <c r="P10" s="170">
        <f>$C$59</f>
        <v>0</v>
      </c>
    </row>
    <row r="11" spans="2:18">
      <c r="B11" s="131">
        <f t="shared" ref="B11:B36" si="0">B10+1</f>
        <v>2017</v>
      </c>
      <c r="C11" s="137"/>
      <c r="D11" s="133"/>
      <c r="E11" s="133">
        <f>$C$56</f>
        <v>37.565582271006477</v>
      </c>
      <c r="F11" s="134">
        <f t="shared" ref="F11:F36" si="1">(D11+E11)/(8.76*$G$63)</f>
        <v>10.383313507083287</v>
      </c>
      <c r="G11" s="134">
        <f>$C$58</f>
        <v>0.65</v>
      </c>
      <c r="H11" s="133">
        <f>ROUND(H10*(1+$D66),2)</f>
        <v>0</v>
      </c>
      <c r="I11" s="135">
        <f t="shared" ref="I11:I36" si="2">F11+H11+G11</f>
        <v>11.033313507083287</v>
      </c>
      <c r="J11" s="135">
        <f t="shared" ref="J11:J36" si="3">ROUND(I11*$G$63*8.76,2)</f>
        <v>39.92</v>
      </c>
      <c r="K11" s="133">
        <f>$C$57</f>
        <v>0.58600709999999989</v>
      </c>
      <c r="N11" s="136"/>
      <c r="P11" s="170">
        <f>ROUND(P10*(1+$D66),2)</f>
        <v>0</v>
      </c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38.43</v>
      </c>
      <c r="F12" s="135">
        <f t="shared" si="1"/>
        <v>10.622242860459718</v>
      </c>
      <c r="G12" s="133">
        <f t="shared" ref="G12:G19" si="5">ROUND(G11*(1+$D67),2)</f>
        <v>0.66</v>
      </c>
      <c r="H12" s="143">
        <f t="shared" ref="H12" si="6">ROUND(H11*(1+$D67),2)</f>
        <v>0</v>
      </c>
      <c r="I12" s="135">
        <f t="shared" si="2"/>
        <v>11.282242860459718</v>
      </c>
      <c r="J12" s="135">
        <f t="shared" si="3"/>
        <v>40.82</v>
      </c>
      <c r="K12" s="133">
        <f t="shared" ref="K12:K19" si="7">ROUND(K11*(1+$D67),2)</f>
        <v>0.6</v>
      </c>
      <c r="L12" s="124"/>
      <c r="N12" s="136"/>
      <c r="P12" s="170">
        <f t="shared" ref="P12:P19" si="8">ROUND(P11*(1+$D67),2)</f>
        <v>0</v>
      </c>
    </row>
    <row r="13" spans="2:18">
      <c r="B13" s="141">
        <f t="shared" si="0"/>
        <v>2019</v>
      </c>
      <c r="C13" s="142"/>
      <c r="D13" s="133"/>
      <c r="E13" s="133">
        <f t="shared" si="4"/>
        <v>39.28</v>
      </c>
      <c r="F13" s="135">
        <f t="shared" si="1"/>
        <v>10.857187081937489</v>
      </c>
      <c r="G13" s="133">
        <f t="shared" si="5"/>
        <v>0.67</v>
      </c>
      <c r="H13" s="143">
        <f t="shared" ref="H13" si="9">ROUND(H12*(1+$D68),2)</f>
        <v>0</v>
      </c>
      <c r="I13" s="135">
        <f t="shared" si="2"/>
        <v>11.527187081937489</v>
      </c>
      <c r="J13" s="135">
        <f t="shared" si="3"/>
        <v>41.7</v>
      </c>
      <c r="K13" s="133">
        <f t="shared" si="7"/>
        <v>0.61</v>
      </c>
      <c r="L13" s="124"/>
      <c r="N13" s="136"/>
      <c r="P13" s="170">
        <f t="shared" si="8"/>
        <v>0</v>
      </c>
    </row>
    <row r="14" spans="2:18">
      <c r="B14" s="141">
        <f t="shared" si="0"/>
        <v>2020</v>
      </c>
      <c r="C14" s="142"/>
      <c r="D14" s="133"/>
      <c r="E14" s="133">
        <f t="shared" si="4"/>
        <v>40.26</v>
      </c>
      <c r="F14" s="135">
        <f t="shared" si="1"/>
        <v>11.128063949053038</v>
      </c>
      <c r="G14" s="133">
        <f t="shared" si="5"/>
        <v>0.69</v>
      </c>
      <c r="H14" s="143">
        <f t="shared" ref="H14" si="10">ROUND(H13*(1+$D69),2)</f>
        <v>0</v>
      </c>
      <c r="I14" s="135">
        <f t="shared" si="2"/>
        <v>11.818063949053037</v>
      </c>
      <c r="J14" s="135">
        <f t="shared" si="3"/>
        <v>42.76</v>
      </c>
      <c r="K14" s="133">
        <f t="shared" si="7"/>
        <v>0.63</v>
      </c>
      <c r="L14" s="124"/>
      <c r="N14" s="136"/>
      <c r="O14" s="138"/>
      <c r="P14" s="170">
        <f t="shared" si="8"/>
        <v>0</v>
      </c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41.23</v>
      </c>
      <c r="F15" s="135">
        <f t="shared" si="1"/>
        <v>11.396176766504141</v>
      </c>
      <c r="G15" s="133">
        <f t="shared" si="5"/>
        <v>0.71</v>
      </c>
      <c r="H15" s="143">
        <f t="shared" ref="H15" si="11">ROUND(H14*(1+$D70),2)</f>
        <v>0</v>
      </c>
      <c r="I15" s="135">
        <f t="shared" si="2"/>
        <v>12.106176766504142</v>
      </c>
      <c r="J15" s="135">
        <f t="shared" si="3"/>
        <v>43.8</v>
      </c>
      <c r="K15" s="133">
        <f t="shared" si="7"/>
        <v>0.65</v>
      </c>
      <c r="L15" s="124"/>
      <c r="N15" s="139"/>
      <c r="O15" s="139"/>
      <c r="P15" s="170">
        <f t="shared" si="8"/>
        <v>0</v>
      </c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42.22</v>
      </c>
      <c r="F16" s="135">
        <f t="shared" si="1"/>
        <v>11.669817683284135</v>
      </c>
      <c r="G16" s="133">
        <f t="shared" si="5"/>
        <v>0.73</v>
      </c>
      <c r="H16" s="143">
        <f t="shared" ref="H16" si="12">ROUND(H15*(1+$D71),2)</f>
        <v>0</v>
      </c>
      <c r="I16" s="135">
        <f t="shared" si="2"/>
        <v>12.399817683284136</v>
      </c>
      <c r="J16" s="135">
        <f t="shared" si="3"/>
        <v>44.86</v>
      </c>
      <c r="K16" s="133">
        <f t="shared" si="7"/>
        <v>0.67</v>
      </c>
      <c r="L16" s="124"/>
      <c r="N16" s="136"/>
      <c r="P16" s="170">
        <f t="shared" si="8"/>
        <v>0</v>
      </c>
    </row>
    <row r="17" spans="2:17">
      <c r="B17" s="141">
        <f t="shared" si="0"/>
        <v>2023</v>
      </c>
      <c r="C17" s="142"/>
      <c r="D17" s="133"/>
      <c r="E17" s="133">
        <f t="shared" si="4"/>
        <v>43.23</v>
      </c>
      <c r="F17" s="135">
        <f t="shared" si="1"/>
        <v>11.948986699393016</v>
      </c>
      <c r="G17" s="133">
        <f t="shared" si="5"/>
        <v>0.75</v>
      </c>
      <c r="H17" s="143">
        <f t="shared" ref="H17" si="13">ROUND(H16*(1+$D72),2)</f>
        <v>0</v>
      </c>
      <c r="I17" s="135">
        <f t="shared" si="2"/>
        <v>12.698986699393016</v>
      </c>
      <c r="J17" s="135">
        <f t="shared" si="3"/>
        <v>45.94</v>
      </c>
      <c r="K17" s="133">
        <f t="shared" si="7"/>
        <v>0.69</v>
      </c>
      <c r="L17" s="124"/>
      <c r="N17" s="136"/>
      <c r="O17" s="138"/>
      <c r="P17" s="170">
        <f t="shared" si="8"/>
        <v>0</v>
      </c>
    </row>
    <row r="18" spans="2:17">
      <c r="B18" s="141">
        <f t="shared" si="0"/>
        <v>2024</v>
      </c>
      <c r="C18" s="142"/>
      <c r="D18" s="133"/>
      <c r="E18" s="133">
        <f t="shared" si="4"/>
        <v>44.22</v>
      </c>
      <c r="F18" s="135">
        <f t="shared" si="1"/>
        <v>12.222627616173009</v>
      </c>
      <c r="G18" s="133">
        <f t="shared" si="5"/>
        <v>0.77</v>
      </c>
      <c r="H18" s="143">
        <f t="shared" ref="H18" si="14">ROUND(H17*(1+$D73),2)</f>
        <v>0</v>
      </c>
      <c r="I18" s="135">
        <f t="shared" si="2"/>
        <v>12.992627616173008</v>
      </c>
      <c r="J18" s="135">
        <f t="shared" si="3"/>
        <v>47.01</v>
      </c>
      <c r="K18" s="133">
        <f t="shared" si="7"/>
        <v>0.71</v>
      </c>
      <c r="L18" s="124"/>
      <c r="P18" s="170">
        <f t="shared" si="8"/>
        <v>0</v>
      </c>
    </row>
    <row r="19" spans="2:17">
      <c r="B19" s="141">
        <f t="shared" si="0"/>
        <v>2025</v>
      </c>
      <c r="C19" s="142"/>
      <c r="D19" s="133"/>
      <c r="E19" s="133">
        <f t="shared" si="4"/>
        <v>45.24</v>
      </c>
      <c r="F19" s="135">
        <f t="shared" si="1"/>
        <v>12.504560681946336</v>
      </c>
      <c r="G19" s="133">
        <f t="shared" si="5"/>
        <v>0.79</v>
      </c>
      <c r="H19" s="143">
        <f t="shared" ref="H19" si="15">ROUND(H18*(1+$D74),2)</f>
        <v>0</v>
      </c>
      <c r="I19" s="135">
        <f t="shared" si="2"/>
        <v>13.294560681946336</v>
      </c>
      <c r="J19" s="135">
        <f t="shared" si="3"/>
        <v>48.1</v>
      </c>
      <c r="K19" s="133">
        <f t="shared" si="7"/>
        <v>0.73</v>
      </c>
      <c r="L19" s="124"/>
      <c r="P19" s="170">
        <f t="shared" si="8"/>
        <v>0</v>
      </c>
    </row>
    <row r="20" spans="2:17">
      <c r="B20" s="141">
        <f t="shared" si="0"/>
        <v>2026</v>
      </c>
      <c r="C20" s="142"/>
      <c r="D20" s="133"/>
      <c r="E20" s="133">
        <f t="shared" ref="E20:E28" si="16">ROUND(E19*(1+$G66),2)</f>
        <v>46.24</v>
      </c>
      <c r="F20" s="135">
        <f t="shared" si="1"/>
        <v>12.780965648390772</v>
      </c>
      <c r="G20" s="133">
        <f t="shared" ref="G20:G28" si="17">ROUND(G19*(1+$G66),2)</f>
        <v>0.81</v>
      </c>
      <c r="H20" s="143">
        <f t="shared" ref="H20:H28" si="18">ROUND(H19*(1+$G66),2)</f>
        <v>0</v>
      </c>
      <c r="I20" s="135">
        <f t="shared" si="2"/>
        <v>13.590965648390773</v>
      </c>
      <c r="J20" s="135">
        <f t="shared" si="3"/>
        <v>49.17</v>
      </c>
      <c r="K20" s="133">
        <f t="shared" ref="K20:K28" si="19">ROUND(K19*(1+$G66),2)</f>
        <v>0.75</v>
      </c>
      <c r="L20" s="124"/>
      <c r="P20" s="170">
        <f t="shared" ref="P20:P28" si="20">ROUND(P19*(1+$G66),2)</f>
        <v>0</v>
      </c>
      <c r="Q20" s="171"/>
    </row>
    <row r="21" spans="2:17">
      <c r="B21" s="141">
        <f t="shared" si="0"/>
        <v>2027</v>
      </c>
      <c r="C21" s="142"/>
      <c r="D21" s="133"/>
      <c r="E21" s="133">
        <f t="shared" si="16"/>
        <v>47.26</v>
      </c>
      <c r="F21" s="135">
        <f t="shared" si="1"/>
        <v>13.062898714164097</v>
      </c>
      <c r="G21" s="133">
        <f t="shared" si="17"/>
        <v>0.83</v>
      </c>
      <c r="H21" s="143">
        <f t="shared" si="18"/>
        <v>0</v>
      </c>
      <c r="I21" s="135">
        <f t="shared" si="2"/>
        <v>13.892898714164097</v>
      </c>
      <c r="J21" s="135">
        <f t="shared" si="3"/>
        <v>50.26</v>
      </c>
      <c r="K21" s="133">
        <f t="shared" si="19"/>
        <v>0.77</v>
      </c>
      <c r="L21" s="124"/>
      <c r="P21" s="170">
        <f t="shared" si="20"/>
        <v>0</v>
      </c>
    </row>
    <row r="22" spans="2:17">
      <c r="B22" s="141">
        <f t="shared" si="0"/>
        <v>2028</v>
      </c>
      <c r="C22" s="142"/>
      <c r="D22" s="133"/>
      <c r="E22" s="133">
        <f t="shared" si="16"/>
        <v>48.3</v>
      </c>
      <c r="F22" s="135">
        <f t="shared" si="1"/>
        <v>13.350359879266312</v>
      </c>
      <c r="G22" s="133">
        <f t="shared" si="17"/>
        <v>0.85</v>
      </c>
      <c r="H22" s="143">
        <f t="shared" si="18"/>
        <v>0</v>
      </c>
      <c r="I22" s="135">
        <f t="shared" si="2"/>
        <v>14.200359879266312</v>
      </c>
      <c r="J22" s="135">
        <f t="shared" si="3"/>
        <v>51.38</v>
      </c>
      <c r="K22" s="133">
        <f t="shared" si="19"/>
        <v>0.79</v>
      </c>
      <c r="L22" s="124"/>
      <c r="P22" s="170">
        <f t="shared" si="20"/>
        <v>0</v>
      </c>
    </row>
    <row r="23" spans="2:17">
      <c r="B23" s="141">
        <f t="shared" si="0"/>
        <v>2029</v>
      </c>
      <c r="C23" s="142"/>
      <c r="D23" s="133"/>
      <c r="E23" s="133">
        <f t="shared" si="16"/>
        <v>49.31</v>
      </c>
      <c r="F23" s="135">
        <f t="shared" si="1"/>
        <v>13.629528895375195</v>
      </c>
      <c r="G23" s="133">
        <f t="shared" si="17"/>
        <v>0.87</v>
      </c>
      <c r="H23" s="143">
        <f t="shared" si="18"/>
        <v>0</v>
      </c>
      <c r="I23" s="135">
        <f t="shared" si="2"/>
        <v>14.499528895375194</v>
      </c>
      <c r="J23" s="135">
        <f t="shared" si="3"/>
        <v>52.46</v>
      </c>
      <c r="K23" s="133">
        <f t="shared" si="19"/>
        <v>0.81</v>
      </c>
      <c r="L23" s="124"/>
      <c r="P23" s="170">
        <f t="shared" si="20"/>
        <v>0</v>
      </c>
    </row>
    <row r="24" spans="2:17">
      <c r="B24" s="141">
        <f t="shared" si="0"/>
        <v>2030</v>
      </c>
      <c r="C24" s="142">
        <f>$C$55</f>
        <v>1353.2739183554006</v>
      </c>
      <c r="D24" s="133">
        <f>C24*$C$62</f>
        <v>96.163526741015119</v>
      </c>
      <c r="E24" s="133">
        <f t="shared" si="16"/>
        <v>50.3</v>
      </c>
      <c r="F24" s="135">
        <f t="shared" si="1"/>
        <v>40.483246194184204</v>
      </c>
      <c r="G24" s="133">
        <f t="shared" si="17"/>
        <v>0.89</v>
      </c>
      <c r="H24" s="143">
        <f t="shared" si="18"/>
        <v>0</v>
      </c>
      <c r="I24" s="135">
        <f t="shared" si="2"/>
        <v>41.373246194184205</v>
      </c>
      <c r="J24" s="135">
        <f t="shared" si="3"/>
        <v>149.68</v>
      </c>
      <c r="K24" s="133">
        <f t="shared" si="19"/>
        <v>0.83</v>
      </c>
      <c r="L24" s="124"/>
      <c r="P24" s="170">
        <f t="shared" si="20"/>
        <v>0</v>
      </c>
    </row>
    <row r="25" spans="2:17">
      <c r="B25" s="141">
        <f t="shared" si="0"/>
        <v>2031</v>
      </c>
      <c r="C25" s="142"/>
      <c r="D25" s="133">
        <f t="shared" ref="D25:D28" si="21">ROUND(D24*(1+$G71),2)</f>
        <v>98.09</v>
      </c>
      <c r="E25" s="133">
        <f t="shared" si="16"/>
        <v>51.31</v>
      </c>
      <c r="F25" s="135">
        <f t="shared" si="1"/>
        <v>41.294901986798905</v>
      </c>
      <c r="G25" s="133">
        <f t="shared" si="17"/>
        <v>0.91</v>
      </c>
      <c r="H25" s="143">
        <f t="shared" si="18"/>
        <v>0</v>
      </c>
      <c r="I25" s="135">
        <f t="shared" si="2"/>
        <v>42.204901986798902</v>
      </c>
      <c r="J25" s="135">
        <f t="shared" si="3"/>
        <v>152.69</v>
      </c>
      <c r="K25" s="133">
        <f t="shared" si="19"/>
        <v>0.85</v>
      </c>
      <c r="L25" s="124"/>
      <c r="P25" s="170">
        <f t="shared" si="20"/>
        <v>0</v>
      </c>
    </row>
    <row r="26" spans="2:17">
      <c r="B26" s="141">
        <f t="shared" si="0"/>
        <v>2032</v>
      </c>
      <c r="C26" s="142"/>
      <c r="D26" s="133">
        <f t="shared" si="21"/>
        <v>100.05</v>
      </c>
      <c r="E26" s="133">
        <f t="shared" si="16"/>
        <v>52.34</v>
      </c>
      <c r="F26" s="135">
        <f t="shared" si="1"/>
        <v>42.121352836467764</v>
      </c>
      <c r="G26" s="133">
        <f t="shared" si="17"/>
        <v>0.93</v>
      </c>
      <c r="H26" s="143">
        <f t="shared" si="18"/>
        <v>0</v>
      </c>
      <c r="I26" s="135">
        <f t="shared" si="2"/>
        <v>43.051352836467764</v>
      </c>
      <c r="J26" s="135">
        <f t="shared" si="3"/>
        <v>155.75</v>
      </c>
      <c r="K26" s="133">
        <f t="shared" si="19"/>
        <v>0.87</v>
      </c>
      <c r="L26" s="124"/>
      <c r="P26" s="170">
        <f t="shared" si="20"/>
        <v>0</v>
      </c>
    </row>
    <row r="27" spans="2:17">
      <c r="B27" s="141">
        <f t="shared" si="0"/>
        <v>2033</v>
      </c>
      <c r="C27" s="142"/>
      <c r="D27" s="133">
        <f t="shared" si="21"/>
        <v>102.05</v>
      </c>
      <c r="E27" s="133">
        <f t="shared" si="16"/>
        <v>53.39</v>
      </c>
      <c r="F27" s="135">
        <f t="shared" si="1"/>
        <v>42.964387984123306</v>
      </c>
      <c r="G27" s="133">
        <f t="shared" si="17"/>
        <v>0.95</v>
      </c>
      <c r="H27" s="143">
        <f t="shared" si="18"/>
        <v>0</v>
      </c>
      <c r="I27" s="135">
        <f t="shared" si="2"/>
        <v>43.914387984123309</v>
      </c>
      <c r="J27" s="135">
        <f t="shared" si="3"/>
        <v>158.88</v>
      </c>
      <c r="K27" s="133">
        <f t="shared" si="19"/>
        <v>0.89</v>
      </c>
      <c r="L27" s="124"/>
      <c r="P27" s="170">
        <f t="shared" si="20"/>
        <v>0</v>
      </c>
    </row>
    <row r="28" spans="2:17">
      <c r="B28" s="141">
        <f t="shared" si="0"/>
        <v>2034</v>
      </c>
      <c r="C28" s="142"/>
      <c r="D28" s="133">
        <f t="shared" si="21"/>
        <v>104.09</v>
      </c>
      <c r="E28" s="133">
        <f t="shared" si="16"/>
        <v>54.46</v>
      </c>
      <c r="F28" s="135">
        <f t="shared" si="1"/>
        <v>43.824007429765508</v>
      </c>
      <c r="G28" s="133">
        <f t="shared" si="17"/>
        <v>0.97</v>
      </c>
      <c r="H28" s="143">
        <f t="shared" si="18"/>
        <v>0</v>
      </c>
      <c r="I28" s="135">
        <f t="shared" si="2"/>
        <v>44.794007429765507</v>
      </c>
      <c r="J28" s="135">
        <f t="shared" si="3"/>
        <v>162.06</v>
      </c>
      <c r="K28" s="133">
        <f t="shared" si="19"/>
        <v>0.91</v>
      </c>
      <c r="L28" s="124"/>
      <c r="P28" s="170">
        <f t="shared" si="20"/>
        <v>0</v>
      </c>
    </row>
    <row r="29" spans="2:17">
      <c r="B29" s="141">
        <f t="shared" si="0"/>
        <v>2035</v>
      </c>
      <c r="C29" s="142"/>
      <c r="D29" s="133">
        <f t="shared" ref="D29:E36" si="22">ROUND(D28*(1+$K66),2)</f>
        <v>106.17</v>
      </c>
      <c r="E29" s="133">
        <f t="shared" si="22"/>
        <v>55.55</v>
      </c>
      <c r="F29" s="135">
        <f t="shared" si="1"/>
        <v>44.700211173394372</v>
      </c>
      <c r="G29" s="133">
        <f>ROUND(G28*(1+$K66),2)</f>
        <v>0.99</v>
      </c>
      <c r="H29" s="143">
        <f>ROUND(H28*(1+$K66),2)</f>
        <v>0</v>
      </c>
      <c r="I29" s="135">
        <f t="shared" si="2"/>
        <v>45.690211173394374</v>
      </c>
      <c r="J29" s="135">
        <f t="shared" si="3"/>
        <v>165.3</v>
      </c>
      <c r="K29" s="133">
        <f>ROUND(K28*(1+$K66),2)</f>
        <v>0.93</v>
      </c>
      <c r="L29" s="124"/>
      <c r="P29" s="170">
        <f>ROUND(P28*(1+$K66),2)</f>
        <v>0</v>
      </c>
    </row>
    <row r="30" spans="2:17">
      <c r="B30" s="141">
        <f t="shared" si="0"/>
        <v>2036</v>
      </c>
      <c r="C30" s="142"/>
      <c r="D30" s="133">
        <f t="shared" si="22"/>
        <v>108.29</v>
      </c>
      <c r="E30" s="133">
        <f t="shared" si="22"/>
        <v>56.66</v>
      </c>
      <c r="F30" s="135">
        <f t="shared" si="1"/>
        <v>45.592999215009897</v>
      </c>
      <c r="G30" s="133">
        <f t="shared" ref="G30:G36" si="23">ROUND(G29*(1+$K67),2)</f>
        <v>1.01</v>
      </c>
      <c r="H30" s="143">
        <f t="shared" ref="H30" si="24">ROUND(H29*(1+$K67),2)</f>
        <v>0</v>
      </c>
      <c r="I30" s="135">
        <f t="shared" si="2"/>
        <v>46.602999215009895</v>
      </c>
      <c r="J30" s="135">
        <f t="shared" si="3"/>
        <v>168.6</v>
      </c>
      <c r="K30" s="133">
        <f t="shared" ref="K30:K36" si="25">ROUND(K29*(1+$K67),2)</f>
        <v>0.95</v>
      </c>
      <c r="L30" s="124"/>
      <c r="P30" s="170">
        <f t="shared" ref="P30:P36" si="26">ROUND(P29*(1+$K67),2)</f>
        <v>0</v>
      </c>
    </row>
    <row r="31" spans="2:17">
      <c r="B31" s="141">
        <f t="shared" si="0"/>
        <v>2037</v>
      </c>
      <c r="C31" s="142"/>
      <c r="D31" s="133">
        <f t="shared" si="22"/>
        <v>110.56</v>
      </c>
      <c r="E31" s="133">
        <f t="shared" si="22"/>
        <v>57.85</v>
      </c>
      <c r="F31" s="135">
        <f t="shared" si="1"/>
        <v>46.549360398907652</v>
      </c>
      <c r="G31" s="133">
        <f t="shared" si="23"/>
        <v>1.03</v>
      </c>
      <c r="H31" s="143">
        <f t="shared" ref="H31" si="27">ROUND(H30*(1+$K68),2)</f>
        <v>0</v>
      </c>
      <c r="I31" s="135">
        <f t="shared" si="2"/>
        <v>47.579360398907653</v>
      </c>
      <c r="J31" s="135">
        <f t="shared" si="3"/>
        <v>172.14</v>
      </c>
      <c r="K31" s="133">
        <f t="shared" si="25"/>
        <v>0.97</v>
      </c>
      <c r="L31" s="124"/>
      <c r="P31" s="170">
        <f t="shared" si="26"/>
        <v>0</v>
      </c>
    </row>
    <row r="32" spans="2:17">
      <c r="B32" s="141">
        <f t="shared" si="0"/>
        <v>2038</v>
      </c>
      <c r="C32" s="142"/>
      <c r="D32" s="133">
        <f t="shared" si="22"/>
        <v>112.88</v>
      </c>
      <c r="E32" s="133">
        <f t="shared" si="22"/>
        <v>59.06</v>
      </c>
      <c r="F32" s="135">
        <f t="shared" si="1"/>
        <v>47.525069930456517</v>
      </c>
      <c r="G32" s="133">
        <f t="shared" si="23"/>
        <v>1.05</v>
      </c>
      <c r="H32" s="143">
        <f t="shared" ref="H32" si="28">ROUND(H31*(1+$K69),2)</f>
        <v>0</v>
      </c>
      <c r="I32" s="135">
        <f t="shared" si="2"/>
        <v>48.575069930456515</v>
      </c>
      <c r="J32" s="135">
        <f t="shared" si="3"/>
        <v>175.74</v>
      </c>
      <c r="K32" s="133">
        <f t="shared" si="25"/>
        <v>0.99</v>
      </c>
      <c r="L32" s="124"/>
      <c r="P32" s="170">
        <f t="shared" si="26"/>
        <v>0</v>
      </c>
    </row>
    <row r="33" spans="2:16">
      <c r="B33" s="141">
        <f t="shared" si="0"/>
        <v>2039</v>
      </c>
      <c r="C33" s="142"/>
      <c r="D33" s="133">
        <f t="shared" si="22"/>
        <v>115.25</v>
      </c>
      <c r="E33" s="133">
        <f t="shared" si="22"/>
        <v>60.3</v>
      </c>
      <c r="F33" s="135">
        <f t="shared" si="1"/>
        <v>48.522891859320936</v>
      </c>
      <c r="G33" s="133">
        <f t="shared" si="23"/>
        <v>1.07</v>
      </c>
      <c r="H33" s="143">
        <f t="shared" ref="H33" si="29">ROUND(H32*(1+$K70),2)</f>
        <v>0</v>
      </c>
      <c r="I33" s="135">
        <f t="shared" si="2"/>
        <v>49.592891859320936</v>
      </c>
      <c r="J33" s="135">
        <f t="shared" si="3"/>
        <v>179.42</v>
      </c>
      <c r="K33" s="133">
        <f t="shared" si="25"/>
        <v>1.01</v>
      </c>
      <c r="L33" s="124"/>
      <c r="P33" s="170">
        <f t="shared" si="26"/>
        <v>0</v>
      </c>
    </row>
    <row r="34" spans="2:16">
      <c r="B34" s="141">
        <f t="shared" si="0"/>
        <v>2040</v>
      </c>
      <c r="C34" s="142"/>
      <c r="D34" s="133">
        <f t="shared" si="22"/>
        <v>117.67</v>
      </c>
      <c r="E34" s="133">
        <f t="shared" si="22"/>
        <v>61.57</v>
      </c>
      <c r="F34" s="135">
        <f t="shared" si="1"/>
        <v>49.542826185500907</v>
      </c>
      <c r="G34" s="133">
        <f t="shared" si="23"/>
        <v>1.0900000000000001</v>
      </c>
      <c r="H34" s="143">
        <f t="shared" ref="H34" si="30">ROUND(H33*(1+$K71),2)</f>
        <v>0</v>
      </c>
      <c r="I34" s="135">
        <f t="shared" si="2"/>
        <v>50.63282618550091</v>
      </c>
      <c r="J34" s="135">
        <f t="shared" si="3"/>
        <v>183.18</v>
      </c>
      <c r="K34" s="133">
        <f t="shared" si="25"/>
        <v>1.03</v>
      </c>
      <c r="L34" s="124"/>
      <c r="P34" s="170">
        <f t="shared" si="26"/>
        <v>0</v>
      </c>
    </row>
    <row r="35" spans="2:16">
      <c r="B35" s="141">
        <f t="shared" si="0"/>
        <v>2041</v>
      </c>
      <c r="C35" s="142"/>
      <c r="D35" s="133">
        <f t="shared" si="22"/>
        <v>120.26</v>
      </c>
      <c r="E35" s="133">
        <f t="shared" si="22"/>
        <v>62.92</v>
      </c>
      <c r="F35" s="135">
        <f t="shared" si="1"/>
        <v>50.631861753291993</v>
      </c>
      <c r="G35" s="133">
        <f t="shared" si="23"/>
        <v>1.1100000000000001</v>
      </c>
      <c r="H35" s="143">
        <f t="shared" ref="H35" si="31">ROUND(H34*(1+$K72),2)</f>
        <v>0</v>
      </c>
      <c r="I35" s="135">
        <f t="shared" si="2"/>
        <v>51.741861753291992</v>
      </c>
      <c r="J35" s="135">
        <f t="shared" si="3"/>
        <v>187.2</v>
      </c>
      <c r="K35" s="133">
        <f t="shared" si="25"/>
        <v>1.05</v>
      </c>
      <c r="L35" s="124"/>
      <c r="P35" s="170">
        <f t="shared" si="26"/>
        <v>0</v>
      </c>
    </row>
    <row r="36" spans="2:16">
      <c r="B36" s="141">
        <f t="shared" si="0"/>
        <v>2042</v>
      </c>
      <c r="C36" s="142"/>
      <c r="D36" s="133">
        <f t="shared" si="22"/>
        <v>122.91</v>
      </c>
      <c r="E36" s="133">
        <f t="shared" si="22"/>
        <v>64.3</v>
      </c>
      <c r="F36" s="135">
        <f t="shared" si="1"/>
        <v>51.745773768063067</v>
      </c>
      <c r="G36" s="133">
        <f t="shared" si="23"/>
        <v>1.1299999999999999</v>
      </c>
      <c r="H36" s="143">
        <f t="shared" ref="H36" si="32">ROUND(H35*(1+$K73),2)</f>
        <v>0</v>
      </c>
      <c r="I36" s="135">
        <f t="shared" si="2"/>
        <v>52.87577376806307</v>
      </c>
      <c r="J36" s="135">
        <f t="shared" si="3"/>
        <v>191.3</v>
      </c>
      <c r="K36" s="133">
        <f t="shared" si="25"/>
        <v>1.07</v>
      </c>
      <c r="L36" s="124"/>
      <c r="P36" s="170">
        <f t="shared" si="26"/>
        <v>0</v>
      </c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73</v>
      </c>
      <c r="C44" s="147" t="s">
        <v>74</v>
      </c>
      <c r="D44" s="148" t="str">
        <f>'Table 3 EV2020 Wind_2020'!D44</f>
        <v>Plant Costs  - 2017 IRP Update - Table 5.4 &amp; 5.5</v>
      </c>
    </row>
    <row r="45" spans="2:16">
      <c r="C45" s="147" t="str">
        <f>C7</f>
        <v>(a)</v>
      </c>
      <c r="D45" s="122" t="s">
        <v>75</v>
      </c>
    </row>
    <row r="46" spans="2:16">
      <c r="C46" s="147" t="str">
        <f>D7</f>
        <v>(b)</v>
      </c>
      <c r="D46" s="135" t="str">
        <f>"= "&amp;C7&amp;" x "&amp;C62</f>
        <v>= (a) x 0.0710599128799291</v>
      </c>
    </row>
    <row r="47" spans="2:16">
      <c r="C47" s="147" t="str">
        <f>F7</f>
        <v>(d)</v>
      </c>
      <c r="D47" s="135" t="str">
        <f>"= ("&amp;$D$7&amp;" + "&amp;$E$7&amp;") /  (8.76 x "&amp;TEXT(G63,"0.0%")&amp;")"</f>
        <v>= ((b) + (c)) /  (8.76 x 41.3%)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(i)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Wyoming DJ Wind Resource - 41%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76</v>
      </c>
      <c r="D53" s="153" t="s">
        <v>77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120</v>
      </c>
      <c r="C55" s="186">
        <v>1353.2739183554006</v>
      </c>
      <c r="D55" s="122" t="s">
        <v>75</v>
      </c>
      <c r="H55" s="122" t="s">
        <v>9</v>
      </c>
    </row>
    <row r="56" spans="2:24">
      <c r="B56" s="86" t="s">
        <v>112</v>
      </c>
      <c r="C56" s="155">
        <v>37.565582271006477</v>
      </c>
      <c r="D56" s="122" t="s">
        <v>78</v>
      </c>
      <c r="H56" s="122" t="s">
        <v>9</v>
      </c>
    </row>
    <row r="57" spans="2:24">
      <c r="B57" s="86" t="s">
        <v>112</v>
      </c>
      <c r="C57" s="160">
        <v>0.58600709999999989</v>
      </c>
      <c r="D57" s="122" t="s">
        <v>83</v>
      </c>
      <c r="H57" s="122" t="s">
        <v>80</v>
      </c>
    </row>
    <row r="58" spans="2:24">
      <c r="B58" s="86" t="s">
        <v>112</v>
      </c>
      <c r="C58" s="155">
        <v>0.65</v>
      </c>
      <c r="D58" s="122" t="s">
        <v>79</v>
      </c>
      <c r="H58" s="122" t="s">
        <v>80</v>
      </c>
      <c r="K58" s="124"/>
      <c r="L58" s="156"/>
      <c r="M58" s="52"/>
      <c r="N58" s="157"/>
      <c r="O58" s="52"/>
      <c r="P58" s="157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112</v>
      </c>
      <c r="C59" s="168"/>
      <c r="D59" s="122" t="s">
        <v>81</v>
      </c>
      <c r="H59" s="122" t="s">
        <v>80</v>
      </c>
      <c r="K59" s="158"/>
      <c r="L59" s="158"/>
      <c r="M59" s="159"/>
      <c r="N59" s="160"/>
      <c r="O59" s="157"/>
      <c r="P59" s="161"/>
      <c r="Q59" s="124"/>
      <c r="R59" s="124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124"/>
      <c r="O60" s="157"/>
      <c r="P60" s="161"/>
      <c r="Q60" s="124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24"/>
      <c r="O61" s="158"/>
      <c r="P61" s="161"/>
      <c r="S61" s="124"/>
      <c r="T61" s="124"/>
      <c r="U61" s="124"/>
      <c r="V61" s="124"/>
      <c r="W61" s="124"/>
      <c r="X61" s="124"/>
    </row>
    <row r="62" spans="2:24">
      <c r="C62" s="163">
        <v>7.1059912879929146E-2</v>
      </c>
      <c r="D62" s="122" t="s">
        <v>38</v>
      </c>
      <c r="K62" s="164"/>
      <c r="L62" s="165"/>
      <c r="M62" s="165"/>
      <c r="O62" s="166"/>
    </row>
    <row r="63" spans="2:24">
      <c r="C63" s="223">
        <v>0.43118737343656394</v>
      </c>
      <c r="D63" s="122" t="s">
        <v>39</v>
      </c>
      <c r="G63" s="226">
        <v>0.41299999999999998</v>
      </c>
      <c r="H63" s="122" t="s">
        <v>146</v>
      </c>
    </row>
    <row r="64" spans="2:24" ht="13.5" thickBot="1">
      <c r="D64" s="161"/>
    </row>
    <row r="65" spans="3:11" ht="13.5" thickBot="1">
      <c r="C65" s="40" t="str">
        <f>"Company Official Inflation Forecast Dated "&amp;TEXT('Table 4'!$G$5,"mmmm dd, yyyy")</f>
        <v>Company Official Inflation Forecast Dated June 29,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0.02</v>
      </c>
      <c r="E66" s="86"/>
      <c r="F66" s="88">
        <f>C74+1</f>
        <v>2026</v>
      </c>
      <c r="G66" s="41">
        <v>2.1999999999999999E-2</v>
      </c>
      <c r="H66" s="86"/>
      <c r="I66" s="88">
        <f>F74+1</f>
        <v>2035</v>
      </c>
      <c r="J66" s="88"/>
      <c r="K66" s="41">
        <v>0.02</v>
      </c>
    </row>
    <row r="67" spans="3:11">
      <c r="C67" s="88">
        <f t="shared" ref="C67:C74" si="33">C66+1</f>
        <v>2018</v>
      </c>
      <c r="D67" s="41">
        <v>2.3E-2</v>
      </c>
      <c r="E67" s="86"/>
      <c r="F67" s="88">
        <f t="shared" ref="F67:F74" si="34">F66+1</f>
        <v>2027</v>
      </c>
      <c r="G67" s="41">
        <v>2.1999999999999999E-2</v>
      </c>
      <c r="H67" s="86"/>
      <c r="I67" s="88">
        <f t="shared" ref="I67:I74" si="35">I66+1</f>
        <v>2036</v>
      </c>
      <c r="J67" s="88"/>
      <c r="K67" s="41">
        <v>0.02</v>
      </c>
    </row>
    <row r="68" spans="3:11">
      <c r="C68" s="88">
        <f t="shared" si="33"/>
        <v>2019</v>
      </c>
      <c r="D68" s="41">
        <v>2.1999999999999999E-2</v>
      </c>
      <c r="E68" s="86"/>
      <c r="F68" s="88">
        <f t="shared" si="34"/>
        <v>2028</v>
      </c>
      <c r="G68" s="41">
        <v>2.1999999999999999E-2</v>
      </c>
      <c r="H68" s="86"/>
      <c r="I68" s="88">
        <f t="shared" si="35"/>
        <v>2037</v>
      </c>
      <c r="J68" s="88"/>
      <c r="K68" s="41">
        <v>2.1000000000000001E-2</v>
      </c>
    </row>
    <row r="69" spans="3:11">
      <c r="C69" s="88">
        <f t="shared" si="33"/>
        <v>2020</v>
      </c>
      <c r="D69" s="41">
        <v>2.5000000000000001E-2</v>
      </c>
      <c r="E69" s="86"/>
      <c r="F69" s="88">
        <f t="shared" si="34"/>
        <v>2029</v>
      </c>
      <c r="G69" s="41">
        <v>2.1000000000000001E-2</v>
      </c>
      <c r="H69" s="86"/>
      <c r="I69" s="88">
        <f t="shared" si="35"/>
        <v>2038</v>
      </c>
      <c r="J69" s="88"/>
      <c r="K69" s="41">
        <v>2.1000000000000001E-2</v>
      </c>
    </row>
    <row r="70" spans="3:11">
      <c r="C70" s="88">
        <f t="shared" si="33"/>
        <v>2021</v>
      </c>
      <c r="D70" s="41">
        <v>2.4E-2</v>
      </c>
      <c r="E70" s="86"/>
      <c r="F70" s="88">
        <f t="shared" si="34"/>
        <v>2030</v>
      </c>
      <c r="G70" s="41">
        <v>0.02</v>
      </c>
      <c r="H70" s="86"/>
      <c r="I70" s="88">
        <f t="shared" si="35"/>
        <v>2039</v>
      </c>
      <c r="J70" s="88"/>
      <c r="K70" s="41">
        <v>2.1000000000000001E-2</v>
      </c>
    </row>
    <row r="71" spans="3:11">
      <c r="C71" s="88">
        <f t="shared" si="33"/>
        <v>2022</v>
      </c>
      <c r="D71" s="41">
        <v>2.4E-2</v>
      </c>
      <c r="E71" s="86"/>
      <c r="F71" s="88">
        <f t="shared" si="34"/>
        <v>2031</v>
      </c>
      <c r="G71" s="41">
        <v>0.02</v>
      </c>
      <c r="H71" s="86"/>
      <c r="I71" s="88">
        <f t="shared" si="35"/>
        <v>2040</v>
      </c>
      <c r="J71" s="88"/>
      <c r="K71" s="41">
        <v>2.1000000000000001E-2</v>
      </c>
    </row>
    <row r="72" spans="3:11" s="124" customFormat="1">
      <c r="C72" s="88">
        <f t="shared" si="33"/>
        <v>2023</v>
      </c>
      <c r="D72" s="41">
        <v>2.4E-2</v>
      </c>
      <c r="E72" s="87"/>
      <c r="F72" s="88">
        <f t="shared" si="34"/>
        <v>2032</v>
      </c>
      <c r="G72" s="41">
        <v>0.02</v>
      </c>
      <c r="H72" s="87"/>
      <c r="I72" s="88">
        <f t="shared" si="35"/>
        <v>2041</v>
      </c>
      <c r="J72" s="88"/>
      <c r="K72" s="41">
        <v>2.1999999999999999E-2</v>
      </c>
    </row>
    <row r="73" spans="3:11" s="124" customFormat="1">
      <c r="C73" s="88">
        <f t="shared" si="33"/>
        <v>2024</v>
      </c>
      <c r="D73" s="41">
        <v>2.3E-2</v>
      </c>
      <c r="E73" s="87"/>
      <c r="F73" s="88">
        <f t="shared" si="34"/>
        <v>2033</v>
      </c>
      <c r="G73" s="41">
        <v>0.02</v>
      </c>
      <c r="H73" s="87"/>
      <c r="I73" s="88">
        <f t="shared" si="35"/>
        <v>2042</v>
      </c>
      <c r="J73" s="88"/>
      <c r="K73" s="41">
        <v>2.1999999999999999E-2</v>
      </c>
    </row>
    <row r="74" spans="3:11" s="124" customFormat="1">
      <c r="C74" s="88">
        <f t="shared" si="33"/>
        <v>2025</v>
      </c>
      <c r="D74" s="41">
        <v>2.3E-2</v>
      </c>
      <c r="E74" s="87"/>
      <c r="F74" s="88">
        <f t="shared" si="34"/>
        <v>2034</v>
      </c>
      <c r="G74" s="41">
        <v>0.02</v>
      </c>
      <c r="H74" s="87"/>
      <c r="I74" s="88">
        <f t="shared" si="35"/>
        <v>2043</v>
      </c>
      <c r="J74" s="88"/>
      <c r="K74" s="41">
        <v>2.1999999999999999E-2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landscape" r:id="rId1"/>
  <headerFooter alignWithMargins="0"/>
  <rowBreaks count="1" manualBreakCount="1">
    <brk id="5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57</vt:i4>
      </vt:variant>
    </vt:vector>
  </HeadingPairs>
  <TitlesOfParts>
    <vt:vector size="83" baseType="lpstr">
      <vt:lpstr>Appendix B.2</vt:lpstr>
      <vt:lpstr>Table 1</vt:lpstr>
      <vt:lpstr>Table 2</vt:lpstr>
      <vt:lpstr>Table 3 ID Wind 2033</vt:lpstr>
      <vt:lpstr>Table 4</vt:lpstr>
      <vt:lpstr>Table 5</vt:lpstr>
      <vt:lpstr>Table 3 TransCost D2 </vt:lpstr>
      <vt:lpstr>Table 3 UT Wind 2030</vt:lpstr>
      <vt:lpstr>Table 3 DJ Wind 2030</vt:lpstr>
      <vt:lpstr>Table 3 ID Wind 2030</vt:lpstr>
      <vt:lpstr>Table 3 UT Wind 2036</vt:lpstr>
      <vt:lpstr>Table 3 WW Wind 2035</vt:lpstr>
      <vt:lpstr>Table 3 YK Wind 2035</vt:lpstr>
      <vt:lpstr>Table 3 OR Wind 2035</vt:lpstr>
      <vt:lpstr>Table 3 YK Solar 2030</vt:lpstr>
      <vt:lpstr>Table 3 YK Solar 2032</vt:lpstr>
      <vt:lpstr>Table 3 YK Solar 2033</vt:lpstr>
      <vt:lpstr>Table 3 UT Solar 2033 ST</vt:lpstr>
      <vt:lpstr>Table 3 UT Solar 2035 ST</vt:lpstr>
      <vt:lpstr>Table 3 UT Solar 2035 FT</vt:lpstr>
      <vt:lpstr>Table 3 OR Solar 2030</vt:lpstr>
      <vt:lpstr>Table 3 OR Solar 2031</vt:lpstr>
      <vt:lpstr>Table 3 OR Solar 2032</vt:lpstr>
      <vt:lpstr>Table 3 OR Solar 2033</vt:lpstr>
      <vt:lpstr>Table 3 EV2020 Wind_2020</vt:lpstr>
      <vt:lpstr>Table 3 EV2020 Wind_2021</vt:lpstr>
      <vt:lpstr>'Table 2'!_200_SCCT_UtahN</vt:lpstr>
      <vt:lpstr>_200_SCCT_UtahN</vt:lpstr>
      <vt:lpstr>_200_SCCT_WYNE</vt:lpstr>
      <vt:lpstr>'Table 2'!_30_Geo_West</vt:lpstr>
      <vt:lpstr>'Table 3 TransCost D2 '!_30_Geo_West</vt:lpstr>
      <vt:lpstr>_30_Geo_West</vt:lpstr>
      <vt:lpstr>'Table 2'!_436_CCCT_WestMain</vt:lpstr>
      <vt:lpstr>'Table 3 TransCost D2 '!_436_CCCT_WestMain</vt:lpstr>
      <vt:lpstr>_436_CCCT_WestMain</vt:lpstr>
      <vt:lpstr>_477_CCCT_WYNE</vt:lpstr>
      <vt:lpstr>_774_Wind_IDGoshen</vt:lpstr>
      <vt:lpstr>_85_Wind_DJ_2031</vt:lpstr>
      <vt:lpstr>_UtahS_Solar_2031</vt:lpstr>
      <vt:lpstr>_UtahS_Solar_2032</vt:lpstr>
      <vt:lpstr>_UtahS_Solar_2033</vt:lpstr>
      <vt:lpstr>_UtahS_Solar_2034</vt:lpstr>
      <vt:lpstr>_UtahS_Solar_2035</vt:lpstr>
      <vt:lpstr>_UtahS_Solar_2036</vt:lpstr>
      <vt:lpstr>_Yakima_Solar_2028</vt:lpstr>
      <vt:lpstr>_Yakima_Solar_2029</vt:lpstr>
      <vt:lpstr>_Yakima_Solar_2031</vt:lpstr>
      <vt:lpstr>_Yakima_Solar_2032</vt:lpstr>
      <vt:lpstr>_Yakima_Solar_2033</vt:lpstr>
      <vt:lpstr>_Yakima_Solar_2034</vt:lpstr>
      <vt:lpstr>'Appendix B.2'!Discount_Rate</vt:lpstr>
      <vt:lpstr>Discount_Rate</vt:lpstr>
      <vt:lpstr>'Appendix B.2'!Print_Area</vt:lpstr>
      <vt:lpstr>'Table 1'!Print_Area</vt:lpstr>
      <vt:lpstr>'Table 2'!Print_Area</vt:lpstr>
      <vt:lpstr>'Table 3 DJ Wind 2030'!Print_Area</vt:lpstr>
      <vt:lpstr>'Table 3 EV2020 Wind_2020'!Print_Area</vt:lpstr>
      <vt:lpstr>'Table 3 EV2020 Wind_2021'!Print_Area</vt:lpstr>
      <vt:lpstr>'Table 3 ID Wind 2030'!Print_Area</vt:lpstr>
      <vt:lpstr>'Table 3 ID Wind 2033'!Print_Area</vt:lpstr>
      <vt:lpstr>'Table 3 OR Solar 2030'!Print_Area</vt:lpstr>
      <vt:lpstr>'Table 3 OR Solar 2031'!Print_Area</vt:lpstr>
      <vt:lpstr>'Table 3 OR Solar 2032'!Print_Area</vt:lpstr>
      <vt:lpstr>'Table 3 OR Solar 2033'!Print_Area</vt:lpstr>
      <vt:lpstr>'Table 3 OR Wind 2035'!Print_Area</vt:lpstr>
      <vt:lpstr>'Table 3 TransCost D2 '!Print_Area</vt:lpstr>
      <vt:lpstr>'Table 3 UT Solar 2033 ST'!Print_Area</vt:lpstr>
      <vt:lpstr>'Table 3 UT Solar 2035 FT'!Print_Area</vt:lpstr>
      <vt:lpstr>'Table 3 UT Solar 2035 ST'!Print_Area</vt:lpstr>
      <vt:lpstr>'Table 3 UT Wind 2030'!Print_Area</vt:lpstr>
      <vt:lpstr>'Table 3 UT Wind 2036'!Print_Area</vt:lpstr>
      <vt:lpstr>'Table 3 WW Wind 2035'!Print_Area</vt:lpstr>
      <vt:lpstr>'Table 3 YK Solar 2030'!Print_Area</vt:lpstr>
      <vt:lpstr>'Table 3 YK Solar 2032'!Print_Area</vt:lpstr>
      <vt:lpstr>'Table 3 YK Solar 2033'!Print_Area</vt:lpstr>
      <vt:lpstr>'Table 3 YK Wind 2035'!Print_Area</vt:lpstr>
      <vt:lpstr>'Table 4'!Print_Area</vt:lpstr>
      <vt:lpstr>'Table 5'!Print_Area</vt:lpstr>
      <vt:lpstr>'Table 2'!Print_Titles</vt:lpstr>
      <vt:lpstr>'Table 3 TransCost D2 '!Study_Cap_Adj</vt:lpstr>
      <vt:lpstr>Study_Cap_Adj</vt:lpstr>
      <vt:lpstr>Study_CF</vt:lpstr>
      <vt:lpstr>Study_MW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2018-09-25T18:17:02Z</dcterms:created>
  <dcterms:modified xsi:type="dcterms:W3CDTF">2018-09-25T20:11:07Z</dcterms:modified>
  <cp:contentStatus/>
</cp:coreProperties>
</file>