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10935"/>
  </bookViews>
  <sheets>
    <sheet name="Appendix B.3" sheetId="65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'Table 1'!$I$19</definedName>
    <definedName name="_200_SCCT_UtahN">'Table 1'!$I$19</definedName>
    <definedName name="_200_SCCT_WYNE">'Table 1'!$I$21</definedName>
    <definedName name="_30_Geo_West" localSheetId="0">'[1]Table 1'!$I$17</definedName>
    <definedName name="_30_Geo_West" localSheetId="2">'Table 1'!$I$17</definedName>
    <definedName name="_30_Geo_West" localSheetId="5">'Table 1'!$I$17</definedName>
    <definedName name="_30_Geo_West">'Table 1'!$I$17</definedName>
    <definedName name="_436_CCCT_WestMain" localSheetId="0">'[1]Table 1'!$I$18</definedName>
    <definedName name="_436_CCCT_WestMain" localSheetId="2">'Table 1'!$I$18</definedName>
    <definedName name="_436_CCCT_WestMain" localSheetId="5">'Table 1'!$I$18</definedName>
    <definedName name="_436_CCCT_WestMain">'Table 1'!$I$18</definedName>
    <definedName name="_477_CCCT_WestMain" localSheetId="0">'[1]Table 1'!$I$18</definedName>
    <definedName name="_477_CCCT_WestMain" localSheetId="2">'[2]Table 1'!$I$18</definedName>
    <definedName name="_477_CCCT_WestMain">'[3]Table 1'!$I$18</definedName>
    <definedName name="_477_CCCT_WYNE">'Table 1'!$I$20</definedName>
    <definedName name="_635_CCCT_UtahS" localSheetId="0">'[1]Table 1'!$I$19</definedName>
    <definedName name="_635_CCCT_UtahS" localSheetId="2">'[2]Table 1'!$I$19</definedName>
    <definedName name="_635_CCCT_UtahS">'[3]Table 1'!$I$19</definedName>
    <definedName name="_635_CCCT_WyoNE" localSheetId="0">'[1]Table 1'!$I$17</definedName>
    <definedName name="_635_CCCT_WyoNE" localSheetId="2">'[2]Table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'[5]on off peak hours'!$C$15:$ED$15</definedName>
    <definedName name="Discount_Rate" localSheetId="0">'Table 1'!$I$39</definedName>
    <definedName name="Discount_Rate" localSheetId="2">'[2]Table 1'!$I$35</definedName>
    <definedName name="Discount_Rate">'Table 1'!$I$39</definedName>
    <definedName name="Discount_Rate_2015_IRP" localSheetId="7">'[6]Table 7 to 8'!$AE$43</definedName>
    <definedName name="Discount_Rate_2015_IRP" localSheetId="24">'[6]Table 7 to 8'!$AE$43</definedName>
    <definedName name="Discount_Rate_2015_IRP" localSheetId="25">'[6]Table 7 to 8'!$AE$43</definedName>
    <definedName name="Discount_Rate_2015_IRP" localSheetId="8">'[6]Table 7 to 8'!$AE$43</definedName>
    <definedName name="Discount_Rate_2015_IRP" localSheetId="9">'[6]Table 7 to 8'!$AE$43</definedName>
    <definedName name="Discount_Rate_2015_IRP" localSheetId="20">'[6]Table 7 to 8'!$AE$43</definedName>
    <definedName name="Discount_Rate_2015_IRP" localSheetId="21">'[6]Table 7 to 8'!$AE$43</definedName>
    <definedName name="Discount_Rate_2015_IRP" localSheetId="22">'[6]Table 7 to 8'!$AE$43</definedName>
    <definedName name="Discount_Rate_2015_IRP" localSheetId="23">'[6]Table 7 to 8'!$AE$43</definedName>
    <definedName name="Discount_Rate_2015_IRP" localSheetId="13">'[6]Table 7 to 8'!$AE$43</definedName>
    <definedName name="Discount_Rate_2015_IRP" localSheetId="5">'[6]Table 7 to 8'!$AE$43</definedName>
    <definedName name="Discount_Rate_2015_IRP" localSheetId="17">'[6]Table 7 to 8'!$AE$43</definedName>
    <definedName name="Discount_Rate_2015_IRP" localSheetId="19">'[6]Table 7 to 8'!$AE$43</definedName>
    <definedName name="Discount_Rate_2015_IRP" localSheetId="18">'[6]Table 7 to 8'!$AE$43</definedName>
    <definedName name="Discount_Rate_2015_IRP" localSheetId="6">'[6]Table 7 to 8'!$AE$43</definedName>
    <definedName name="Discount_Rate_2015_IRP" localSheetId="10">'[6]Table 7 to 8'!$AE$43</definedName>
    <definedName name="Discount_Rate_2015_IRP" localSheetId="11">'[6]Table 7 to 8'!$AE$43</definedName>
    <definedName name="Discount_Rate_2015_IRP" localSheetId="14">'[6]Table 7 to 8'!$AE$43</definedName>
    <definedName name="Discount_Rate_2015_IRP" localSheetId="15">'[6]Table 7 to 8'!$AE$43</definedName>
    <definedName name="Discount_Rate_2015_IRP" localSheetId="16">'[6]Table 7 to 8'!$AE$43</definedName>
    <definedName name="Discount_Rate_2015_IRP" localSheetId="12">'[6]Table 7 to 8'!$AE$43</definedName>
    <definedName name="Discount_Rate_2015_IRP">'[7]Table 7 to 8'!$AE$43</definedName>
    <definedName name="DispatchSum">"GRID Thermal Generation!R2C1:R4C2"</definedName>
    <definedName name="FixedSolar_Capacity_Contr">'[7]Exhibit 3- Std FixedSolar QF'!$G$53</definedName>
    <definedName name="HoursHoliday">'[5]on off peak hours'!$C$16:$ED$20</definedName>
    <definedName name="Market" localSheetId="7">'[8]OFPC Source'!$J$8:$M$295</definedName>
    <definedName name="Market" localSheetId="24">'[8]OFPC Source'!$J$8:$M$295</definedName>
    <definedName name="Market" localSheetId="25">'[8]OFPC Source'!$J$8:$M$295</definedName>
    <definedName name="Market" localSheetId="8">'[8]OFPC Source'!$J$8:$M$295</definedName>
    <definedName name="Market" localSheetId="9">'[8]OFPC Source'!$J$8:$M$295</definedName>
    <definedName name="Market" localSheetId="20">'[8]OFPC Source'!$J$8:$M$295</definedName>
    <definedName name="Market" localSheetId="21">'[8]OFPC Source'!$J$8:$M$295</definedName>
    <definedName name="Market" localSheetId="22">'[8]OFPC Source'!$J$8:$M$295</definedName>
    <definedName name="Market" localSheetId="23">'[8]OFPC Source'!$J$8:$M$295</definedName>
    <definedName name="Market" localSheetId="13">'[8]OFPC Source'!$J$8:$M$295</definedName>
    <definedName name="Market" localSheetId="5">'[8]OFPC Source'!$J$8:$M$295</definedName>
    <definedName name="Market" localSheetId="17">'[8]OFPC Source'!$J$8:$M$295</definedName>
    <definedName name="Market" localSheetId="19">'[8]OFPC Source'!$J$8:$M$295</definedName>
    <definedName name="Market" localSheetId="18">'[8]OFPC Source'!$J$8:$M$295</definedName>
    <definedName name="Market" localSheetId="6">'[8]OFPC Source'!$J$8:$M$295</definedName>
    <definedName name="Market" localSheetId="10">'[8]OFPC Source'!$J$8:$M$295</definedName>
    <definedName name="Market" localSheetId="11">'[8]OFPC Source'!$J$8:$M$295</definedName>
    <definedName name="Market" localSheetId="14">'[8]OFPC Source'!$J$8:$M$295</definedName>
    <definedName name="Market" localSheetId="15">'[8]OFPC Source'!$J$8:$M$295</definedName>
    <definedName name="Market" localSheetId="16">'[8]OFPC Source'!$J$8:$M$295</definedName>
    <definedName name="Market" localSheetId="12">'[8]OFPC Source'!$J$8:$M$295</definedName>
    <definedName name="Market">'[7]OFPC Source'!$J$8:$M$295</definedName>
    <definedName name="MidC_Flat" localSheetId="2">[9]Market_Price!#REF!</definedName>
    <definedName name="MidC_Flat">[9]Market_Price!#REF!</definedName>
    <definedName name="OR_AC_price" localSheetId="2">#REF!</definedName>
    <definedName name="OR_AC_price">#REF!</definedName>
    <definedName name="_xlnm.Print_Area" localSheetId="0">'Appendix B.3'!$A$1:$F$37</definedName>
    <definedName name="_xlnm.Print_Area" localSheetId="1">'Table 1'!$A$1:$H$71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RenewableMarketShape" localSheetId="7">'[8]OFPC Source'!$P$5:$U$28</definedName>
    <definedName name="RenewableMarketShape" localSheetId="24">'[8]OFPC Source'!$P$5:$U$28</definedName>
    <definedName name="RenewableMarketShape" localSheetId="25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20">'[8]OFPC Source'!$P$5:$U$28</definedName>
    <definedName name="RenewableMarketShape" localSheetId="21">'[8]OFPC Source'!$P$5:$U$28</definedName>
    <definedName name="RenewableMarketShape" localSheetId="22">'[8]OFPC Source'!$P$5:$U$28</definedName>
    <definedName name="RenewableMarketShape" localSheetId="23">'[8]OFPC Source'!$P$5:$U$28</definedName>
    <definedName name="RenewableMarketShape" localSheetId="13">'[8]OFPC Source'!$P$5:$U$28</definedName>
    <definedName name="RenewableMarketShape" localSheetId="5">'[8]OFPC Source'!$P$5:$U$28</definedName>
    <definedName name="RenewableMarketShape" localSheetId="17">'[8]OFPC Source'!$P$5:$U$28</definedName>
    <definedName name="RenewableMarketShape" localSheetId="19">'[8]OFPC Source'!$P$5:$U$28</definedName>
    <definedName name="RenewableMarketShape" localSheetId="18">'[8]OFPC Source'!$P$5:$U$28</definedName>
    <definedName name="RenewableMarketShape" localSheetId="6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4">'[8]OFPC Source'!$P$5:$U$28</definedName>
    <definedName name="RenewableMarketShape" localSheetId="15">'[8]OFPC Source'!$P$5:$U$28</definedName>
    <definedName name="RenewableMarketShape" localSheetId="16">'[8]OFPC Source'!$P$5:$U$28</definedName>
    <definedName name="RenewableMarketShape" localSheetId="12">'[8]OFPC Source'!$P$5:$U$28</definedName>
    <definedName name="RenewableMarketShape">'[7]OFPC Source'!$P$5:$U$33</definedName>
    <definedName name="RevenueSum">"GRID Thermal Revenue!R2C1:R4C2"</definedName>
    <definedName name="Solar_Fixed_integr_cost">'[10]Table 10'!$B$46</definedName>
    <definedName name="Solar_HLH" localSheetId="7">'[8]OFPC Source'!$U$47</definedName>
    <definedName name="Solar_HLH" localSheetId="24">'[8]OFPC Source'!$U$47</definedName>
    <definedName name="Solar_HLH" localSheetId="25">'[8]OFPC Source'!$U$47</definedName>
    <definedName name="Solar_HLH" localSheetId="8">'[8]OFPC Source'!$U$47</definedName>
    <definedName name="Solar_HLH" localSheetId="9">'[8]OFPC Source'!$U$47</definedName>
    <definedName name="Solar_HLH" localSheetId="20">'[8]OFPC Source'!$U$47</definedName>
    <definedName name="Solar_HLH" localSheetId="21">'[8]OFPC Source'!$U$47</definedName>
    <definedName name="Solar_HLH" localSheetId="22">'[8]OFPC Source'!$U$47</definedName>
    <definedName name="Solar_HLH" localSheetId="23">'[8]OFPC Source'!$U$47</definedName>
    <definedName name="Solar_HLH" localSheetId="13">'[8]OFPC Source'!$U$47</definedName>
    <definedName name="Solar_HLH" localSheetId="5">'[8]OFPC Source'!$U$47</definedName>
    <definedName name="Solar_HLH" localSheetId="17">'[8]OFPC Source'!$U$47</definedName>
    <definedName name="Solar_HLH" localSheetId="19">'[8]OFPC Source'!$U$47</definedName>
    <definedName name="Solar_HLH" localSheetId="18">'[8]OFPC Source'!$U$47</definedName>
    <definedName name="Solar_HLH" localSheetId="6">'[8]OFPC Source'!$U$47</definedName>
    <definedName name="Solar_HLH" localSheetId="10">'[8]OFPC Source'!$U$47</definedName>
    <definedName name="Solar_HLH" localSheetId="11">'[8]OFPC Source'!$U$47</definedName>
    <definedName name="Solar_HLH" localSheetId="14">'[8]OFPC Source'!$U$47</definedName>
    <definedName name="Solar_HLH" localSheetId="15">'[8]OFPC Source'!$U$47</definedName>
    <definedName name="Solar_HLH" localSheetId="16">'[8]OFPC Source'!$U$47</definedName>
    <definedName name="Solar_HLH" localSheetId="12">'[8]OFPC Source'!$U$47</definedName>
    <definedName name="Solar_HLH">'[7]OFPC Source'!$U$48</definedName>
    <definedName name="Solar_LLH" localSheetId="7">'[8]OFPC Source'!$V$47</definedName>
    <definedName name="Solar_LLH" localSheetId="24">'[8]OFPC Source'!$V$47</definedName>
    <definedName name="Solar_LLH" localSheetId="25">'[8]OFPC Source'!$V$47</definedName>
    <definedName name="Solar_LLH" localSheetId="8">'[8]OFPC Source'!$V$47</definedName>
    <definedName name="Solar_LLH" localSheetId="9">'[8]OFPC Source'!$V$47</definedName>
    <definedName name="Solar_LLH" localSheetId="20">'[8]OFPC Source'!$V$47</definedName>
    <definedName name="Solar_LLH" localSheetId="21">'[8]OFPC Source'!$V$47</definedName>
    <definedName name="Solar_LLH" localSheetId="22">'[8]OFPC Source'!$V$47</definedName>
    <definedName name="Solar_LLH" localSheetId="23">'[8]OFPC Source'!$V$47</definedName>
    <definedName name="Solar_LLH" localSheetId="13">'[8]OFPC Source'!$V$47</definedName>
    <definedName name="Solar_LLH" localSheetId="5">'[8]OFPC Source'!$V$47</definedName>
    <definedName name="Solar_LLH" localSheetId="17">'[8]OFPC Source'!$V$47</definedName>
    <definedName name="Solar_LLH" localSheetId="19">'[8]OFPC Source'!$V$47</definedName>
    <definedName name="Solar_LLH" localSheetId="18">'[8]OFPC Source'!$V$47</definedName>
    <definedName name="Solar_LLH" localSheetId="6">'[8]OFPC Source'!$V$47</definedName>
    <definedName name="Solar_LLH" localSheetId="10">'[8]OFPC Source'!$V$47</definedName>
    <definedName name="Solar_LLH" localSheetId="11">'[8]OFPC Source'!$V$47</definedName>
    <definedName name="Solar_LLH" localSheetId="14">'[8]OFPC Source'!$V$47</definedName>
    <definedName name="Solar_LLH" localSheetId="15">'[8]OFPC Source'!$V$47</definedName>
    <definedName name="Solar_LLH" localSheetId="16">'[8]OFPC Source'!$V$47</definedName>
    <definedName name="Solar_LLH" localSheetId="12">'[8]OFPC Source'!$V$47</definedName>
    <definedName name="Solar_LLH">'[7]OFPC Source'!$V$48</definedName>
    <definedName name="Solar_Tracking_integr_cost">'[10]Table 10'!$B$45</definedName>
    <definedName name="Study_Cap_Adj" localSheetId="0">'[1]Table 1'!$I$8</definedName>
    <definedName name="Study_Cap_Adj" localSheetId="2">'[2]Table 1'!$I$8</definedName>
    <definedName name="Study_Cap_Adj" localSheetId="5">'Table 1'!$I$8</definedName>
    <definedName name="Study_Cap_Adj">'Table 1'!$I$8</definedName>
    <definedName name="Study_CF" localSheetId="0">'[1]Table 5'!$M$7</definedName>
    <definedName name="Study_CF" localSheetId="2">'[2]Table 5'!$M$7</definedName>
    <definedName name="Study_CF">'Table 5'!$M$7</definedName>
    <definedName name="Study_MW" localSheetId="0">'[1]Table 5'!$M$6</definedName>
    <definedName name="Study_MW" localSheetId="2">'[2]Table 5'!$M$6</definedName>
    <definedName name="Study_MW">'Table 5'!$M$6</definedName>
    <definedName name="Study_Name" localSheetId="7">[5]ImportData!$D$7</definedName>
    <definedName name="Study_Name" localSheetId="24">[5]ImportData!$D$7</definedName>
    <definedName name="Study_Name" localSheetId="25">[5]ImportData!$D$7</definedName>
    <definedName name="Study_Name" localSheetId="8">[5]ImportData!$D$7</definedName>
    <definedName name="Study_Name" localSheetId="9">[5]ImportData!$D$7</definedName>
    <definedName name="Study_Name" localSheetId="20">[5]ImportData!$D$7</definedName>
    <definedName name="Study_Name" localSheetId="21">[5]ImportData!$D$7</definedName>
    <definedName name="Study_Name" localSheetId="22">[5]ImportData!$D$7</definedName>
    <definedName name="Study_Name" localSheetId="23">[5]ImportData!$D$7</definedName>
    <definedName name="Study_Name" localSheetId="13">[5]ImportData!$D$7</definedName>
    <definedName name="Study_Name" localSheetId="5">[5]ImportData!$D$7</definedName>
    <definedName name="Study_Name" localSheetId="17">[5]ImportData!$D$7</definedName>
    <definedName name="Study_Name" localSheetId="19">[5]ImportData!$D$7</definedName>
    <definedName name="Study_Name" localSheetId="18">[5]ImportData!$D$7</definedName>
    <definedName name="Study_Name" localSheetId="6">[5]ImportData!$D$7</definedName>
    <definedName name="Study_Name" localSheetId="10">[5]ImportData!$D$7</definedName>
    <definedName name="Study_Name" localSheetId="11">[5]ImportData!$D$7</definedName>
    <definedName name="Study_Name" localSheetId="14">[5]ImportData!$D$7</definedName>
    <definedName name="Study_Name" localSheetId="15">[5]ImportData!$D$7</definedName>
    <definedName name="Study_Name" localSheetId="16">[5]ImportData!$D$7</definedName>
    <definedName name="Study_Name" localSheetId="12">[5]ImportData!$D$7</definedName>
    <definedName name="ValuationDate" localSheetId="2">#REF!</definedName>
    <definedName name="ValuationDate">#REF!</definedName>
    <definedName name="Wind_Capacity_Contr">'[7]Exhibit 2- Std Wind QF '!$E$57</definedName>
    <definedName name="Wind_Integration_Charge">'[7]Exhibit 2- Std Wind QF '!$E$45</definedName>
  </definedNames>
  <calcPr calcId="152511"/>
</workbook>
</file>

<file path=xl/calcChain.xml><?xml version="1.0" encoding="utf-8"?>
<calcChain xmlns="http://schemas.openxmlformats.org/spreadsheetml/2006/main">
  <c r="B42" i="25" l="1"/>
  <c r="B72" i="25"/>
  <c r="B30" i="65"/>
  <c r="B32" i="65"/>
  <c r="B31" i="65"/>
  <c r="B13" i="66" l="1"/>
  <c r="B14" i="66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22" i="65" l="1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D25" i="65" l="1"/>
  <c r="B24" i="65"/>
  <c r="D22" i="65"/>
  <c r="D20" i="65"/>
  <c r="D18" i="65"/>
  <c r="D16" i="65"/>
  <c r="D15" i="65"/>
  <c r="D14" i="65"/>
  <c r="D13" i="65"/>
  <c r="D12" i="65"/>
  <c r="D11" i="65"/>
  <c r="D10" i="65"/>
  <c r="D8" i="65"/>
  <c r="E5" i="65"/>
  <c r="D17" i="65" l="1"/>
  <c r="D21" i="65"/>
  <c r="D9" i="65"/>
  <c r="D19" i="65"/>
  <c r="CJ9" i="25" l="1"/>
  <c r="CE9" i="25"/>
  <c r="B52" i="25" l="1"/>
  <c r="B38" i="25" l="1"/>
  <c r="BN9" i="25" l="1"/>
  <c r="BO9" i="25"/>
  <c r="BJ9" i="25"/>
  <c r="BI9" i="25"/>
  <c r="AT9" i="25"/>
  <c r="AO9" i="25"/>
  <c r="C24" i="64"/>
  <c r="C68" i="64"/>
  <c r="C67" i="64"/>
  <c r="P11" i="64"/>
  <c r="D47" i="64"/>
  <c r="D46" i="64"/>
  <c r="K11" i="64"/>
  <c r="E11" i="64"/>
  <c r="D49" i="64"/>
  <c r="C49" i="64"/>
  <c r="D48" i="64"/>
  <c r="C48" i="64"/>
  <c r="C47" i="64"/>
  <c r="C46" i="64"/>
  <c r="C45" i="64"/>
  <c r="H11" i="64"/>
  <c r="G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K12" i="64"/>
  <c r="K13" i="64" s="1"/>
  <c r="H12" i="64"/>
  <c r="H13" i="64" s="1"/>
  <c r="G12" i="64"/>
  <c r="G13" i="64" s="1"/>
  <c r="P12" i="64"/>
  <c r="P13" i="64" s="1"/>
  <c r="E12" i="64"/>
  <c r="F11" i="64"/>
  <c r="I11" i="64" s="1"/>
  <c r="J11" i="64" s="1"/>
  <c r="B3" i="64"/>
  <c r="C52" i="64" s="1"/>
  <c r="B9" i="64" s="1"/>
  <c r="C69" i="64"/>
  <c r="C70" i="64" l="1"/>
  <c r="E13" i="64"/>
  <c r="F12" i="64"/>
  <c r="I12" i="64" s="1"/>
  <c r="J12" i="64" s="1"/>
  <c r="E14" i="64" l="1"/>
  <c r="F13" i="64"/>
  <c r="I13" i="64" s="1"/>
  <c r="J13" i="64" s="1"/>
  <c r="G14" i="64"/>
  <c r="P14" i="64"/>
  <c r="K14" i="64"/>
  <c r="H14" i="64"/>
  <c r="C71" i="64"/>
  <c r="C72" i="64" l="1"/>
  <c r="P15" i="64"/>
  <c r="G15" i="64"/>
  <c r="H15" i="64"/>
  <c r="K15" i="64"/>
  <c r="E15" i="64"/>
  <c r="F14" i="64"/>
  <c r="I14" i="64" s="1"/>
  <c r="J14" i="64" s="1"/>
  <c r="K16" i="64" l="1"/>
  <c r="G16" i="64"/>
  <c r="P16" i="64"/>
  <c r="E16" i="64"/>
  <c r="F15" i="64"/>
  <c r="I15" i="64" s="1"/>
  <c r="J15" i="64" s="1"/>
  <c r="H16" i="64"/>
  <c r="C73" i="64"/>
  <c r="G17" i="64" l="1"/>
  <c r="C74" i="64"/>
  <c r="E17" i="64"/>
  <c r="F16" i="64"/>
  <c r="I16" i="64" s="1"/>
  <c r="J16" i="64" s="1"/>
  <c r="H17" i="64"/>
  <c r="P17" i="64"/>
  <c r="K17" i="64"/>
  <c r="C67" i="63"/>
  <c r="C68" i="63" s="1"/>
  <c r="H11" i="63"/>
  <c r="B3" i="63"/>
  <c r="C52" i="63" s="1"/>
  <c r="B9" i="63" s="1"/>
  <c r="G11" i="63"/>
  <c r="K11" i="63"/>
  <c r="E11" i="63"/>
  <c r="F11" i="63" s="1"/>
  <c r="D49" i="63"/>
  <c r="C49" i="63"/>
  <c r="D48" i="63"/>
  <c r="C48" i="63"/>
  <c r="C47" i="63"/>
  <c r="C46" i="63"/>
  <c r="C45" i="63"/>
  <c r="D44" i="63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G18" i="64" l="1"/>
  <c r="D47" i="63"/>
  <c r="K18" i="64"/>
  <c r="P11" i="63"/>
  <c r="D46" i="63"/>
  <c r="D24" i="63"/>
  <c r="D25" i="63" s="1"/>
  <c r="D26" i="63" s="1"/>
  <c r="D27" i="63" s="1"/>
  <c r="D28" i="63" s="1"/>
  <c r="I11" i="63"/>
  <c r="J11" i="63" s="1"/>
  <c r="E18" i="64"/>
  <c r="F17" i="64"/>
  <c r="I17" i="64" s="1"/>
  <c r="J17" i="64" s="1"/>
  <c r="P18" i="64"/>
  <c r="H18" i="64"/>
  <c r="F66" i="64"/>
  <c r="C69" i="63"/>
  <c r="G19" i="64" l="1"/>
  <c r="E19" i="64"/>
  <c r="F18" i="64"/>
  <c r="I18" i="64" s="1"/>
  <c r="J18" i="64" s="1"/>
  <c r="K19" i="64"/>
  <c r="P19" i="64"/>
  <c r="F67" i="64"/>
  <c r="H19" i="64"/>
  <c r="H12" i="63"/>
  <c r="H13" i="63" s="1"/>
  <c r="P12" i="63"/>
  <c r="P13" i="63" s="1"/>
  <c r="K12" i="63"/>
  <c r="K13" i="63" s="1"/>
  <c r="E12" i="63"/>
  <c r="G12" i="63"/>
  <c r="G13" i="63" s="1"/>
  <c r="C70" i="63"/>
  <c r="G20" i="64" l="1"/>
  <c r="F68" i="64"/>
  <c r="H20" i="64"/>
  <c r="K20" i="64"/>
  <c r="E20" i="64"/>
  <c r="F19" i="64"/>
  <c r="I19" i="64" s="1"/>
  <c r="J19" i="64" s="1"/>
  <c r="P20" i="64"/>
  <c r="F12" i="63"/>
  <c r="I12" i="63" s="1"/>
  <c r="J12" i="63" s="1"/>
  <c r="E13" i="63"/>
  <c r="K14" i="63"/>
  <c r="C71" i="63"/>
  <c r="P14" i="63"/>
  <c r="G14" i="63"/>
  <c r="H14" i="63"/>
  <c r="G21" i="64" l="1"/>
  <c r="H15" i="63"/>
  <c r="E21" i="64"/>
  <c r="F20" i="64"/>
  <c r="I20" i="64" s="1"/>
  <c r="J20" i="64" s="1"/>
  <c r="P21" i="64"/>
  <c r="H21" i="64"/>
  <c r="F69" i="64"/>
  <c r="G22" i="64"/>
  <c r="K21" i="64"/>
  <c r="G15" i="63"/>
  <c r="K15" i="63"/>
  <c r="P15" i="63"/>
  <c r="E14" i="63"/>
  <c r="F13" i="63"/>
  <c r="I13" i="63" s="1"/>
  <c r="J13" i="63" s="1"/>
  <c r="C72" i="63"/>
  <c r="H16" i="63"/>
  <c r="K22" i="64" l="1"/>
  <c r="P22" i="64"/>
  <c r="G23" i="64"/>
  <c r="F70" i="64"/>
  <c r="F21" i="64"/>
  <c r="I21" i="64" s="1"/>
  <c r="J21" i="64" s="1"/>
  <c r="E22" i="64"/>
  <c r="H22" i="64"/>
  <c r="P16" i="63"/>
  <c r="H17" i="63"/>
  <c r="C73" i="63"/>
  <c r="K16" i="63"/>
  <c r="G16" i="63"/>
  <c r="F14" i="63"/>
  <c r="I14" i="63" s="1"/>
  <c r="J14" i="63" s="1"/>
  <c r="E15" i="63"/>
  <c r="H23" i="64" l="1"/>
  <c r="E23" i="64"/>
  <c r="F22" i="64"/>
  <c r="I22" i="64" s="1"/>
  <c r="J22" i="64" s="1"/>
  <c r="P23" i="64"/>
  <c r="F71" i="64"/>
  <c r="G24" i="64"/>
  <c r="K23" i="64"/>
  <c r="F15" i="63"/>
  <c r="I15" i="63" s="1"/>
  <c r="J15" i="63" s="1"/>
  <c r="E16" i="63"/>
  <c r="C74" i="63"/>
  <c r="H18" i="63"/>
  <c r="G17" i="63"/>
  <c r="P17" i="63"/>
  <c r="K17" i="63"/>
  <c r="P24" i="64" l="1"/>
  <c r="K18" i="63"/>
  <c r="G18" i="63"/>
  <c r="P18" i="63"/>
  <c r="K24" i="64"/>
  <c r="F72" i="64"/>
  <c r="E24" i="64"/>
  <c r="F23" i="64"/>
  <c r="I23" i="64" s="1"/>
  <c r="J23" i="64" s="1"/>
  <c r="H24" i="64"/>
  <c r="H19" i="63"/>
  <c r="F66" i="63"/>
  <c r="E17" i="63"/>
  <c r="F16" i="63"/>
  <c r="I16" i="63" s="1"/>
  <c r="J16" i="63" s="1"/>
  <c r="H25" i="64" l="1"/>
  <c r="G25" i="64"/>
  <c r="D25" i="64"/>
  <c r="G19" i="63"/>
  <c r="P25" i="64"/>
  <c r="F73" i="64"/>
  <c r="G26" i="64"/>
  <c r="K25" i="64"/>
  <c r="E25" i="64"/>
  <c r="F24" i="64"/>
  <c r="I24" i="64" s="1"/>
  <c r="J24" i="64" s="1"/>
  <c r="F67" i="63"/>
  <c r="H20" i="63"/>
  <c r="E18" i="63"/>
  <c r="F17" i="63"/>
  <c r="I17" i="63" s="1"/>
  <c r="J17" i="63" s="1"/>
  <c r="K19" i="63"/>
  <c r="P19" i="63"/>
  <c r="K26" i="64" l="1"/>
  <c r="P20" i="63"/>
  <c r="D26" i="64"/>
  <c r="H26" i="64"/>
  <c r="G27" i="64"/>
  <c r="F74" i="64"/>
  <c r="P26" i="64"/>
  <c r="E26" i="64"/>
  <c r="F25" i="64"/>
  <c r="I25" i="64" s="1"/>
  <c r="J25" i="64" s="1"/>
  <c r="K20" i="63"/>
  <c r="H21" i="63"/>
  <c r="F68" i="63"/>
  <c r="G20" i="63"/>
  <c r="F18" i="63"/>
  <c r="I18" i="63" s="1"/>
  <c r="J18" i="63" s="1"/>
  <c r="E19" i="63"/>
  <c r="D27" i="64" l="1"/>
  <c r="I66" i="64"/>
  <c r="P27" i="64"/>
  <c r="H27" i="64"/>
  <c r="E27" i="64"/>
  <c r="F26" i="64"/>
  <c r="I26" i="64" s="1"/>
  <c r="J26" i="64" s="1"/>
  <c r="K27" i="64"/>
  <c r="E20" i="63"/>
  <c r="F19" i="63"/>
  <c r="I19" i="63" s="1"/>
  <c r="J19" i="63" s="1"/>
  <c r="K21" i="63"/>
  <c r="G21" i="63"/>
  <c r="P21" i="63"/>
  <c r="F69" i="63"/>
  <c r="H22" i="63"/>
  <c r="D28" i="64" l="1"/>
  <c r="D29" i="64" s="1"/>
  <c r="D30" i="64" s="1"/>
  <c r="D31" i="64" s="1"/>
  <c r="D32" i="64" s="1"/>
  <c r="D33" i="64" s="1"/>
  <c r="D34" i="64" s="1"/>
  <c r="D35" i="64" s="1"/>
  <c r="D36" i="64" s="1"/>
  <c r="E28" i="64"/>
  <c r="F27" i="64"/>
  <c r="I27" i="64" s="1"/>
  <c r="J27" i="64" s="1"/>
  <c r="K28" i="64"/>
  <c r="P28" i="64"/>
  <c r="I67" i="64"/>
  <c r="H28" i="64"/>
  <c r="G28" i="64"/>
  <c r="K22" i="63"/>
  <c r="H23" i="63"/>
  <c r="H24" i="63" s="1"/>
  <c r="H25" i="63" s="1"/>
  <c r="H26" i="63" s="1"/>
  <c r="H27" i="63" s="1"/>
  <c r="H28" i="63" s="1"/>
  <c r="F70" i="63"/>
  <c r="P22" i="63"/>
  <c r="E21" i="63"/>
  <c r="F20" i="63"/>
  <c r="I20" i="63" s="1"/>
  <c r="J20" i="63" s="1"/>
  <c r="G22" i="63"/>
  <c r="G23" i="63" l="1"/>
  <c r="G24" i="63" s="1"/>
  <c r="G25" i="63" s="1"/>
  <c r="G26" i="63" s="1"/>
  <c r="G27" i="63" s="1"/>
  <c r="G28" i="63" s="1"/>
  <c r="F28" i="64"/>
  <c r="I28" i="64" s="1"/>
  <c r="J28" i="64" s="1"/>
  <c r="K29" i="64"/>
  <c r="G29" i="64"/>
  <c r="I68" i="64"/>
  <c r="P29" i="64"/>
  <c r="H29" i="64"/>
  <c r="E29" i="64"/>
  <c r="F71" i="63"/>
  <c r="E22" i="63"/>
  <c r="F21" i="63"/>
  <c r="I21" i="63" s="1"/>
  <c r="J21" i="63" s="1"/>
  <c r="K23" i="63"/>
  <c r="K24" i="63" s="1"/>
  <c r="K25" i="63" s="1"/>
  <c r="K26" i="63" s="1"/>
  <c r="K27" i="63" s="1"/>
  <c r="K28" i="63" s="1"/>
  <c r="P23" i="63"/>
  <c r="P24" i="63" l="1"/>
  <c r="E30" i="64"/>
  <c r="F29" i="64"/>
  <c r="I29" i="64" s="1"/>
  <c r="J29" i="64" s="1"/>
  <c r="P30" i="64"/>
  <c r="G30" i="64"/>
  <c r="K30" i="64"/>
  <c r="I69" i="64"/>
  <c r="H30" i="64"/>
  <c r="F72" i="63"/>
  <c r="E23" i="63"/>
  <c r="E24" i="63" s="1"/>
  <c r="F22" i="63"/>
  <c r="I22" i="63" s="1"/>
  <c r="J22" i="63" s="1"/>
  <c r="F24" i="63" l="1"/>
  <c r="I24" i="63" s="1"/>
  <c r="J24" i="63" s="1"/>
  <c r="E25" i="63"/>
  <c r="E31" i="64"/>
  <c r="H31" i="64"/>
  <c r="G31" i="64"/>
  <c r="F30" i="64"/>
  <c r="I30" i="64" s="1"/>
  <c r="J30" i="64" s="1"/>
  <c r="K31" i="64"/>
  <c r="I70" i="64"/>
  <c r="P31" i="64"/>
  <c r="F23" i="63"/>
  <c r="I23" i="63" s="1"/>
  <c r="J23" i="63" s="1"/>
  <c r="P25" i="63"/>
  <c r="F73" i="63"/>
  <c r="K32" i="64" l="1"/>
  <c r="E32" i="64"/>
  <c r="F32" i="64" s="1"/>
  <c r="P32" i="64"/>
  <c r="F25" i="63"/>
  <c r="I25" i="63" s="1"/>
  <c r="J25" i="63" s="1"/>
  <c r="E26" i="63"/>
  <c r="F31" i="64"/>
  <c r="I31" i="64" s="1"/>
  <c r="J31" i="64" s="1"/>
  <c r="I71" i="64"/>
  <c r="H32" i="64"/>
  <c r="G32" i="64"/>
  <c r="F74" i="63"/>
  <c r="P26" i="63"/>
  <c r="E27" i="63" l="1"/>
  <c r="F26" i="63"/>
  <c r="I26" i="63" s="1"/>
  <c r="J26" i="63" s="1"/>
  <c r="H33" i="64"/>
  <c r="P33" i="64"/>
  <c r="I72" i="64"/>
  <c r="K33" i="64"/>
  <c r="G33" i="64"/>
  <c r="I32" i="64"/>
  <c r="J32" i="64" s="1"/>
  <c r="E33" i="64"/>
  <c r="I66" i="63"/>
  <c r="P27" i="63"/>
  <c r="K34" i="64" l="1"/>
  <c r="E34" i="64"/>
  <c r="F34" i="64" s="1"/>
  <c r="G34" i="64"/>
  <c r="P34" i="64"/>
  <c r="H34" i="64"/>
  <c r="P28" i="63"/>
  <c r="E28" i="63"/>
  <c r="F27" i="63"/>
  <c r="I27" i="63" s="1"/>
  <c r="J27" i="63" s="1"/>
  <c r="F33" i="64"/>
  <c r="I33" i="64" s="1"/>
  <c r="J33" i="64" s="1"/>
  <c r="I73" i="64"/>
  <c r="I67" i="63"/>
  <c r="P35" i="64" l="1"/>
  <c r="K35" i="64"/>
  <c r="I34" i="64"/>
  <c r="J34" i="64" s="1"/>
  <c r="H35" i="64"/>
  <c r="E29" i="63"/>
  <c r="F28" i="63"/>
  <c r="I28" i="63" s="1"/>
  <c r="J28" i="63" s="1"/>
  <c r="D29" i="63"/>
  <c r="H29" i="63"/>
  <c r="G29" i="63"/>
  <c r="K29" i="63"/>
  <c r="E35" i="64"/>
  <c r="F35" i="64" s="1"/>
  <c r="I74" i="64"/>
  <c r="G35" i="64"/>
  <c r="I68" i="63"/>
  <c r="H30" i="63"/>
  <c r="P29" i="63"/>
  <c r="K36" i="64" l="1"/>
  <c r="H36" i="64"/>
  <c r="P36" i="64"/>
  <c r="D30" i="63"/>
  <c r="K30" i="63"/>
  <c r="P30" i="63"/>
  <c r="G36" i="64"/>
  <c r="E36" i="64"/>
  <c r="F36" i="64" s="1"/>
  <c r="F29" i="63"/>
  <c r="I29" i="63" s="1"/>
  <c r="J29" i="63" s="1"/>
  <c r="I35" i="64"/>
  <c r="J35" i="64" s="1"/>
  <c r="G30" i="63"/>
  <c r="I69" i="63"/>
  <c r="D31" i="63" l="1"/>
  <c r="P31" i="63"/>
  <c r="G31" i="63"/>
  <c r="I36" i="64"/>
  <c r="J36" i="64" s="1"/>
  <c r="K31" i="63"/>
  <c r="E30" i="63"/>
  <c r="I70" i="63"/>
  <c r="H31" i="63"/>
  <c r="D32" i="63" l="1"/>
  <c r="K32" i="63"/>
  <c r="H32" i="63"/>
  <c r="P32" i="63"/>
  <c r="G32" i="63"/>
  <c r="E31" i="63"/>
  <c r="F30" i="63"/>
  <c r="I30" i="63" s="1"/>
  <c r="J30" i="63" s="1"/>
  <c r="I71" i="63"/>
  <c r="D33" i="63" l="1"/>
  <c r="P33" i="63"/>
  <c r="H33" i="63"/>
  <c r="K33" i="63"/>
  <c r="E32" i="63"/>
  <c r="F31" i="63"/>
  <c r="I31" i="63" s="1"/>
  <c r="J31" i="63" s="1"/>
  <c r="I72" i="63"/>
  <c r="H34" i="63"/>
  <c r="G33" i="63"/>
  <c r="D34" i="63" l="1"/>
  <c r="E33" i="63"/>
  <c r="F32" i="63"/>
  <c r="I32" i="63" s="1"/>
  <c r="J32" i="63" s="1"/>
  <c r="H35" i="63"/>
  <c r="I73" i="63"/>
  <c r="K34" i="63"/>
  <c r="G34" i="63"/>
  <c r="P34" i="63"/>
  <c r="P35" i="63" l="1"/>
  <c r="D35" i="63"/>
  <c r="G35" i="63"/>
  <c r="K35" i="63"/>
  <c r="E34" i="63"/>
  <c r="E35" i="63" s="1"/>
  <c r="F33" i="63"/>
  <c r="I33" i="63" s="1"/>
  <c r="J33" i="63" s="1"/>
  <c r="I74" i="63"/>
  <c r="H36" i="63"/>
  <c r="F34" i="63" l="1"/>
  <c r="I34" i="63" s="1"/>
  <c r="J34" i="63" s="1"/>
  <c r="K36" i="63"/>
  <c r="G36" i="63"/>
  <c r="D36" i="63"/>
  <c r="F35" i="63"/>
  <c r="I35" i="63" s="1"/>
  <c r="J35" i="63" s="1"/>
  <c r="P36" i="63"/>
  <c r="E36" i="63"/>
  <c r="F36" i="63" l="1"/>
  <c r="I36" i="63" s="1"/>
  <c r="J36" i="63" s="1"/>
  <c r="J264" i="31" l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D44" i="49" l="1"/>
  <c r="C67" i="62" l="1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H12" i="59"/>
  <c r="E21" i="62"/>
  <c r="B3" i="50"/>
  <c r="C52" i="50" s="1"/>
  <c r="B9" i="50" s="1"/>
  <c r="G12" i="57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G13" i="57" l="1"/>
  <c r="G14" i="57" s="1"/>
  <c r="H14" i="58"/>
  <c r="I12" i="57"/>
  <c r="J12" i="57" s="1"/>
  <c r="I12" i="54"/>
  <c r="J12" i="54" s="1"/>
  <c r="G13" i="54"/>
  <c r="I12" i="59"/>
  <c r="J12" i="59" s="1"/>
  <c r="K13" i="50"/>
  <c r="G13" i="59"/>
  <c r="P13" i="54"/>
  <c r="G12" i="61"/>
  <c r="K12" i="60"/>
  <c r="K13" i="60" s="1"/>
  <c r="E12" i="61"/>
  <c r="F12" i="61" s="1"/>
  <c r="H13" i="54"/>
  <c r="H14" i="54" s="1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23" i="62" s="1"/>
  <c r="E13" i="57"/>
  <c r="E14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H14" i="56"/>
  <c r="H15" i="56" s="1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H15" i="58" l="1"/>
  <c r="G15" i="57"/>
  <c r="K14" i="50"/>
  <c r="F13" i="57"/>
  <c r="I13" i="57" s="1"/>
  <c r="J13" i="57" s="1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K15" i="50" l="1"/>
  <c r="H16" i="58"/>
  <c r="H17" i="58" s="1"/>
  <c r="H17" i="49"/>
  <c r="H18" i="49" s="1"/>
  <c r="G15" i="60"/>
  <c r="K16" i="56"/>
  <c r="G15" i="59"/>
  <c r="G16" i="59" s="1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K16" i="50" l="1"/>
  <c r="H17" i="57"/>
  <c r="G16" i="60"/>
  <c r="P16" i="54"/>
  <c r="G16" i="55"/>
  <c r="H16" i="59"/>
  <c r="G17" i="56"/>
  <c r="L18" i="49"/>
  <c r="G16" i="53"/>
  <c r="K16" i="54"/>
  <c r="K17" i="56"/>
  <c r="P16" i="53"/>
  <c r="G16" i="54"/>
  <c r="H16" i="54"/>
  <c r="H17" i="56"/>
  <c r="H18" i="56" s="1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C73" i="60"/>
  <c r="E16" i="59"/>
  <c r="F15" i="59"/>
  <c r="I15" i="59" s="1"/>
  <c r="J15" i="59" s="1"/>
  <c r="K16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K17" i="50"/>
  <c r="C73" i="50"/>
  <c r="H19" i="49"/>
  <c r="F66" i="49"/>
  <c r="E15" i="49"/>
  <c r="F14" i="49"/>
  <c r="J14" i="49" s="1"/>
  <c r="K14" i="49" s="1"/>
  <c r="D18" i="49"/>
  <c r="B19" i="49"/>
  <c r="G17" i="60" l="1"/>
  <c r="H18" i="57"/>
  <c r="G17" i="55"/>
  <c r="P17" i="54"/>
  <c r="H17" i="59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9" i="56" s="1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G18" i="55" l="1"/>
  <c r="H19" i="57"/>
  <c r="P18" i="54"/>
  <c r="H18" i="59"/>
  <c r="G18" i="59"/>
  <c r="H19" i="56"/>
  <c r="H20" i="56" s="1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20" i="57" l="1"/>
  <c r="H19" i="59"/>
  <c r="H20" i="59" s="1"/>
  <c r="K19" i="55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H21" i="54" s="1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H23" i="61" l="1"/>
  <c r="G25" i="57"/>
  <c r="K25" i="56"/>
  <c r="K26" i="56" s="1"/>
  <c r="P24" i="54"/>
  <c r="P25" i="54" s="1"/>
  <c r="G25" i="56"/>
  <c r="K24" i="59"/>
  <c r="H24" i="60"/>
  <c r="G33" i="62"/>
  <c r="K23" i="61"/>
  <c r="K33" i="62"/>
  <c r="L26" i="49"/>
  <c r="G24" i="50"/>
  <c r="P24" i="53"/>
  <c r="K24" i="55"/>
  <c r="H24" i="55"/>
  <c r="K25" i="57"/>
  <c r="K26" i="57" s="1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F73" i="57"/>
  <c r="H25" i="57"/>
  <c r="F24" i="57"/>
  <c r="I24" i="57" s="1"/>
  <c r="J24" i="57" s="1"/>
  <c r="E25" i="57"/>
  <c r="H25" i="56"/>
  <c r="F73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F27" i="59" s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P28" i="54" l="1"/>
  <c r="I27" i="50"/>
  <c r="J27" i="50" s="1"/>
  <c r="I36" i="62"/>
  <c r="J36" i="62" s="1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G29" i="54" s="1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E30" i="56"/>
  <c r="F29" i="57"/>
  <c r="I29" i="57" s="1"/>
  <c r="J29" i="57" s="1"/>
  <c r="K29" i="50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9" l="1"/>
  <c r="K30" i="50"/>
  <c r="D31" i="57"/>
  <c r="F30" i="57"/>
  <c r="I30" i="57" s="1"/>
  <c r="J30" i="57" s="1"/>
  <c r="K30" i="60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K31" i="59" l="1"/>
  <c r="K32" i="59" s="1"/>
  <c r="H31" i="54"/>
  <c r="H32" i="56"/>
  <c r="D32" i="57"/>
  <c r="F31" i="57"/>
  <c r="I31" i="57" s="1"/>
  <c r="J31" i="57" s="1"/>
  <c r="K31" i="50"/>
  <c r="P31" i="53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H32" i="60" s="1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E30" i="60"/>
  <c r="F29" i="60"/>
  <c r="I29" i="60" s="1"/>
  <c r="J29" i="60" s="1"/>
  <c r="I70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I70" i="50"/>
  <c r="E30" i="49"/>
  <c r="F29" i="49"/>
  <c r="J29" i="49" s="1"/>
  <c r="K29" i="49" s="1"/>
  <c r="L33" i="49"/>
  <c r="D33" i="49"/>
  <c r="G33" i="49"/>
  <c r="J72" i="49"/>
  <c r="H34" i="49"/>
  <c r="H33" i="56" l="1"/>
  <c r="H32" i="54"/>
  <c r="K32" i="50"/>
  <c r="K33" i="50" s="1"/>
  <c r="D33" i="57"/>
  <c r="P32" i="53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I71" i="53"/>
  <c r="I70" i="52"/>
  <c r="D32" i="52"/>
  <c r="F30" i="52"/>
  <c r="I30" i="52" s="1"/>
  <c r="J30" i="52" s="1"/>
  <c r="E32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F33" i="57" l="1"/>
  <c r="I33" i="57" s="1"/>
  <c r="J33" i="57" s="1"/>
  <c r="P33" i="53"/>
  <c r="K34" i="57"/>
  <c r="K33" i="54"/>
  <c r="K34" i="54" s="1"/>
  <c r="I31" i="52"/>
  <c r="J31" i="52" s="1"/>
  <c r="G34" i="56"/>
  <c r="H34" i="56"/>
  <c r="G33" i="54"/>
  <c r="H33" i="50"/>
  <c r="E32" i="52"/>
  <c r="F32" i="52" s="1"/>
  <c r="P32" i="52"/>
  <c r="G35" i="49"/>
  <c r="K32" i="52"/>
  <c r="P33" i="54"/>
  <c r="G33" i="55"/>
  <c r="K34" i="56"/>
  <c r="P33" i="50"/>
  <c r="P34" i="50" s="1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K33" i="53"/>
  <c r="G33" i="53"/>
  <c r="D33" i="53"/>
  <c r="F32" i="53"/>
  <c r="I32" i="53" s="1"/>
  <c r="J32" i="53" s="1"/>
  <c r="G32" i="52"/>
  <c r="H32" i="52"/>
  <c r="D33" i="52"/>
  <c r="I71" i="52"/>
  <c r="D33" i="50"/>
  <c r="F32" i="50"/>
  <c r="I32" i="50" s="1"/>
  <c r="J32" i="50" s="1"/>
  <c r="I72" i="50"/>
  <c r="G33" i="50"/>
  <c r="E33" i="50"/>
  <c r="E32" i="49"/>
  <c r="F31" i="49"/>
  <c r="J31" i="49" s="1"/>
  <c r="K31" i="49" s="1"/>
  <c r="J74" i="49"/>
  <c r="H36" i="49"/>
  <c r="D35" i="49"/>
  <c r="L35" i="49"/>
  <c r="P34" i="53" l="1"/>
  <c r="H35" i="56"/>
  <c r="H34" i="59"/>
  <c r="K34" i="55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3" l="1"/>
  <c r="P36" i="53" s="1"/>
  <c r="E36" i="56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X5" i="25"/>
  <c r="B66" i="25" l="1"/>
  <c r="B56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70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" i="31"/>
  <c r="I15" i="31"/>
  <c r="I37" i="31"/>
  <c r="I157" i="31" l="1"/>
  <c r="I49" i="31"/>
  <c r="I146" i="31"/>
  <c r="I38" i="31"/>
  <c r="I135" i="31"/>
  <c r="I255" i="31" s="1"/>
  <c r="I27" i="31"/>
  <c r="I16" i="31"/>
  <c r="I147" i="31" l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40" i="31"/>
  <c r="I159" i="31"/>
  <c r="I51" i="31"/>
  <c r="I137" i="31"/>
  <c r="I257" i="31" s="1"/>
  <c r="I29" i="31"/>
  <c r="I18" i="31"/>
  <c r="I181" i="31"/>
  <c r="I73" i="31"/>
  <c r="I193" i="31" s="1"/>
  <c r="I138" i="31" l="1"/>
  <c r="I258" i="31" s="1"/>
  <c r="I19" i="31"/>
  <c r="I30" i="31"/>
  <c r="I182" i="31"/>
  <c r="I74" i="31"/>
  <c r="I194" i="31" s="1"/>
  <c r="I85" i="31"/>
  <c r="I205" i="31" s="1"/>
  <c r="I149" i="31"/>
  <c r="I41" i="31"/>
  <c r="I171" i="31"/>
  <c r="I63" i="31"/>
  <c r="I160" i="31"/>
  <c r="I52" i="31"/>
  <c r="I172" i="31" l="1"/>
  <c r="I64" i="31"/>
  <c r="I161" i="31"/>
  <c r="I53" i="31"/>
  <c r="I97" i="31"/>
  <c r="I217" i="31" s="1"/>
  <c r="I150" i="31"/>
  <c r="I42" i="31"/>
  <c r="I183" i="31"/>
  <c r="I75" i="31"/>
  <c r="I195" i="31" s="1"/>
  <c r="I86" i="31"/>
  <c r="I206" i="31" s="1"/>
  <c r="I139" i="31"/>
  <c r="I259" i="31" s="1"/>
  <c r="I31" i="31"/>
  <c r="I20" i="31"/>
  <c r="I151" i="31" l="1"/>
  <c r="I43" i="31"/>
  <c r="I87" i="31"/>
  <c r="I207" i="31" s="1"/>
  <c r="I162" i="31"/>
  <c r="I54" i="31"/>
  <c r="I109" i="31"/>
  <c r="I229" i="31" s="1"/>
  <c r="I184" i="31"/>
  <c r="I76" i="31"/>
  <c r="I196" i="31" s="1"/>
  <c r="I140" i="31"/>
  <c r="I260" i="31" s="1"/>
  <c r="I21" i="31"/>
  <c r="I32" i="31"/>
  <c r="I98" i="31"/>
  <c r="I218" i="31" s="1"/>
  <c r="I173" i="31"/>
  <c r="I65" i="31"/>
  <c r="I152" i="31" l="1"/>
  <c r="I44" i="31"/>
  <c r="I174" i="31"/>
  <c r="I66" i="31"/>
  <c r="I185" i="31"/>
  <c r="I77" i="31"/>
  <c r="I197" i="31" s="1"/>
  <c r="I110" i="31"/>
  <c r="I230" i="31" s="1"/>
  <c r="I141" i="31"/>
  <c r="I261" i="31" s="1"/>
  <c r="I33" i="31"/>
  <c r="I22" i="31"/>
  <c r="I88" i="31"/>
  <c r="I208" i="31" s="1"/>
  <c r="I121" i="31"/>
  <c r="I241" i="31" s="1"/>
  <c r="I99" i="31"/>
  <c r="I219" i="31" s="1"/>
  <c r="I163" i="31"/>
  <c r="I55" i="31"/>
  <c r="I175" i="31" l="1"/>
  <c r="I67" i="31"/>
  <c r="I100" i="31"/>
  <c r="I220" i="31" s="1"/>
  <c r="I153" i="3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209" i="31" s="1"/>
  <c r="I186" i="31"/>
  <c r="I78" i="31"/>
  <c r="I198" i="31" s="1"/>
  <c r="I90" i="31" l="1"/>
  <c r="I210" i="31" s="1"/>
  <c r="I143" i="31"/>
  <c r="I263" i="31" s="1"/>
  <c r="I35" i="31"/>
  <c r="I24" i="31"/>
  <c r="I123" i="31"/>
  <c r="I243" i="31" s="1"/>
  <c r="I187" i="31"/>
  <c r="I79" i="31"/>
  <c r="I199" i="31" s="1"/>
  <c r="I101" i="31"/>
  <c r="I221" i="31" s="1"/>
  <c r="I154" i="31"/>
  <c r="I46" i="31"/>
  <c r="I176" i="31"/>
  <c r="I68" i="31"/>
  <c r="I165" i="31"/>
  <c r="I57" i="31"/>
  <c r="I112" i="31"/>
  <c r="I232" i="31" s="1"/>
  <c r="I177" i="31" l="1"/>
  <c r="I69" i="31"/>
  <c r="I188" i="31"/>
  <c r="I80" i="31"/>
  <c r="I200" i="31" s="1"/>
  <c r="I113" i="31"/>
  <c r="I233" i="31" s="1"/>
  <c r="I91" i="31"/>
  <c r="I211" i="31" s="1"/>
  <c r="I155" i="31"/>
  <c r="I47" i="31"/>
  <c r="I124" i="31"/>
  <c r="I244" i="31" s="1"/>
  <c r="I166" i="31"/>
  <c r="I58" i="31"/>
  <c r="I144" i="31"/>
  <c r="I264" i="31" s="1"/>
  <c r="I36" i="31"/>
  <c r="I102" i="31"/>
  <c r="I222" i="31" s="1"/>
  <c r="I114" i="31" l="1"/>
  <c r="I234" i="31" s="1"/>
  <c r="I103" i="31"/>
  <c r="I223" i="31" s="1"/>
  <c r="I189" i="31"/>
  <c r="I81" i="31"/>
  <c r="I201" i="31" s="1"/>
  <c r="I156" i="31"/>
  <c r="I48" i="31"/>
  <c r="I178" i="31"/>
  <c r="I70" i="31"/>
  <c r="I167" i="31"/>
  <c r="I59" i="31"/>
  <c r="I125" i="31"/>
  <c r="I245" i="31" s="1"/>
  <c r="I92" i="31"/>
  <c r="I212" i="31" s="1"/>
  <c r="I104" i="31" l="1"/>
  <c r="I224" i="31" s="1"/>
  <c r="I190" i="31"/>
  <c r="I82" i="31"/>
  <c r="I202" i="31" s="1"/>
  <c r="I93" i="31"/>
  <c r="I213" i="31" s="1"/>
  <c r="I179" i="31"/>
  <c r="I71" i="31"/>
  <c r="I168" i="31"/>
  <c r="I60" i="31"/>
  <c r="I115" i="31"/>
  <c r="I235" i="31" s="1"/>
  <c r="I126" i="31"/>
  <c r="I246" i="31" s="1"/>
  <c r="I127" i="31" l="1"/>
  <c r="I247" i="31" s="1"/>
  <c r="I191" i="31"/>
  <c r="I83" i="31"/>
  <c r="I203" i="31" s="1"/>
  <c r="I105" i="31"/>
  <c r="I225" i="31" s="1"/>
  <c r="I94" i="31"/>
  <c r="I214" i="31" s="1"/>
  <c r="I180" i="31"/>
  <c r="I72" i="31"/>
  <c r="I116" i="31"/>
  <c r="I236" i="31" s="1"/>
  <c r="I117" i="31" l="1"/>
  <c r="I237" i="31" s="1"/>
  <c r="I95" i="31"/>
  <c r="I215" i="31" s="1"/>
  <c r="I128" i="31"/>
  <c r="I248" i="31" s="1"/>
  <c r="I192" i="31"/>
  <c r="I84" i="31"/>
  <c r="I204" i="31" s="1"/>
  <c r="I106" i="31"/>
  <c r="I226" i="31" s="1"/>
  <c r="I118" i="31" l="1"/>
  <c r="I238" i="31" s="1"/>
  <c r="I107" i="31"/>
  <c r="I227" i="31" s="1"/>
  <c r="I96" i="31"/>
  <c r="I216" i="31" s="1"/>
  <c r="I129" i="31"/>
  <c r="I249" i="31" s="1"/>
  <c r="I119" i="31" l="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73" i="25" l="1"/>
  <c r="K264" i="31" l="1"/>
  <c r="B74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l="1"/>
  <c r="B15" i="31"/>
  <c r="J14" i="31"/>
  <c r="O13" i="25"/>
  <c r="B14" i="25"/>
  <c r="AP13" i="25" l="1"/>
  <c r="AO13" i="25"/>
  <c r="BD13" i="25"/>
  <c r="AQ13" i="25"/>
  <c r="BC13" i="25"/>
  <c r="AU13" i="25"/>
  <c r="AY13" i="25"/>
  <c r="AN13" i="25"/>
  <c r="AW13" i="25"/>
  <c r="AL13" i="25"/>
  <c r="AT13" i="25"/>
  <c r="BB13" i="25"/>
  <c r="AR13" i="25"/>
  <c r="AX13" i="25"/>
  <c r="B15" i="25"/>
  <c r="O14" i="25"/>
  <c r="AZ13" i="25"/>
  <c r="BA13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AS13" i="25"/>
  <c r="AV13" i="25"/>
  <c r="BI13" i="25"/>
  <c r="BG13" i="25"/>
  <c r="BX13" i="25"/>
  <c r="BT13" i="25"/>
  <c r="BH13" i="25"/>
  <c r="BP13" i="25"/>
  <c r="AM13" i="25"/>
  <c r="BL13" i="25"/>
  <c r="J15" i="31"/>
  <c r="B16" i="31"/>
  <c r="L28" i="31"/>
  <c r="AM14" i="25" l="1"/>
  <c r="AW14" i="25"/>
  <c r="AO14" i="25"/>
  <c r="AS14" i="25"/>
  <c r="AZ14" i="25"/>
  <c r="AN14" i="25"/>
  <c r="AV14" i="25"/>
  <c r="AY14" i="25"/>
  <c r="CJ13" i="25"/>
  <c r="CE13" i="25"/>
  <c r="AQ14" i="25"/>
  <c r="BD14" i="25"/>
  <c r="AP14" i="25"/>
  <c r="AL14" i="25"/>
  <c r="BA14" i="25"/>
  <c r="AX14" i="25"/>
  <c r="BC14" i="25"/>
  <c r="AT14" i="25"/>
  <c r="AU14" i="25"/>
  <c r="BB14" i="25"/>
  <c r="CS13" i="25"/>
  <c r="CD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AR14" i="25"/>
  <c r="AK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AP15" i="25" l="1"/>
  <c r="AM15" i="25"/>
  <c r="AX15" i="25"/>
  <c r="AO15" i="25"/>
  <c r="BC15" i="25"/>
  <c r="AY15" i="25"/>
  <c r="CE14" i="25"/>
  <c r="CJ14" i="25"/>
  <c r="CB14" i="25"/>
  <c r="CM14" i="25"/>
  <c r="CF14" i="25"/>
  <c r="CH14" i="25"/>
  <c r="BA15" i="25"/>
  <c r="AZ15" i="25"/>
  <c r="AN15" i="25"/>
  <c r="AQ15" i="25"/>
  <c r="AL15" i="25"/>
  <c r="BB15" i="25"/>
  <c r="AT15" i="25"/>
  <c r="AU15" i="25"/>
  <c r="CQ14" i="25"/>
  <c r="CR14" i="25"/>
  <c r="AW15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CJ15" i="25" s="1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D15" i="25"/>
  <c r="AS15" i="25"/>
  <c r="BN15" i="25"/>
  <c r="BF15" i="25"/>
  <c r="AV15" i="25"/>
  <c r="AR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AW16" i="25" l="1"/>
  <c r="AT16" i="25"/>
  <c r="AO16" i="25"/>
  <c r="BA16" i="25"/>
  <c r="AN16" i="25"/>
  <c r="AU16" i="25"/>
  <c r="AZ16" i="25"/>
  <c r="BC16" i="25"/>
  <c r="CE15" i="25"/>
  <c r="AQ16" i="25"/>
  <c r="AM16" i="25"/>
  <c r="BD16" i="25"/>
  <c r="AV16" i="25"/>
  <c r="AP16" i="25"/>
  <c r="AL16" i="25"/>
  <c r="AS16" i="25"/>
  <c r="AR16" i="25"/>
  <c r="AX16" i="25"/>
  <c r="AY16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A15" i="25" s="1"/>
  <c r="CL15" i="25"/>
  <c r="CH15" i="25"/>
  <c r="CG15" i="25"/>
  <c r="CT15" i="25"/>
  <c r="CD15" i="25"/>
  <c r="CR15" i="25"/>
  <c r="CK15" i="25"/>
  <c r="CP15" i="25"/>
  <c r="B18" i="25"/>
  <c r="O17" i="25"/>
  <c r="BB16" i="25"/>
  <c r="BJ16" i="25"/>
  <c r="BL16" i="25"/>
  <c r="BK16" i="25"/>
  <c r="BQ16" i="25"/>
  <c r="BS16" i="25"/>
  <c r="BW16" i="25"/>
  <c r="BH16" i="25"/>
  <c r="AK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CJ16" i="25" l="1"/>
  <c r="AQ17" i="25"/>
  <c r="AS17" i="25"/>
  <c r="AR17" i="25"/>
  <c r="AO17" i="25"/>
  <c r="AU17" i="25"/>
  <c r="AN17" i="25"/>
  <c r="CE16" i="25"/>
  <c r="AK17" i="25"/>
  <c r="AW17" i="25"/>
  <c r="AV17" i="25"/>
  <c r="AL17" i="25"/>
  <c r="AP17" i="25"/>
  <c r="AT17" i="25"/>
  <c r="AX17" i="25"/>
  <c r="BB17" i="25"/>
  <c r="BC17" i="25"/>
  <c r="CT16" i="25"/>
  <c r="CS16" i="25"/>
  <c r="CI16" i="25"/>
  <c r="CA16" i="25"/>
  <c r="CP16" i="25"/>
  <c r="CD16" i="25"/>
  <c r="CU15" i="25"/>
  <c r="C15" i="25" s="1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D17" i="25"/>
  <c r="AZ17" i="25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AM17" i="25"/>
  <c r="BJ17" i="25"/>
  <c r="BF17" i="25"/>
  <c r="BL17" i="25"/>
  <c r="BA17" i="25"/>
  <c r="AY17" i="25"/>
  <c r="BO17" i="25"/>
  <c r="BS17" i="25"/>
  <c r="BH17" i="25"/>
  <c r="BI17" i="25"/>
  <c r="BP17" i="25"/>
  <c r="BG17" i="25"/>
  <c r="BK17" i="25"/>
  <c r="L32" i="31"/>
  <c r="B19" i="25"/>
  <c r="O18" i="25"/>
  <c r="BA18" i="25" l="1"/>
  <c r="AS18" i="25"/>
  <c r="AT18" i="25"/>
  <c r="BD18" i="25"/>
  <c r="BB18" i="25"/>
  <c r="AY18" i="25"/>
  <c r="CJ17" i="25"/>
  <c r="CC17" i="25"/>
  <c r="CE17" i="25"/>
  <c r="CF17" i="25"/>
  <c r="CD17" i="25"/>
  <c r="AV18" i="25"/>
  <c r="AP18" i="25"/>
  <c r="AZ18" i="25"/>
  <c r="AK18" i="25"/>
  <c r="AR18" i="25"/>
  <c r="AX18" i="25"/>
  <c r="BC18" i="25"/>
  <c r="AU18" i="25"/>
  <c r="AO18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BJ18" i="25"/>
  <c r="BP18" i="25"/>
  <c r="BV18" i="25"/>
  <c r="BY18" i="25"/>
  <c r="BG18" i="25"/>
  <c r="BT18" i="25"/>
  <c r="AM18" i="25"/>
  <c r="BO18" i="25"/>
  <c r="BQ18" i="25"/>
  <c r="BL18" i="25"/>
  <c r="AL18" i="25"/>
  <c r="BI18" i="25"/>
  <c r="BF18" i="25"/>
  <c r="AW18" i="25"/>
  <c r="AQ18" i="25"/>
  <c r="BN18" i="25"/>
  <c r="BK18" i="25"/>
  <c r="BM18" i="25"/>
  <c r="BX18" i="25"/>
  <c r="BU18" i="25"/>
  <c r="CW18" i="25"/>
  <c r="CX18" i="25" s="1"/>
  <c r="CY18" i="25" s="1"/>
  <c r="BS18" i="25"/>
  <c r="AN18" i="25"/>
  <c r="BW18" i="25"/>
  <c r="BH18" i="25"/>
  <c r="BR18" i="25"/>
  <c r="L33" i="31"/>
  <c r="J20" i="31"/>
  <c r="B21" i="31"/>
  <c r="AK19" i="25" l="1"/>
  <c r="AM19" i="25"/>
  <c r="AR19" i="25"/>
  <c r="BC19" i="25"/>
  <c r="AU19" i="25"/>
  <c r="CJ18" i="25"/>
  <c r="CE18" i="25"/>
  <c r="CM18" i="25"/>
  <c r="CT18" i="25"/>
  <c r="BA19" i="25"/>
  <c r="AS19" i="25"/>
  <c r="AZ19" i="25"/>
  <c r="AN19" i="25"/>
  <c r="BD19" i="25"/>
  <c r="AP19" i="25"/>
  <c r="AW19" i="25"/>
  <c r="AV19" i="25"/>
  <c r="AL19" i="25"/>
  <c r="AT19" i="25"/>
  <c r="AY19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AX19" i="25"/>
  <c r="AQ19" i="25"/>
  <c r="BB19" i="25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AO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BA20" i="25" l="1"/>
  <c r="BD20" i="25"/>
  <c r="BB20" i="25"/>
  <c r="AL20" i="25"/>
  <c r="AT20" i="25"/>
  <c r="BC20" i="25"/>
  <c r="AN20" i="25"/>
  <c r="AV20" i="25"/>
  <c r="AZ20" i="25"/>
  <c r="AY20" i="25"/>
  <c r="CE19" i="25"/>
  <c r="CJ19" i="25"/>
  <c r="CF19" i="25"/>
  <c r="AQ20" i="25"/>
  <c r="AM20" i="25"/>
  <c r="AS20" i="25"/>
  <c r="AK20" i="25"/>
  <c r="AO20" i="25"/>
  <c r="AU20" i="25"/>
  <c r="AX20" i="25"/>
  <c r="CT19" i="25"/>
  <c r="AR20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AW20" i="25"/>
  <c r="BJ20" i="25"/>
  <c r="BV20" i="25"/>
  <c r="BX20" i="25"/>
  <c r="BT20" i="25"/>
  <c r="BR20" i="25"/>
  <c r="BK20" i="25"/>
  <c r="BG20" i="25"/>
  <c r="AP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CY20" i="25" s="1"/>
  <c r="BH20" i="25"/>
  <c r="J22" i="31"/>
  <c r="B23" i="31"/>
  <c r="B22" i="25"/>
  <c r="O21" i="25"/>
  <c r="L35" i="31"/>
  <c r="AP21" i="25" l="1"/>
  <c r="AK21" i="25"/>
  <c r="AL21" i="25"/>
  <c r="AR21" i="25"/>
  <c r="AO21" i="25"/>
  <c r="AM21" i="25"/>
  <c r="AV21" i="25"/>
  <c r="AU21" i="25"/>
  <c r="AZ21" i="25"/>
  <c r="BC21" i="25"/>
  <c r="AN21" i="25"/>
  <c r="CJ20" i="25"/>
  <c r="CE20" i="25"/>
  <c r="AS21" i="25"/>
  <c r="AW21" i="25"/>
  <c r="AQ21" i="25"/>
  <c r="BD21" i="25"/>
  <c r="AT21" i="25"/>
  <c r="AY21" i="25"/>
  <c r="CP20" i="25"/>
  <c r="CI20" i="25"/>
  <c r="CM20" i="25"/>
  <c r="AX21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O22" i="25"/>
  <c r="B23" i="25"/>
  <c r="J23" i="31"/>
  <c r="B24" i="31"/>
  <c r="BA21" i="25"/>
  <c r="BO21" i="25"/>
  <c r="BW21" i="25"/>
  <c r="BH21" i="25"/>
  <c r="BK21" i="25"/>
  <c r="BQ21" i="25"/>
  <c r="CW21" i="25"/>
  <c r="CX21" i="25" s="1"/>
  <c r="CY21" i="25" s="1"/>
  <c r="BY21" i="25"/>
  <c r="BU21" i="25"/>
  <c r="BS21" i="25"/>
  <c r="BR21" i="25"/>
  <c r="BB21" i="25"/>
  <c r="BN21" i="25"/>
  <c r="BG21" i="25"/>
  <c r="BJ21" i="25"/>
  <c r="BT21" i="25"/>
  <c r="BV21" i="25"/>
  <c r="BI21" i="25"/>
  <c r="BM21" i="25"/>
  <c r="BX21" i="25"/>
  <c r="BL21" i="25"/>
  <c r="BF21" i="25"/>
  <c r="BP21" i="25"/>
  <c r="AM22" i="25" l="1"/>
  <c r="BA22" i="25"/>
  <c r="AL22" i="25"/>
  <c r="AQ22" i="25"/>
  <c r="AY22" i="25"/>
  <c r="BC22" i="25"/>
  <c r="CJ21" i="25"/>
  <c r="CE21" i="25"/>
  <c r="CH21" i="25"/>
  <c r="AW22" i="25"/>
  <c r="BD22" i="25"/>
  <c r="AV22" i="25"/>
  <c r="AP22" i="25"/>
  <c r="AZ22" i="25"/>
  <c r="AN22" i="25"/>
  <c r="AS22" i="25"/>
  <c r="AK22" i="25"/>
  <c r="AR22" i="25"/>
  <c r="AX22" i="25"/>
  <c r="BB22" i="25"/>
  <c r="AT22" i="25"/>
  <c r="AU22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J22" i="25"/>
  <c r="BL22" i="25"/>
  <c r="BK22" i="25"/>
  <c r="BV22" i="25"/>
  <c r="BM22" i="25"/>
  <c r="BU22" i="25"/>
  <c r="BF22" i="25"/>
  <c r="BS22" i="25"/>
  <c r="BG22" i="25"/>
  <c r="AO22" i="25"/>
  <c r="CE22" i="25" s="1"/>
  <c r="BI22" i="25"/>
  <c r="BP22" i="25"/>
  <c r="BQ22" i="25"/>
  <c r="CW22" i="25"/>
  <c r="CX22" i="25" s="1"/>
  <c r="CY22" i="25" s="1"/>
  <c r="BO22" i="25"/>
  <c r="CJ22" i="25" s="1"/>
  <c r="BY22" i="25"/>
  <c r="BW22" i="25"/>
  <c r="BH22" i="25"/>
  <c r="BX22" i="25"/>
  <c r="BN22" i="25"/>
  <c r="BT22" i="25"/>
  <c r="BR22" i="25"/>
  <c r="B25" i="31"/>
  <c r="J24" i="31"/>
  <c r="AP23" i="25" l="1"/>
  <c r="AK23" i="25"/>
  <c r="AM23" i="25"/>
  <c r="AN23" i="25"/>
  <c r="BC23" i="25"/>
  <c r="AZ23" i="25"/>
  <c r="CM22" i="25"/>
  <c r="AS23" i="25"/>
  <c r="AO23" i="25"/>
  <c r="AR23" i="25"/>
  <c r="AW23" i="25"/>
  <c r="AL23" i="25"/>
  <c r="BB23" i="25"/>
  <c r="AY23" i="25"/>
  <c r="AX23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A23" i="25"/>
  <c r="AT23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AU23" i="25"/>
  <c r="BU23" i="25"/>
  <c r="BS23" i="25"/>
  <c r="BI23" i="25"/>
  <c r="BV23" i="25"/>
  <c r="BF23" i="25"/>
  <c r="AV23" i="25"/>
  <c r="AQ23" i="25"/>
  <c r="BO23" i="25"/>
  <c r="CJ23" i="25" s="1"/>
  <c r="BN23" i="25"/>
  <c r="BH23" i="25"/>
  <c r="BK23" i="25"/>
  <c r="BG23" i="25"/>
  <c r="BD23" i="25"/>
  <c r="BL23" i="25"/>
  <c r="BM23" i="25"/>
  <c r="O24" i="25"/>
  <c r="B25" i="25"/>
  <c r="J25" i="31"/>
  <c r="B26" i="31"/>
  <c r="BA24" i="25" l="1"/>
  <c r="AQ24" i="25"/>
  <c r="AL24" i="25"/>
  <c r="AY24" i="25"/>
  <c r="BC24" i="25"/>
  <c r="AZ24" i="25"/>
  <c r="AU24" i="25"/>
  <c r="CE23" i="25"/>
  <c r="CF23" i="25"/>
  <c r="CA23" i="25"/>
  <c r="AW24" i="25"/>
  <c r="BD24" i="25"/>
  <c r="AV24" i="25"/>
  <c r="AP24" i="25"/>
  <c r="AS24" i="25"/>
  <c r="AK24" i="25"/>
  <c r="AR24" i="25"/>
  <c r="AO24" i="25"/>
  <c r="AN24" i="25"/>
  <c r="AT24" i="25"/>
  <c r="AX24" i="25"/>
  <c r="BB24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J24" i="25"/>
  <c r="BT24" i="25"/>
  <c r="BX24" i="25"/>
  <c r="BV24" i="25"/>
  <c r="BY24" i="25"/>
  <c r="BR24" i="25"/>
  <c r="BO24" i="25"/>
  <c r="BL24" i="25"/>
  <c r="AM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AT25" i="25" l="1"/>
  <c r="AP25" i="25"/>
  <c r="AQ25" i="25"/>
  <c r="AR25" i="25"/>
  <c r="BA25" i="25"/>
  <c r="AV25" i="25"/>
  <c r="AU25" i="25"/>
  <c r="AN25" i="25"/>
  <c r="CJ24" i="25"/>
  <c r="CE24" i="25"/>
  <c r="CR24" i="25"/>
  <c r="CP24" i="25"/>
  <c r="CI24" i="25"/>
  <c r="AO25" i="25"/>
  <c r="AK25" i="25"/>
  <c r="AZ25" i="25"/>
  <c r="AW25" i="25"/>
  <c r="AM25" i="25"/>
  <c r="AL25" i="25"/>
  <c r="BD25" i="25"/>
  <c r="AX25" i="25"/>
  <c r="BB25" i="25"/>
  <c r="BC25" i="25"/>
  <c r="AY25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AS25" i="25"/>
  <c r="BJ25" i="25"/>
  <c r="BT25" i="25"/>
  <c r="BX25" i="25"/>
  <c r="BL25" i="25"/>
  <c r="BU25" i="25"/>
  <c r="BY25" i="25"/>
  <c r="BK25" i="25"/>
  <c r="BW25" i="25"/>
  <c r="BS25" i="25"/>
  <c r="AM26" i="25" l="1"/>
  <c r="BA26" i="25"/>
  <c r="AL26" i="25"/>
  <c r="BD26" i="25"/>
  <c r="AQ26" i="25"/>
  <c r="AU26" i="25"/>
  <c r="AY26" i="25"/>
  <c r="BC26" i="25"/>
  <c r="CJ25" i="25"/>
  <c r="CE25" i="25"/>
  <c r="CN25" i="25"/>
  <c r="AW26" i="25"/>
  <c r="AV26" i="25"/>
  <c r="AP26" i="25"/>
  <c r="AO26" i="25"/>
  <c r="AN26" i="25"/>
  <c r="AK26" i="25"/>
  <c r="AX26" i="25"/>
  <c r="BB26" i="25"/>
  <c r="AT26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AS26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AZ26" i="25"/>
  <c r="BK26" i="25"/>
  <c r="BV26" i="25"/>
  <c r="AR26" i="25"/>
  <c r="BP26" i="25"/>
  <c r="BF26" i="25"/>
  <c r="BI26" i="25"/>
  <c r="BW26" i="25"/>
  <c r="BX26" i="25"/>
  <c r="J28" i="31"/>
  <c r="B29" i="31"/>
  <c r="O27" i="25"/>
  <c r="B28" i="25"/>
  <c r="AK27" i="25" l="1"/>
  <c r="AQ27" i="25"/>
  <c r="AL27" i="25"/>
  <c r="AR27" i="25"/>
  <c r="AU27" i="25"/>
  <c r="AN27" i="25"/>
  <c r="AV27" i="25"/>
  <c r="BC27" i="25"/>
  <c r="AZ27" i="25"/>
  <c r="CJ26" i="25"/>
  <c r="CE26" i="25"/>
  <c r="AS27" i="25"/>
  <c r="AO27" i="25"/>
  <c r="BD27" i="25"/>
  <c r="AW27" i="25"/>
  <c r="AM27" i="25"/>
  <c r="BB27" i="25"/>
  <c r="AT27" i="25"/>
  <c r="AX27" i="25"/>
  <c r="AY27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A27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AP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A28" i="25" l="1"/>
  <c r="AW28" i="25"/>
  <c r="AL28" i="25"/>
  <c r="AN28" i="25"/>
  <c r="AZ28" i="25"/>
  <c r="AU28" i="25"/>
  <c r="CE27" i="25"/>
  <c r="CJ27" i="25"/>
  <c r="CL27" i="25"/>
  <c r="AQ28" i="25"/>
  <c r="AS28" i="25"/>
  <c r="AV28" i="25"/>
  <c r="AP28" i="25"/>
  <c r="AO28" i="25"/>
  <c r="AT28" i="25"/>
  <c r="BC28" i="25"/>
  <c r="BB28" i="25"/>
  <c r="AY28" i="25"/>
  <c r="CI27" i="25"/>
  <c r="CN27" i="25"/>
  <c r="CK27" i="25"/>
  <c r="CD27" i="25"/>
  <c r="CP27" i="25"/>
  <c r="AR28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CJ28" i="25" s="1"/>
  <c r="BR28" i="25"/>
  <c r="BP28" i="25"/>
  <c r="AM28" i="25"/>
  <c r="AX28" i="25"/>
  <c r="BK28" i="25"/>
  <c r="BM28" i="25"/>
  <c r="BQ28" i="25"/>
  <c r="CW28" i="25"/>
  <c r="CX28" i="25" s="1"/>
  <c r="CY28" i="25" s="1"/>
  <c r="BT28" i="25"/>
  <c r="BY28" i="25"/>
  <c r="B31" i="31"/>
  <c r="J30" i="31"/>
  <c r="AP29" i="25" l="1"/>
  <c r="BA29" i="25"/>
  <c r="AM29" i="25"/>
  <c r="AV29" i="25"/>
  <c r="BC29" i="25"/>
  <c r="AN29" i="25"/>
  <c r="AY29" i="25"/>
  <c r="CE28" i="25"/>
  <c r="AS29" i="25"/>
  <c r="AO29" i="25"/>
  <c r="AW29" i="25"/>
  <c r="AQ29" i="25"/>
  <c r="AL29" i="25"/>
  <c r="AT29" i="25"/>
  <c r="AX29" i="25"/>
  <c r="BB29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76" i="25"/>
  <c r="CP28" i="25"/>
  <c r="CI28" i="25"/>
  <c r="AK28" i="25"/>
  <c r="CA28" i="25" s="1"/>
  <c r="A77" i="25"/>
  <c r="CR28" i="25"/>
  <c r="CG28" i="25"/>
  <c r="B32" i="31"/>
  <c r="J31" i="31"/>
  <c r="AR29" i="25"/>
  <c r="AZ29" i="25"/>
  <c r="BN29" i="25"/>
  <c r="BS29" i="25"/>
  <c r="BG29" i="25"/>
  <c r="BF29" i="25"/>
  <c r="BP29" i="25"/>
  <c r="BO29" i="25"/>
  <c r="BW29" i="25"/>
  <c r="BQ29" i="25"/>
  <c r="CW29" i="25"/>
  <c r="CX29" i="25" s="1"/>
  <c r="CY29" i="25" s="1"/>
  <c r="AU29" i="25"/>
  <c r="BR29" i="25"/>
  <c r="BX29" i="25"/>
  <c r="BD29" i="25"/>
  <c r="BJ29" i="25"/>
  <c r="BL29" i="25"/>
  <c r="BY29" i="25"/>
  <c r="BH29" i="25"/>
  <c r="BK29" i="25"/>
  <c r="BV29" i="25"/>
  <c r="BU29" i="25"/>
  <c r="AK29" i="25"/>
  <c r="BI29" i="25"/>
  <c r="BT29" i="25"/>
  <c r="BM29" i="25"/>
  <c r="O30" i="25"/>
  <c r="B31" i="25"/>
  <c r="BA30" i="25" l="1"/>
  <c r="AL30" i="25"/>
  <c r="AQ30" i="25"/>
  <c r="AU30" i="25"/>
  <c r="AY30" i="25"/>
  <c r="BC30" i="25"/>
  <c r="CJ29" i="25"/>
  <c r="CE29" i="25"/>
  <c r="AM30" i="25"/>
  <c r="AO30" i="25"/>
  <c r="BD30" i="25"/>
  <c r="AP30" i="25"/>
  <c r="AK30" i="25"/>
  <c r="AN30" i="25"/>
  <c r="AZ30" i="25"/>
  <c r="AR30" i="25"/>
  <c r="AX30" i="25"/>
  <c r="BB30" i="25"/>
  <c r="AT30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AW30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AS30" i="25"/>
  <c r="BO30" i="25"/>
  <c r="BH30" i="25"/>
  <c r="BI30" i="25"/>
  <c r="BU30" i="25"/>
  <c r="BY30" i="25"/>
  <c r="BS30" i="25"/>
  <c r="AV30" i="25"/>
  <c r="BJ30" i="25"/>
  <c r="BW30" i="25"/>
  <c r="BT30" i="25"/>
  <c r="BX30" i="25"/>
  <c r="J32" i="31"/>
  <c r="B33" i="31"/>
  <c r="AT31" i="25" l="1"/>
  <c r="AP31" i="25"/>
  <c r="BD31" i="25"/>
  <c r="AO31" i="25"/>
  <c r="AU31" i="25"/>
  <c r="AN31" i="25"/>
  <c r="AV31" i="25"/>
  <c r="BC31" i="25"/>
  <c r="AZ31" i="25"/>
  <c r="CJ30" i="25"/>
  <c r="CE30" i="25"/>
  <c r="AS31" i="25"/>
  <c r="AQ31" i="25"/>
  <c r="AW31" i="25"/>
  <c r="AM31" i="25"/>
  <c r="BB31" i="25"/>
  <c r="AY31" i="25"/>
  <c r="AX31" i="25"/>
  <c r="AK31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3" i="25" s="1"/>
  <c r="O32" i="25"/>
  <c r="B34" i="31"/>
  <c r="J33" i="31"/>
  <c r="BA31" i="25"/>
  <c r="AL31" i="25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AR31" i="25"/>
  <c r="BI31" i="25"/>
  <c r="BM31" i="25"/>
  <c r="BK31" i="25"/>
  <c r="BJ31" i="25"/>
  <c r="BY31" i="25"/>
  <c r="BG31" i="25"/>
  <c r="BW31" i="25"/>
  <c r="CJ31" i="25" l="1"/>
  <c r="AR32" i="25"/>
  <c r="AQ32" i="25"/>
  <c r="BA32" i="25"/>
  <c r="AO32" i="25"/>
  <c r="AK32" i="25"/>
  <c r="AT32" i="25"/>
  <c r="AY32" i="25"/>
  <c r="BC32" i="25"/>
  <c r="CS31" i="25"/>
  <c r="BB33" i="25"/>
  <c r="BA33" i="25"/>
  <c r="AW33" i="25"/>
  <c r="AR33" i="25"/>
  <c r="AM33" i="25"/>
  <c r="AN33" i="25"/>
  <c r="AV33" i="25"/>
  <c r="AU33" i="25"/>
  <c r="AY33" i="25"/>
  <c r="CE31" i="25"/>
  <c r="AS33" i="25"/>
  <c r="AO33" i="25"/>
  <c r="AK33" i="25"/>
  <c r="AZ33" i="25"/>
  <c r="AQ33" i="25"/>
  <c r="AL33" i="25"/>
  <c r="AT33" i="25"/>
  <c r="AX33" i="25"/>
  <c r="AW32" i="25"/>
  <c r="AM32" i="25"/>
  <c r="BD32" i="25"/>
  <c r="AV32" i="25"/>
  <c r="AP32" i="25"/>
  <c r="AL32" i="25"/>
  <c r="AN32" i="25"/>
  <c r="AZ32" i="25"/>
  <c r="AU32" i="25"/>
  <c r="CB31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AX32" i="25"/>
  <c r="BJ32" i="25"/>
  <c r="BP32" i="25"/>
  <c r="BY32" i="25"/>
  <c r="BU32" i="25"/>
  <c r="AS32" i="25"/>
  <c r="BO32" i="25"/>
  <c r="BR32" i="25"/>
  <c r="BW32" i="25"/>
  <c r="BQ32" i="25"/>
  <c r="BL32" i="25"/>
  <c r="BK32" i="25"/>
  <c r="BF32" i="25"/>
  <c r="BB32" i="25"/>
  <c r="BN32" i="25"/>
  <c r="BG32" i="25"/>
  <c r="BT32" i="25"/>
  <c r="BS32" i="25"/>
  <c r="BI33" i="25"/>
  <c r="BQ33" i="25"/>
  <c r="BR33" i="25"/>
  <c r="BX33" i="25"/>
  <c r="BT33" i="25"/>
  <c r="BC33" i="25"/>
  <c r="BN33" i="25"/>
  <c r="CW33" i="25"/>
  <c r="CX33" i="25" s="1"/>
  <c r="CY33" i="25" s="1"/>
  <c r="BL33" i="25"/>
  <c r="AP33" i="25"/>
  <c r="BO33" i="25"/>
  <c r="BY33" i="25"/>
  <c r="BW33" i="25"/>
  <c r="BH33" i="25"/>
  <c r="BJ33" i="25"/>
  <c r="BG33" i="25"/>
  <c r="BM33" i="25"/>
  <c r="BP33" i="25"/>
  <c r="BS33" i="25"/>
  <c r="BF33" i="25"/>
  <c r="BK33" i="25"/>
  <c r="BV33" i="25"/>
  <c r="BU33" i="25"/>
  <c r="CE32" i="25" l="1"/>
  <c r="CJ32" i="25"/>
  <c r="CJ33" i="25"/>
  <c r="CN32" i="25"/>
  <c r="CF32" i="25"/>
  <c r="CA32" i="25"/>
  <c r="CL32" i="25"/>
  <c r="CO32" i="25"/>
  <c r="CT32" i="25"/>
  <c r="CQ32" i="25"/>
  <c r="CF33" i="25"/>
  <c r="CK33" i="25"/>
  <c r="CM32" i="25"/>
  <c r="CB33" i="25"/>
  <c r="CI32" i="25"/>
  <c r="CA33" i="25"/>
  <c r="CH33" i="25"/>
  <c r="CQ33" i="25"/>
  <c r="CB32" i="25"/>
  <c r="CL33" i="25"/>
  <c r="CU31" i="25"/>
  <c r="C31" i="25" s="1"/>
  <c r="CC33" i="25"/>
  <c r="CI33" i="25"/>
  <c r="CO33" i="25"/>
  <c r="CD33" i="25"/>
  <c r="CR32" i="25"/>
  <c r="CP32" i="25"/>
  <c r="CK32" i="25"/>
  <c r="CC32" i="25"/>
  <c r="CS32" i="25"/>
  <c r="CP33" i="25"/>
  <c r="BD33" i="25"/>
  <c r="CT33" i="25" s="1"/>
  <c r="A78" i="25"/>
  <c r="CR33" i="25"/>
  <c r="CS33" i="25"/>
  <c r="CD32" i="25"/>
  <c r="CN33" i="25"/>
  <c r="CG33" i="25"/>
  <c r="CM33" i="25"/>
  <c r="CG32" i="25"/>
  <c r="CH32" i="25"/>
  <c r="J35" i="31"/>
  <c r="B36" i="31"/>
  <c r="CU33" i="25" l="1"/>
  <c r="C33" i="25" s="1"/>
  <c r="CU32" i="25"/>
  <c r="C32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B193" i="31" l="1"/>
  <c r="J192" i="31"/>
  <c r="J193" i="31" l="1"/>
  <c r="B194" i="31"/>
  <c r="J194" i="31" l="1"/>
  <c r="B195" i="31"/>
  <c r="B196" i="31" l="1"/>
  <c r="J195" i="31"/>
  <c r="B197" i="31" l="1"/>
  <c r="J196" i="31"/>
  <c r="J197" i="31" l="1"/>
  <c r="B198" i="31"/>
  <c r="J198" i="31" l="1"/>
  <c r="B199" i="31"/>
  <c r="B200" i="31" l="1"/>
  <c r="J199" i="31"/>
  <c r="J200" i="31" l="1"/>
  <c r="B201" i="31"/>
  <c r="J201" i="31" l="1"/>
  <c r="B202" i="31"/>
  <c r="J202" i="31" l="1"/>
  <c r="B203" i="31"/>
  <c r="B204" i="31" l="1"/>
  <c r="J203" i="31"/>
  <c r="J204" i="31" l="1"/>
  <c r="B205" i="31"/>
  <c r="J205" i="31" l="1"/>
  <c r="B206" i="31"/>
  <c r="J206" i="31" l="1"/>
  <c r="B207" i="31"/>
  <c r="B208" i="31" l="1"/>
  <c r="J207" i="31"/>
  <c r="B209" i="31" l="1"/>
  <c r="J208" i="31"/>
  <c r="J209" i="31" l="1"/>
  <c r="B210" i="31"/>
  <c r="B211" i="31" l="1"/>
  <c r="J210" i="31"/>
  <c r="B212" i="31" l="1"/>
  <c r="J211" i="31"/>
  <c r="J212" i="31" l="1"/>
  <c r="B213" i="31"/>
  <c r="J213" i="31" l="1"/>
  <c r="B214" i="31"/>
  <c r="J214" i="31" l="1"/>
  <c r="B215" i="31"/>
  <c r="B216" i="31" l="1"/>
  <c r="B217" i="31" s="1"/>
  <c r="J215" i="31"/>
  <c r="B218" i="31" l="1"/>
  <c r="J217" i="31"/>
  <c r="J216" i="31"/>
  <c r="J218" i="31" l="1"/>
  <c r="B219" i="31"/>
  <c r="B220" i="31" l="1"/>
  <c r="J219" i="31"/>
  <c r="J220" i="31" l="1"/>
  <c r="B221" i="31"/>
  <c r="B222" i="31" l="1"/>
  <c r="J221" i="31"/>
  <c r="J222" i="31" l="1"/>
  <c r="B223" i="31"/>
  <c r="B224" i="31" l="1"/>
  <c r="J223" i="31"/>
  <c r="J224" i="31" l="1"/>
  <c r="B225" i="31"/>
  <c r="B226" i="31" l="1"/>
  <c r="J225" i="31"/>
  <c r="J226" i="31" l="1"/>
  <c r="B227" i="31"/>
  <c r="B228" i="31" l="1"/>
  <c r="J227" i="31"/>
  <c r="J228" i="31" l="1"/>
  <c r="B229" i="3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29" i="31" l="1"/>
  <c r="J230" i="3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B241" i="31" l="1"/>
  <c r="J241" i="31" l="1"/>
  <c r="B242" i="31"/>
  <c r="B243" i="31" l="1"/>
  <c r="J242" i="31"/>
  <c r="B244" i="31" l="1"/>
  <c r="J243" i="31"/>
  <c r="J244" i="31" l="1"/>
  <c r="B245" i="31"/>
  <c r="J245" i="31" l="1"/>
  <c r="B246" i="31"/>
  <c r="B247" i="31" l="1"/>
  <c r="J246" i="31"/>
  <c r="B248" i="31" l="1"/>
  <c r="J247" i="31"/>
  <c r="J248" i="31" l="1"/>
  <c r="B249" i="31"/>
  <c r="J249" i="31" l="1"/>
  <c r="B250" i="31"/>
  <c r="J250" i="31" l="1"/>
  <c r="B251" i="31"/>
  <c r="J251" i="31" l="1"/>
  <c r="B252" i="31"/>
  <c r="J252" i="31" l="1"/>
  <c r="B253" i="31"/>
  <c r="B254" i="31" l="1"/>
  <c r="J253" i="31"/>
  <c r="B266" i="31"/>
  <c r="B255" i="31" l="1"/>
  <c r="J254" i="31"/>
  <c r="J255" i="31" l="1"/>
  <c r="B256" i="31"/>
  <c r="J256" i="31" l="1"/>
  <c r="B257" i="31"/>
  <c r="B258" i="31" l="1"/>
  <c r="J257" i="31"/>
  <c r="B259" i="31" l="1"/>
  <c r="J258" i="31"/>
  <c r="J259" i="31" l="1"/>
  <c r="B260" i="31"/>
  <c r="J260" i="31" l="1"/>
  <c r="B261" i="31"/>
  <c r="B262" i="31" l="1"/>
  <c r="J261" i="31"/>
  <c r="B263" i="31" l="1"/>
  <c r="J262" i="31"/>
  <c r="J263" i="31" l="1"/>
  <c r="D22" i="31" l="1"/>
  <c r="K22" i="31"/>
  <c r="K54" i="31"/>
  <c r="D54" i="31"/>
  <c r="K69" i="31"/>
  <c r="D69" i="31"/>
  <c r="K81" i="31"/>
  <c r="D81" i="31"/>
  <c r="D99" i="31"/>
  <c r="K99" i="31"/>
  <c r="K123" i="31"/>
  <c r="D123" i="31"/>
  <c r="K18" i="31"/>
  <c r="D18" i="31"/>
  <c r="K32" i="31"/>
  <c r="D32" i="31"/>
  <c r="K51" i="31"/>
  <c r="D51" i="31"/>
  <c r="O20" i="31"/>
  <c r="D61" i="31"/>
  <c r="K61" i="31"/>
  <c r="D76" i="31"/>
  <c r="K76" i="31"/>
  <c r="D95" i="31"/>
  <c r="K95" i="31"/>
  <c r="D106" i="31"/>
  <c r="K106" i="31"/>
  <c r="D16" i="31"/>
  <c r="K16" i="31"/>
  <c r="K34" i="31"/>
  <c r="D34" i="31"/>
  <c r="D46" i="31"/>
  <c r="K46" i="31"/>
  <c r="D57" i="31"/>
  <c r="K57" i="31"/>
  <c r="K74" i="31"/>
  <c r="D74" i="31"/>
  <c r="K86" i="31"/>
  <c r="D86" i="31"/>
  <c r="O23" i="31"/>
  <c r="K97" i="31"/>
  <c r="D97" i="31"/>
  <c r="D120" i="31"/>
  <c r="K120" i="31"/>
  <c r="D19" i="31"/>
  <c r="K19" i="31"/>
  <c r="D31" i="31"/>
  <c r="K31" i="31"/>
  <c r="D45" i="31"/>
  <c r="K45" i="31"/>
  <c r="D67" i="31"/>
  <c r="K67" i="31"/>
  <c r="K82" i="31"/>
  <c r="D82" i="31"/>
  <c r="D98" i="31"/>
  <c r="K98" i="31"/>
  <c r="D124" i="31"/>
  <c r="K124" i="31"/>
  <c r="K126" i="31"/>
  <c r="D126" i="31"/>
  <c r="D116" i="31"/>
  <c r="K116" i="31"/>
  <c r="D131" i="31"/>
  <c r="K131" i="31"/>
  <c r="K24" i="31"/>
  <c r="D24" i="31"/>
  <c r="D40" i="31"/>
  <c r="K40" i="31"/>
  <c r="K59" i="31"/>
  <c r="D59" i="31"/>
  <c r="D72" i="31"/>
  <c r="K72" i="31"/>
  <c r="D102" i="31"/>
  <c r="K102" i="31"/>
  <c r="D129" i="31"/>
  <c r="K129" i="31"/>
  <c r="D21" i="31"/>
  <c r="K21" i="31"/>
  <c r="K38" i="31"/>
  <c r="D38" i="31"/>
  <c r="D55" i="31"/>
  <c r="K55" i="31"/>
  <c r="K64" i="31"/>
  <c r="D64" i="31"/>
  <c r="D80" i="31"/>
  <c r="K80" i="31"/>
  <c r="D113" i="31"/>
  <c r="K113" i="31"/>
  <c r="K20" i="31"/>
  <c r="D20" i="31"/>
  <c r="K37" i="31"/>
  <c r="O18" i="31"/>
  <c r="D37" i="31"/>
  <c r="D48" i="31"/>
  <c r="K48" i="31"/>
  <c r="D79" i="31"/>
  <c r="K79" i="31"/>
  <c r="D90" i="31"/>
  <c r="K90" i="31"/>
  <c r="K101" i="31"/>
  <c r="D101" i="31"/>
  <c r="D125" i="31"/>
  <c r="K125" i="31"/>
  <c r="K23" i="31"/>
  <c r="D23" i="31"/>
  <c r="K35" i="31"/>
  <c r="D35" i="31"/>
  <c r="K52" i="31"/>
  <c r="D52" i="31"/>
  <c r="D70" i="31"/>
  <c r="K70" i="31"/>
  <c r="D84" i="31"/>
  <c r="K84" i="31"/>
  <c r="O24" i="31"/>
  <c r="K109" i="31"/>
  <c r="D109" i="31"/>
  <c r="K111" i="31"/>
  <c r="D111" i="31"/>
  <c r="K130" i="31"/>
  <c r="D130" i="31"/>
  <c r="K105" i="31"/>
  <c r="D105" i="31"/>
  <c r="K119" i="31"/>
  <c r="D119" i="31"/>
  <c r="K14" i="31"/>
  <c r="D14" i="31"/>
  <c r="K28" i="31"/>
  <c r="D28" i="31"/>
  <c r="K44" i="31"/>
  <c r="D44" i="31"/>
  <c r="K62" i="31"/>
  <c r="D62" i="31"/>
  <c r="K73" i="31"/>
  <c r="O21" i="31"/>
  <c r="D73" i="31"/>
  <c r="D88" i="31"/>
  <c r="K88" i="31"/>
  <c r="D108" i="31"/>
  <c r="K108" i="31"/>
  <c r="D43" i="31"/>
  <c r="K43" i="31"/>
  <c r="K58" i="31"/>
  <c r="D58" i="31"/>
  <c r="D71" i="31"/>
  <c r="K71" i="31"/>
  <c r="K87" i="31"/>
  <c r="D87" i="31"/>
  <c r="K100" i="31"/>
  <c r="D100" i="31"/>
  <c r="K27" i="31"/>
  <c r="D27" i="31"/>
  <c r="D39" i="31"/>
  <c r="K39" i="31"/>
  <c r="K49" i="31"/>
  <c r="O19" i="31"/>
  <c r="D49" i="31"/>
  <c r="D65" i="31"/>
  <c r="K65" i="31"/>
  <c r="K83" i="31"/>
  <c r="D83" i="31"/>
  <c r="D94" i="31"/>
  <c r="K94" i="31"/>
  <c r="K104" i="31"/>
  <c r="D104" i="31"/>
  <c r="D12" i="31"/>
  <c r="G12" i="31" s="1"/>
  <c r="D25" i="31"/>
  <c r="O17" i="31"/>
  <c r="K25" i="31"/>
  <c r="K36" i="31"/>
  <c r="D36" i="31"/>
  <c r="K56" i="31"/>
  <c r="D56" i="31"/>
  <c r="K75" i="31"/>
  <c r="D75" i="31"/>
  <c r="K89" i="31"/>
  <c r="D89" i="31"/>
  <c r="D117" i="31"/>
  <c r="K117" i="31"/>
  <c r="K114" i="31"/>
  <c r="D114" i="31"/>
  <c r="K132" i="31"/>
  <c r="D132" i="31"/>
  <c r="D107" i="31"/>
  <c r="K107" i="31"/>
  <c r="K122" i="31"/>
  <c r="D122" i="31"/>
  <c r="K17" i="31"/>
  <c r="D17" i="31"/>
  <c r="D33" i="31"/>
  <c r="K33" i="31"/>
  <c r="D50" i="31"/>
  <c r="K50" i="31"/>
  <c r="K66" i="31"/>
  <c r="D66" i="31"/>
  <c r="D77" i="31"/>
  <c r="K77" i="31"/>
  <c r="K93" i="31"/>
  <c r="D93" i="31"/>
  <c r="D115" i="31"/>
  <c r="K115" i="31"/>
  <c r="O16" i="31"/>
  <c r="D13" i="31"/>
  <c r="K13" i="31"/>
  <c r="K29" i="31"/>
  <c r="D29" i="31"/>
  <c r="K47" i="31"/>
  <c r="D47" i="31"/>
  <c r="K60" i="31"/>
  <c r="D60" i="31"/>
  <c r="D91" i="31"/>
  <c r="K91" i="31"/>
  <c r="K103" i="31"/>
  <c r="D103" i="31"/>
  <c r="K128" i="31"/>
  <c r="D128" i="31"/>
  <c r="D30" i="31"/>
  <c r="K30" i="31"/>
  <c r="K42" i="31"/>
  <c r="D42" i="31"/>
  <c r="K53" i="31"/>
  <c r="D53" i="31"/>
  <c r="K68" i="31"/>
  <c r="D68" i="31"/>
  <c r="D85" i="31"/>
  <c r="O22" i="31"/>
  <c r="K85" i="31"/>
  <c r="D96" i="31"/>
  <c r="K96" i="31"/>
  <c r="D110" i="31"/>
  <c r="K110" i="31"/>
  <c r="D15" i="31"/>
  <c r="K15" i="31"/>
  <c r="K26" i="31"/>
  <c r="D26" i="31"/>
  <c r="D41" i="31"/>
  <c r="K41" i="31"/>
  <c r="K63" i="31"/>
  <c r="D63" i="31"/>
  <c r="K78" i="31"/>
  <c r="D78" i="31"/>
  <c r="K92" i="31"/>
  <c r="D92" i="31"/>
  <c r="D121" i="31"/>
  <c r="K121" i="31"/>
  <c r="O25" i="31"/>
  <c r="D118" i="31"/>
  <c r="K118" i="31"/>
  <c r="K112" i="31"/>
  <c r="D112" i="31"/>
  <c r="D127" i="31"/>
  <c r="K127" i="31"/>
  <c r="N25" i="31" l="1"/>
  <c r="N21" i="31"/>
  <c r="N17" i="31"/>
  <c r="N19" i="31"/>
  <c r="N23" i="31"/>
  <c r="K5" i="31"/>
  <c r="K4" i="31"/>
  <c r="N22" i="31"/>
  <c r="N16" i="31"/>
  <c r="N24" i="31"/>
  <c r="N20" i="31"/>
  <c r="N18" i="31"/>
  <c r="R25" i="31" l="1"/>
  <c r="R16" i="31"/>
  <c r="R23" i="31"/>
  <c r="R18" i="31"/>
  <c r="R22" i="31"/>
  <c r="R19" i="31"/>
  <c r="R20" i="31"/>
  <c r="R17" i="31"/>
  <c r="R24" i="31"/>
  <c r="R21" i="31"/>
  <c r="A9" i="31"/>
  <c r="A37" i="25" s="1"/>
  <c r="O40" i="31"/>
  <c r="A10" i="31"/>
  <c r="P5" i="31"/>
  <c r="K6" i="31"/>
  <c r="K4" i="25" s="1"/>
  <c r="A7" i="31"/>
  <c r="A41" i="25" s="1"/>
  <c r="M7" i="31"/>
  <c r="O41" i="31"/>
  <c r="K3" i="25"/>
  <c r="A51" i="25" l="1"/>
  <c r="A65" i="25"/>
  <c r="P6" i="31"/>
  <c r="Q6" i="31" s="1"/>
  <c r="R6" i="31" s="1"/>
  <c r="Q5" i="31"/>
  <c r="G9" i="25"/>
  <c r="B5" i="25"/>
  <c r="B5" i="66" s="1"/>
  <c r="B5" i="31"/>
  <c r="G33" i="25"/>
  <c r="E33" i="25"/>
  <c r="B4" i="31" l="1"/>
  <c r="B5" i="28"/>
  <c r="R5" i="31"/>
  <c r="E94" i="31" l="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60" i="31" l="1"/>
  <c r="G63" i="31"/>
  <c r="G119" i="31"/>
  <c r="G98" i="31"/>
  <c r="G96" i="31"/>
  <c r="G38" i="31"/>
  <c r="G84" i="31"/>
  <c r="G106" i="31"/>
  <c r="G64" i="31"/>
  <c r="G107" i="31"/>
  <c r="G48" i="31"/>
  <c r="G90" i="31"/>
  <c r="G69" i="31"/>
  <c r="G34" i="31"/>
  <c r="G27" i="31"/>
  <c r="G114" i="31"/>
  <c r="G41" i="31"/>
  <c r="G20" i="31"/>
  <c r="G66" i="31"/>
  <c r="G45" i="31"/>
  <c r="G111" i="31"/>
  <c r="G47" i="31"/>
  <c r="G110" i="31"/>
  <c r="G88" i="31"/>
  <c r="G19" i="31"/>
  <c r="G46" i="31"/>
  <c r="G54" i="31"/>
  <c r="G125" i="31"/>
  <c r="G33" i="31"/>
  <c r="G82" i="31"/>
  <c r="G22" i="31"/>
  <c r="G29" i="31"/>
  <c r="G62" i="31"/>
  <c r="G83" i="31"/>
  <c r="G81" i="31"/>
  <c r="G65" i="31"/>
  <c r="G67" i="31"/>
  <c r="G116" i="31"/>
  <c r="G50" i="31"/>
  <c r="G102" i="31"/>
  <c r="G58" i="31"/>
  <c r="G28" i="31"/>
  <c r="G126" i="31"/>
  <c r="G18" i="31"/>
  <c r="G130" i="31"/>
  <c r="G35" i="31"/>
  <c r="G95" i="31"/>
  <c r="G131" i="31"/>
  <c r="G57" i="31"/>
  <c r="G75" i="31"/>
  <c r="G104" i="31"/>
  <c r="G24" i="31"/>
  <c r="G132" i="31"/>
  <c r="G44" i="31"/>
  <c r="G30" i="31"/>
  <c r="G86" i="31"/>
  <c r="G26" i="31"/>
  <c r="G70" i="31"/>
  <c r="G117" i="31"/>
  <c r="G52" i="31"/>
  <c r="G14" i="31"/>
  <c r="G91" i="31"/>
  <c r="G31" i="31"/>
  <c r="G105" i="31"/>
  <c r="G128" i="31"/>
  <c r="G99" i="31"/>
  <c r="G51" i="31"/>
  <c r="G56" i="31"/>
  <c r="G55" i="31"/>
  <c r="G122" i="31"/>
  <c r="G92" i="31"/>
  <c r="G32" i="31"/>
  <c r="G108" i="31"/>
  <c r="G80" i="31"/>
  <c r="G94" i="31"/>
  <c r="G129" i="31"/>
  <c r="G16" i="31"/>
  <c r="G43" i="31"/>
  <c r="G74" i="31"/>
  <c r="G15" i="31"/>
  <c r="G113" i="31"/>
  <c r="G42" i="31"/>
  <c r="G21" i="31"/>
  <c r="G103" i="31"/>
  <c r="G78" i="31"/>
  <c r="G112" i="31"/>
  <c r="G120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E17" i="25"/>
  <c r="E18" i="25"/>
  <c r="E15" i="25"/>
  <c r="E19" i="25"/>
  <c r="E22" i="25"/>
  <c r="E14" i="25"/>
  <c r="E21" i="25"/>
  <c r="E20" i="25"/>
  <c r="E16" i="25"/>
  <c r="E13" i="25"/>
  <c r="E37" i="31" l="1"/>
  <c r="M18" i="31"/>
  <c r="M19" i="31"/>
  <c r="E49" i="31"/>
  <c r="M23" i="31"/>
  <c r="E97" i="31"/>
  <c r="E121" i="31"/>
  <c r="M25" i="31"/>
  <c r="E73" i="31"/>
  <c r="M21" i="31"/>
  <c r="M20" i="31"/>
  <c r="E61" i="31"/>
  <c r="E85" i="31"/>
  <c r="M22" i="31"/>
  <c r="M16" i="31"/>
  <c r="E13" i="31"/>
  <c r="M24" i="31"/>
  <c r="E109" i="31"/>
  <c r="M17" i="31"/>
  <c r="E25" i="31"/>
  <c r="G13" i="25"/>
  <c r="G16" i="25"/>
  <c r="G19" i="25"/>
  <c r="G21" i="25"/>
  <c r="G20" i="25"/>
  <c r="G15" i="25"/>
  <c r="G22" i="25"/>
  <c r="G17" i="25"/>
  <c r="G14" i="25"/>
  <c r="G18" i="25"/>
  <c r="C8" i="65" l="1"/>
  <c r="E8" i="65" s="1"/>
  <c r="C11" i="65"/>
  <c r="E11" i="65" s="1"/>
  <c r="C10" i="65"/>
  <c r="E10" i="65" s="1"/>
  <c r="C16" i="65"/>
  <c r="E16" i="65" s="1"/>
  <c r="C14" i="65"/>
  <c r="E14" i="65" s="1"/>
  <c r="C15" i="65"/>
  <c r="E15" i="65" s="1"/>
  <c r="C13" i="65"/>
  <c r="E13" i="65" s="1"/>
  <c r="C12" i="65"/>
  <c r="E12" i="65" s="1"/>
  <c r="C9" i="65"/>
  <c r="E9" i="65" s="1"/>
  <c r="G25" i="31"/>
  <c r="G13" i="31"/>
  <c r="G61" i="31"/>
  <c r="Q25" i="31"/>
  <c r="P25" i="31"/>
  <c r="G49" i="31"/>
  <c r="P17" i="31"/>
  <c r="Q17" i="31"/>
  <c r="Q16" i="31"/>
  <c r="P16" i="31"/>
  <c r="P20" i="31"/>
  <c r="Q20" i="31"/>
  <c r="G121" i="31"/>
  <c r="P19" i="31"/>
  <c r="Q19" i="31"/>
  <c r="Q22" i="31"/>
  <c r="P22" i="31"/>
  <c r="Q21" i="31"/>
  <c r="P21" i="31"/>
  <c r="G97" i="31"/>
  <c r="Q18" i="31"/>
  <c r="P18" i="31"/>
  <c r="G109" i="31"/>
  <c r="Q24" i="31"/>
  <c r="P24" i="31"/>
  <c r="G85" i="31"/>
  <c r="G73" i="31"/>
  <c r="P23" i="31"/>
  <c r="Q23" i="31"/>
  <c r="G37" i="31"/>
  <c r="S40" i="31"/>
  <c r="F9" i="31"/>
  <c r="S41" i="31"/>
  <c r="F7" i="31"/>
  <c r="K229" i="31" l="1"/>
  <c r="O34" i="31"/>
  <c r="D229" i="31"/>
  <c r="K140" i="31"/>
  <c r="D140" i="31"/>
  <c r="D212" i="31"/>
  <c r="K212" i="31"/>
  <c r="K188" i="31"/>
  <c r="D188" i="31"/>
  <c r="D196" i="31"/>
  <c r="K196" i="31"/>
  <c r="K232" i="31"/>
  <c r="D232" i="31"/>
  <c r="K198" i="31"/>
  <c r="D198" i="31"/>
  <c r="O30" i="31"/>
  <c r="D181" i="31"/>
  <c r="K181" i="31"/>
  <c r="D151" i="31"/>
  <c r="K151" i="31"/>
  <c r="D164" i="31"/>
  <c r="K164" i="31"/>
  <c r="K144" i="31"/>
  <c r="D144" i="31"/>
  <c r="D134" i="31"/>
  <c r="K134" i="31"/>
  <c r="K180" i="31"/>
  <c r="D180" i="31"/>
  <c r="D136" i="31"/>
  <c r="K136" i="31"/>
  <c r="D147" i="31"/>
  <c r="K147" i="31"/>
  <c r="K226" i="31"/>
  <c r="D226" i="31"/>
  <c r="K215" i="31"/>
  <c r="D215" i="31"/>
  <c r="D214" i="31"/>
  <c r="K214" i="31"/>
  <c r="D176" i="31"/>
  <c r="K176" i="31"/>
  <c r="K146" i="31"/>
  <c r="D146" i="31"/>
  <c r="D228" i="31"/>
  <c r="K228" i="31"/>
  <c r="D152" i="31"/>
  <c r="K152" i="31"/>
  <c r="K201" i="31"/>
  <c r="D201" i="31"/>
  <c r="O31" i="31"/>
  <c r="D193" i="31"/>
  <c r="K193" i="31"/>
  <c r="D239" i="31"/>
  <c r="K239" i="31"/>
  <c r="D211" i="31"/>
  <c r="K211" i="31"/>
  <c r="K216" i="31"/>
  <c r="D216" i="31"/>
  <c r="D191" i="31"/>
  <c r="K191" i="31"/>
  <c r="K240" i="31"/>
  <c r="D240" i="31"/>
  <c r="K194" i="31"/>
  <c r="D194" i="31"/>
  <c r="D230" i="31"/>
  <c r="K230" i="31"/>
  <c r="D160" i="31"/>
  <c r="K160" i="31"/>
  <c r="K139" i="31"/>
  <c r="D139" i="31"/>
  <c r="D206" i="31"/>
  <c r="K206" i="31"/>
  <c r="K197" i="31"/>
  <c r="D197" i="31"/>
  <c r="K143" i="31"/>
  <c r="D143" i="31"/>
  <c r="K227" i="31"/>
  <c r="D227" i="31"/>
  <c r="K217" i="31"/>
  <c r="D217" i="31"/>
  <c r="O33" i="31"/>
  <c r="D169" i="31"/>
  <c r="K169" i="31"/>
  <c r="O29" i="31"/>
  <c r="K173" i="31"/>
  <c r="D173" i="31"/>
  <c r="D170" i="31"/>
  <c r="K170" i="31"/>
  <c r="D171" i="31"/>
  <c r="K171" i="31"/>
  <c r="D154" i="31"/>
  <c r="K154" i="31"/>
  <c r="K235" i="31"/>
  <c r="D235" i="31"/>
  <c r="D174" i="31"/>
  <c r="K174" i="31"/>
  <c r="D137" i="31"/>
  <c r="K137" i="31"/>
  <c r="D223" i="31"/>
  <c r="K223" i="31"/>
  <c r="K138" i="31"/>
  <c r="D138" i="31"/>
  <c r="K165" i="31"/>
  <c r="D165" i="31"/>
  <c r="D238" i="31"/>
  <c r="K238" i="31"/>
  <c r="D150" i="31"/>
  <c r="K150" i="31"/>
  <c r="K225" i="31"/>
  <c r="D225" i="31"/>
  <c r="K213" i="31"/>
  <c r="D213" i="31"/>
  <c r="D224" i="31"/>
  <c r="K224" i="31"/>
  <c r="D155" i="31"/>
  <c r="K155" i="31"/>
  <c r="K218" i="31"/>
  <c r="D218" i="31"/>
  <c r="K161" i="31"/>
  <c r="D161" i="31"/>
  <c r="K210" i="31"/>
  <c r="D210" i="31"/>
  <c r="K157" i="31"/>
  <c r="O28" i="31"/>
  <c r="D157" i="31"/>
  <c r="D168" i="31"/>
  <c r="K168" i="31"/>
  <c r="K142" i="31"/>
  <c r="D142" i="31"/>
  <c r="K179" i="31"/>
  <c r="D179" i="31"/>
  <c r="D162" i="31"/>
  <c r="K162" i="31"/>
  <c r="D166" i="31"/>
  <c r="K166" i="31"/>
  <c r="D184" i="31"/>
  <c r="K184" i="31"/>
  <c r="D220" i="31"/>
  <c r="K220" i="31"/>
  <c r="D190" i="31"/>
  <c r="K190" i="31"/>
  <c r="K167" i="31"/>
  <c r="D167" i="31"/>
  <c r="D185" i="31"/>
  <c r="K185" i="31"/>
  <c r="D231" i="31"/>
  <c r="K231" i="31"/>
  <c r="K158" i="31"/>
  <c r="D158" i="31"/>
  <c r="K153" i="31"/>
  <c r="D153" i="31"/>
  <c r="K207" i="31"/>
  <c r="D207" i="31"/>
  <c r="D200" i="31"/>
  <c r="K200" i="31"/>
  <c r="D145" i="31"/>
  <c r="O27" i="31"/>
  <c r="K145" i="31"/>
  <c r="K183" i="31"/>
  <c r="D183" i="31"/>
  <c r="D208" i="31"/>
  <c r="K208" i="31"/>
  <c r="K186" i="31"/>
  <c r="D186" i="31"/>
  <c r="K175" i="31"/>
  <c r="D175" i="31"/>
  <c r="D177" i="31"/>
  <c r="K177" i="31"/>
  <c r="D222" i="31"/>
  <c r="K222" i="31"/>
  <c r="D219" i="31"/>
  <c r="K219" i="31"/>
  <c r="K237" i="31"/>
  <c r="D237" i="31"/>
  <c r="K205" i="31"/>
  <c r="D205" i="31"/>
  <c r="O32" i="31"/>
  <c r="D159" i="31"/>
  <c r="K159" i="31"/>
  <c r="O26" i="31"/>
  <c r="D133" i="31"/>
  <c r="K133" i="31"/>
  <c r="D163" i="31"/>
  <c r="K163" i="31"/>
  <c r="D187" i="31"/>
  <c r="K187" i="31"/>
  <c r="D209" i="31"/>
  <c r="K209" i="31"/>
  <c r="K221" i="31"/>
  <c r="D221" i="31"/>
  <c r="D233" i="31"/>
  <c r="K233" i="31"/>
  <c r="D156" i="31"/>
  <c r="K156" i="31"/>
  <c r="D178" i="31"/>
  <c r="K178" i="31"/>
  <c r="D195" i="31"/>
  <c r="K195" i="31"/>
  <c r="K202" i="31"/>
  <c r="D202" i="31"/>
  <c r="K135" i="31"/>
  <c r="D135" i="31"/>
  <c r="K192" i="31"/>
  <c r="D192" i="31"/>
  <c r="D204" i="31"/>
  <c r="K204" i="31"/>
  <c r="D141" i="31"/>
  <c r="K141" i="31"/>
  <c r="K172" i="31"/>
  <c r="D172" i="31"/>
  <c r="K203" i="31"/>
  <c r="D203" i="31"/>
  <c r="D199" i="31"/>
  <c r="K199" i="31"/>
  <c r="D149" i="31"/>
  <c r="K149" i="31"/>
  <c r="K236" i="31"/>
  <c r="D236" i="31"/>
  <c r="D234" i="31"/>
  <c r="K234" i="31"/>
  <c r="K182" i="31"/>
  <c r="D182" i="31"/>
  <c r="D148" i="31"/>
  <c r="K148" i="31"/>
  <c r="K189" i="31"/>
  <c r="D189" i="31"/>
  <c r="Q40" i="31"/>
  <c r="D9" i="31"/>
  <c r="Q41" i="31"/>
  <c r="D7" i="31"/>
  <c r="C39" i="25" l="1"/>
  <c r="C43" i="25"/>
  <c r="C57" i="25"/>
  <c r="K245" i="31"/>
  <c r="K243" i="31"/>
  <c r="K247" i="31"/>
  <c r="N34" i="31"/>
  <c r="K246" i="31"/>
  <c r="N26" i="31"/>
  <c r="N27" i="31"/>
  <c r="N28" i="31"/>
  <c r="K251" i="31"/>
  <c r="N32" i="31"/>
  <c r="N29" i="31"/>
  <c r="N31" i="31"/>
  <c r="K248" i="31"/>
  <c r="K249" i="31"/>
  <c r="K250" i="31"/>
  <c r="K242" i="31"/>
  <c r="K252" i="31"/>
  <c r="N30" i="31"/>
  <c r="K244" i="31"/>
  <c r="K241" i="31"/>
  <c r="O35" i="31"/>
  <c r="D241" i="31"/>
  <c r="F10" i="31"/>
  <c r="R30" i="31" l="1"/>
  <c r="R32" i="31"/>
  <c r="R27" i="31"/>
  <c r="R34" i="31"/>
  <c r="R26" i="31"/>
  <c r="R31" i="31"/>
  <c r="D244" i="31"/>
  <c r="R29" i="31"/>
  <c r="R28" i="31"/>
  <c r="D252" i="31"/>
  <c r="D247" i="31"/>
  <c r="D242" i="31"/>
  <c r="D249" i="31"/>
  <c r="K254" i="31"/>
  <c r="D254" i="31"/>
  <c r="D248" i="31"/>
  <c r="D246" i="31"/>
  <c r="K255" i="31"/>
  <c r="D255" i="31"/>
  <c r="D257" i="31"/>
  <c r="K257" i="31"/>
  <c r="D259" i="31"/>
  <c r="K259" i="31"/>
  <c r="K253" i="31"/>
  <c r="D253" i="31"/>
  <c r="O36" i="31"/>
  <c r="D256" i="31"/>
  <c r="K256" i="31"/>
  <c r="D250" i="31"/>
  <c r="K260" i="31"/>
  <c r="D260" i="31"/>
  <c r="D251" i="31"/>
  <c r="K258" i="31"/>
  <c r="D258" i="31"/>
  <c r="D245" i="31"/>
  <c r="D262" i="31"/>
  <c r="K262" i="31"/>
  <c r="D261" i="31"/>
  <c r="K261" i="31"/>
  <c r="D263" i="31"/>
  <c r="N33" i="31" s="1"/>
  <c r="K263" i="31"/>
  <c r="D243" i="31"/>
  <c r="D10" i="31"/>
  <c r="N36" i="31" l="1"/>
  <c r="R33" i="31"/>
  <c r="C53" i="25"/>
  <c r="C67" i="25"/>
  <c r="N35" i="31"/>
  <c r="R36" i="31" l="1"/>
  <c r="R35" i="31"/>
  <c r="E213" i="31" l="1"/>
  <c r="E171" i="31"/>
  <c r="E150" i="31"/>
  <c r="E185" i="31"/>
  <c r="E220" i="31"/>
  <c r="E215" i="31"/>
  <c r="E163" i="31"/>
  <c r="E158" i="31"/>
  <c r="E140" i="31"/>
  <c r="E190" i="31"/>
  <c r="E204" i="31"/>
  <c r="E136" i="31"/>
  <c r="E142" i="31"/>
  <c r="E216" i="31"/>
  <c r="E151" i="31"/>
  <c r="E219" i="31"/>
  <c r="E187" i="31"/>
  <c r="E141" i="31"/>
  <c r="E214" i="31"/>
  <c r="E143" i="31"/>
  <c r="E170" i="31"/>
  <c r="E212" i="31"/>
  <c r="E178" i="31"/>
  <c r="E197" i="31"/>
  <c r="E155" i="31"/>
  <c r="E223" i="31"/>
  <c r="E207" i="31"/>
  <c r="E183" i="31"/>
  <c r="E156" i="31"/>
  <c r="E168" i="31"/>
  <c r="E189" i="31"/>
  <c r="E186" i="31"/>
  <c r="E201" i="31"/>
  <c r="E191" i="31"/>
  <c r="E139" i="31"/>
  <c r="E196" i="31"/>
  <c r="E154" i="31"/>
  <c r="E224" i="31"/>
  <c r="E138" i="31"/>
  <c r="E166" i="31"/>
  <c r="E195" i="31"/>
  <c r="E225" i="31"/>
  <c r="E137" i="31"/>
  <c r="E209" i="31"/>
  <c r="G195" i="31" l="1"/>
  <c r="G224" i="31"/>
  <c r="G196" i="31"/>
  <c r="G191" i="31"/>
  <c r="G186" i="31"/>
  <c r="G168" i="31"/>
  <c r="G207" i="31"/>
  <c r="G155" i="31"/>
  <c r="G178" i="31"/>
  <c r="G212" i="31"/>
  <c r="G143" i="31"/>
  <c r="G187" i="31"/>
  <c r="G151" i="31"/>
  <c r="G216" i="31"/>
  <c r="G204" i="31"/>
  <c r="G140" i="31"/>
  <c r="G163" i="31"/>
  <c r="G215" i="31"/>
  <c r="G185" i="31"/>
  <c r="G171" i="31"/>
  <c r="G209" i="31"/>
  <c r="G137" i="31"/>
  <c r="G225" i="31"/>
  <c r="G166" i="31"/>
  <c r="G138" i="31"/>
  <c r="G154" i="31"/>
  <c r="G139" i="31"/>
  <c r="G201" i="31"/>
  <c r="G189" i="31"/>
  <c r="G156" i="31"/>
  <c r="G183" i="31"/>
  <c r="G223" i="31"/>
  <c r="G197" i="31"/>
  <c r="G170" i="31"/>
  <c r="G214" i="31"/>
  <c r="G141" i="31"/>
  <c r="G219" i="31"/>
  <c r="G142" i="31"/>
  <c r="G136" i="31"/>
  <c r="G190" i="31"/>
  <c r="G158" i="31"/>
  <c r="G220" i="31"/>
  <c r="G150" i="31"/>
  <c r="G213" i="31"/>
  <c r="E144" i="31"/>
  <c r="E161" i="31"/>
  <c r="E134" i="31"/>
  <c r="E162" i="31"/>
  <c r="E199" i="31"/>
  <c r="E165" i="31"/>
  <c r="E159" i="31"/>
  <c r="E174" i="31"/>
  <c r="E227" i="31"/>
  <c r="E180" i="31"/>
  <c r="E175" i="31"/>
  <c r="E231" i="31"/>
  <c r="C243" i="31"/>
  <c r="E239" i="31"/>
  <c r="C251" i="31"/>
  <c r="E240" i="31"/>
  <c r="C252" i="31"/>
  <c r="E252" i="31" s="1"/>
  <c r="E233" i="31"/>
  <c r="C245" i="31"/>
  <c r="E236" i="31"/>
  <c r="C248" i="31"/>
  <c r="E210" i="31"/>
  <c r="E194" i="31"/>
  <c r="E206" i="31"/>
  <c r="E153" i="31"/>
  <c r="E147" i="31"/>
  <c r="E202" i="31"/>
  <c r="E135" i="31"/>
  <c r="E211" i="31"/>
  <c r="E184" i="31"/>
  <c r="E222" i="31"/>
  <c r="E172" i="31"/>
  <c r="E228" i="31"/>
  <c r="E203" i="31"/>
  <c r="E160" i="31"/>
  <c r="E167" i="31"/>
  <c r="E177" i="31"/>
  <c r="E208" i="31"/>
  <c r="E192" i="31"/>
  <c r="E148" i="31"/>
  <c r="E221" i="31"/>
  <c r="E164" i="31"/>
  <c r="E200" i="31"/>
  <c r="E182" i="31"/>
  <c r="E146" i="31"/>
  <c r="E238" i="31"/>
  <c r="C250" i="31"/>
  <c r="E234" i="31"/>
  <c r="C246" i="31"/>
  <c r="E230" i="31"/>
  <c r="C242" i="31"/>
  <c r="E235" i="31"/>
  <c r="C247" i="31"/>
  <c r="E198" i="31"/>
  <c r="E218" i="31"/>
  <c r="E226" i="31"/>
  <c r="E188" i="31"/>
  <c r="E152" i="31"/>
  <c r="E176" i="31"/>
  <c r="E149" i="31"/>
  <c r="E179" i="31"/>
  <c r="E173" i="31"/>
  <c r="E26" i="25"/>
  <c r="E28" i="25"/>
  <c r="E24" i="25"/>
  <c r="E23" i="25"/>
  <c r="E29" i="25"/>
  <c r="E25" i="25"/>
  <c r="G179" i="31" l="1"/>
  <c r="G218" i="31"/>
  <c r="G164" i="31"/>
  <c r="G208" i="31"/>
  <c r="G203" i="31"/>
  <c r="G222" i="31"/>
  <c r="G153" i="31"/>
  <c r="G210" i="31"/>
  <c r="G175" i="31"/>
  <c r="G227" i="31"/>
  <c r="G159" i="31"/>
  <c r="G199" i="31"/>
  <c r="G176" i="31"/>
  <c r="G148" i="31"/>
  <c r="G167" i="31"/>
  <c r="G211" i="31"/>
  <c r="G202" i="31"/>
  <c r="G194" i="31"/>
  <c r="G161" i="31"/>
  <c r="G235" i="31"/>
  <c r="G234" i="31"/>
  <c r="G233" i="31"/>
  <c r="G239" i="31"/>
  <c r="G173" i="31"/>
  <c r="G149" i="31"/>
  <c r="G152" i="31"/>
  <c r="G226" i="31"/>
  <c r="G198" i="31"/>
  <c r="G146" i="31"/>
  <c r="G182" i="31"/>
  <c r="G200" i="31"/>
  <c r="G221" i="31"/>
  <c r="G192" i="31"/>
  <c r="G177" i="31"/>
  <c r="G160" i="31"/>
  <c r="G228" i="31"/>
  <c r="G172" i="31"/>
  <c r="G184" i="31"/>
  <c r="G135" i="31"/>
  <c r="G147" i="31"/>
  <c r="G206" i="31"/>
  <c r="G252" i="31"/>
  <c r="G180" i="31"/>
  <c r="G174" i="31"/>
  <c r="G165" i="31"/>
  <c r="G162" i="31"/>
  <c r="G134" i="31"/>
  <c r="G144" i="31"/>
  <c r="G188" i="31"/>
  <c r="G230" i="31"/>
  <c r="G238" i="31"/>
  <c r="G236" i="31"/>
  <c r="G240" i="31"/>
  <c r="G231" i="31"/>
  <c r="E133" i="31"/>
  <c r="M26" i="31"/>
  <c r="C259" i="31"/>
  <c r="E259" i="31" s="1"/>
  <c r="E247" i="31"/>
  <c r="E246" i="31"/>
  <c r="C258" i="31"/>
  <c r="E258" i="31" s="1"/>
  <c r="E232" i="31"/>
  <c r="C244" i="31"/>
  <c r="E237" i="31"/>
  <c r="C249" i="31"/>
  <c r="E193" i="31"/>
  <c r="M31" i="31"/>
  <c r="M28" i="31"/>
  <c r="E157" i="31"/>
  <c r="C257" i="31"/>
  <c r="E257" i="31" s="1"/>
  <c r="E245" i="31"/>
  <c r="E251" i="31"/>
  <c r="C263" i="31"/>
  <c r="E263" i="31" s="1"/>
  <c r="E145" i="31"/>
  <c r="M27" i="31"/>
  <c r="M29" i="31"/>
  <c r="E169" i="31"/>
  <c r="C254" i="31"/>
  <c r="E254" i="31" s="1"/>
  <c r="E242" i="31"/>
  <c r="C262" i="31"/>
  <c r="E262" i="31" s="1"/>
  <c r="E250" i="31"/>
  <c r="M32" i="31"/>
  <c r="E205" i="31"/>
  <c r="C260" i="31"/>
  <c r="E260" i="31" s="1"/>
  <c r="E248" i="31"/>
  <c r="C255" i="31"/>
  <c r="E255" i="31" s="1"/>
  <c r="E243" i="31"/>
  <c r="E27" i="25"/>
  <c r="C9" i="31"/>
  <c r="P40" i="31"/>
  <c r="E31" i="25"/>
  <c r="G28" i="25"/>
  <c r="E30" i="25"/>
  <c r="P41" i="31"/>
  <c r="G23" i="25"/>
  <c r="G24" i="25"/>
  <c r="G25" i="25"/>
  <c r="C7" i="31"/>
  <c r="G26" i="25"/>
  <c r="G29" i="25"/>
  <c r="C20" i="65" l="1"/>
  <c r="E20" i="65" s="1"/>
  <c r="C18" i="65"/>
  <c r="E18" i="65" s="1"/>
  <c r="C22" i="65"/>
  <c r="E22" i="65" s="1"/>
  <c r="C19" i="65"/>
  <c r="E19" i="65" s="1"/>
  <c r="C17" i="65"/>
  <c r="E17" i="65" s="1"/>
  <c r="G243" i="31"/>
  <c r="G263" i="31"/>
  <c r="G255" i="31"/>
  <c r="G254" i="31"/>
  <c r="G251" i="31"/>
  <c r="G237" i="31"/>
  <c r="G246" i="31"/>
  <c r="G245" i="31"/>
  <c r="G247" i="31"/>
  <c r="G242" i="31"/>
  <c r="G258" i="31"/>
  <c r="G248" i="31"/>
  <c r="G250" i="31"/>
  <c r="G260" i="31"/>
  <c r="G262" i="31"/>
  <c r="G257" i="31"/>
  <c r="G232" i="31"/>
  <c r="G259" i="31"/>
  <c r="G9" i="31"/>
  <c r="G40" i="25" s="1"/>
  <c r="I80" i="25" s="1"/>
  <c r="E40" i="25"/>
  <c r="G7" i="31"/>
  <c r="E58" i="25"/>
  <c r="E44" i="25"/>
  <c r="E229" i="31"/>
  <c r="C241" i="31"/>
  <c r="M34" i="31"/>
  <c r="G169" i="31"/>
  <c r="Q27" i="31"/>
  <c r="P27" i="31"/>
  <c r="P31" i="31"/>
  <c r="Q31" i="31"/>
  <c r="C256" i="31"/>
  <c r="E256" i="31" s="1"/>
  <c r="E244" i="31"/>
  <c r="P29" i="31"/>
  <c r="Q29" i="31"/>
  <c r="G145" i="31"/>
  <c r="G193" i="31"/>
  <c r="E217" i="31"/>
  <c r="M33" i="31"/>
  <c r="G205" i="31"/>
  <c r="E181" i="31"/>
  <c r="M30" i="31"/>
  <c r="G157" i="31"/>
  <c r="E249" i="31"/>
  <c r="C261" i="31"/>
  <c r="E261" i="31" s="1"/>
  <c r="Q26" i="31"/>
  <c r="P26" i="31"/>
  <c r="Q32" i="31"/>
  <c r="P32" i="31"/>
  <c r="Q28" i="31"/>
  <c r="P28" i="31"/>
  <c r="G133" i="31"/>
  <c r="G31" i="25"/>
  <c r="G30" i="25"/>
  <c r="E7" i="31"/>
  <c r="R41" i="31"/>
  <c r="R40" i="31"/>
  <c r="E32" i="25"/>
  <c r="E9" i="31"/>
  <c r="G27" i="25"/>
  <c r="C21" i="65" l="1"/>
  <c r="E21" i="65" s="1"/>
  <c r="G261" i="31"/>
  <c r="G244" i="31"/>
  <c r="G249" i="31"/>
  <c r="G256" i="31"/>
  <c r="I79" i="25"/>
  <c r="T41" i="31"/>
  <c r="T40" i="31"/>
  <c r="G181" i="31"/>
  <c r="C253" i="31"/>
  <c r="E241" i="31"/>
  <c r="M35" i="31"/>
  <c r="G229" i="31"/>
  <c r="G44" i="25"/>
  <c r="G58" i="25"/>
  <c r="Q33" i="31"/>
  <c r="P33" i="31"/>
  <c r="P30" i="31"/>
  <c r="Q30" i="31"/>
  <c r="G217" i="31"/>
  <c r="P34" i="31"/>
  <c r="Q34" i="31"/>
  <c r="G32" i="25"/>
  <c r="C10" i="31"/>
  <c r="C25" i="65" l="1"/>
  <c r="E25" i="65" s="1"/>
  <c r="E68" i="25"/>
  <c r="G10" i="31"/>
  <c r="E54" i="25"/>
  <c r="Q35" i="31"/>
  <c r="P35" i="31"/>
  <c r="G241" i="31"/>
  <c r="M36" i="31"/>
  <c r="E253" i="31"/>
  <c r="E10" i="31"/>
  <c r="G253" i="31" l="1"/>
  <c r="G68" i="25"/>
  <c r="G54" i="25"/>
  <c r="P36" i="31"/>
  <c r="Q36" i="3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<sst xmlns="http://schemas.openxmlformats.org/spreadsheetml/2006/main" count="1371" uniqueCount="203">
  <si>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</si>
  <si>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</si>
  <si>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</si>
  <si>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</si>
  <si>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</si>
  <si>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</si>
  <si>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</si>
  <si>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</si>
  <si>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</si>
  <si>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</si>
  <si>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</si>
  <si>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</si>
  <si>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</si>
  <si>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</si>
  <si>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</si>
  <si>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</si>
  <si>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</si>
  <si>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</si>
  <si>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</si>
  <si>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</si>
  <si>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</si>
  <si>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</si>
  <si>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</si>
  <si>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</si>
  <si>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</si>
  <si>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</si>
  <si>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</si>
  <si>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</si>
  <si>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</si>
  <si>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</si>
  <si>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</si>
  <si>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</si>
  <si>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</si>
  <si>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</si>
  <si>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</si>
  <si>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</si>
  <si>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</si>
  <si>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</si>
  <si>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</si>
  <si>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</si>
  <si>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</si>
  <si>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</si>
  <si>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</si>
  <si>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</si>
  <si>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</si>
  <si>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</si>
  <si>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</si>
  <si>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</si>
  <si>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</si>
  <si>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</si>
  <si>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</si>
  <si>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</si>
  <si>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</si>
  <si>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</si>
  <si>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</si>
  <si>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</si>
  <si>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</si>
  <si>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</si>
  <si>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</si>
  <si>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</si>
  <si>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</si>
  <si>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</si>
  <si>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</si>
  <si>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</si>
  <si>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</si>
  <si>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</si>
  <si>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</si>
  <si>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</si>
  <si>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</si>
  <si>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</si>
  <si>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</si>
  <si>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</si>
  <si>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</si>
  <si>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</si>
  <si>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</si>
  <si>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</si>
  <si>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</si>
  <si>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</si>
  <si>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</si>
  <si>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</si>
  <si>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</si>
  <si>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</si>
  <si>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</si>
  <si>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</si>
  <si>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</si>
  <si>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</si>
  <si>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</si>
  <si>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</si>
  <si>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</si>
  <si>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</si>
  <si>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</si>
  <si>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</si>
  <si>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</si>
  <si>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</si>
  <si>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</si>
  <si>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</si>
  <si>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</si>
  <si>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</si>
  <si>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</si>
  <si>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</si>
  <si>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</si>
  <si>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</si>
  <si>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</si>
  <si>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</si>
  <si>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</si>
  <si>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</si>
  <si>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</si>
  <si>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</si>
  <si>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</si>
  <si>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</si>
  <si>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</si>
  <si>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</si>
  <si>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</si>
  <si>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</si>
  <si>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</si>
  <si>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</si>
  <si>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</si>
  <si>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</si>
  <si>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</si>
  <si>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</si>
  <si>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</si>
  <si>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</si>
  <si>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</si>
  <si>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</si>
  <si>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</si>
  <si>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</si>
  <si>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</si>
  <si>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</si>
  <si>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</si>
  <si>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</si>
  <si>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</si>
  <si>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</si>
  <si>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</si>
  <si>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</si>
  <si>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</si>
  <si>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</si>
  <si>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</si>
  <si>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</si>
  <si>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</si>
  <si>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</si>
  <si>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</si>
  <si>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</si>
  <si>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</si>
  <si>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</si>
  <si>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</si>
  <si>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</si>
  <si>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</si>
  <si>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</si>
  <si>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</si>
  <si>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</si>
  <si>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</si>
  <si>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</si>
  <si>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</si>
  <si>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</si>
  <si>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</si>
  <si>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</si>
  <si>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</si>
  <si>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</si>
  <si>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</si>
  <si>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</si>
  <si>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</si>
  <si>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</si>
  <si>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</si>
  <si>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</si>
  <si>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</si>
  <si>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</si>
  <si>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</si>
  <si>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</si>
  <si>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</si>
  <si>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</si>
  <si>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</t>
  </si>
  <si>
    <t>15 Year Starting 2019</t>
  </si>
  <si>
    <t>20 Year Starting 2019</t>
  </si>
  <si>
    <t>Avoided Cost Prices $/MWh</t>
  </si>
  <si>
    <t>Solar Tracking</t>
  </si>
  <si>
    <t>31.1% CF (2)</t>
  </si>
  <si>
    <t>Filing</t>
  </si>
  <si>
    <t>Difference</t>
  </si>
  <si>
    <t>2019-2033</t>
  </si>
  <si>
    <t>Utah 2018.Q2 Sch 38</t>
  </si>
  <si>
    <t>UT 2017.Q1</t>
  </si>
  <si>
    <t>UT 2017.Q2</t>
  </si>
  <si>
    <t>Utah 2018.Q2_Solar</t>
  </si>
  <si>
    <t>QF - Sch38 - UT - Solar T</t>
  </si>
  <si>
    <t>Appendix B.3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</si>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</sst>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  <numFmt numFmtId="184" formatCode="&quot;$&quot;#,##0.00_)\(\4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168" fontId="35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84" fontId="5" fillId="0" borderId="0" xfId="11" applyNumberFormat="1" applyFont="1" applyFill="1" applyBorder="1" applyAlignment="1">
      <alignment horizontal="center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2" fontId="5" fillId="0" borderId="0" xfId="11" applyNumberFormat="1" applyFont="1" applyFill="1" applyAlignment="1">
      <alignment horizontal="center"/>
    </xf>
    <xf numFmtId="8" fontId="5" fillId="0" borderId="0" xfId="11" applyNumberFormat="1" applyFont="1" applyFill="1"/>
    <xf numFmtId="171" fontId="5" fillId="0" borderId="0" xfId="0" applyFont="1" applyFill="1" applyAlignment="1">
      <alignment horizontal="center"/>
    </xf>
    <xf numFmtId="171" fontId="36" fillId="0" borderId="0" xfId="0" applyFont="1" applyFill="1" applyAlignment="1">
      <alignment horizontal="centerContinuous"/>
    </xf>
    <xf numFmtId="171" fontId="37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7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4%20-%20UT%202017.Q4%20-%20AC%20Study%20NON-CONF%20Thermal_NonRouti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4_Appendix%20B.3%20-%20UT%202018.Q1%20-%20AC%20Study%20NON-CONF%20S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9">
          <cell r="G9">
            <v>0.85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 refreshError="1"/>
      <sheetData sheetId="1">
        <row r="13">
          <cell r="B13">
            <v>2018</v>
          </cell>
          <cell r="C13">
            <v>0</v>
          </cell>
          <cell r="E13">
            <v>13.891059523384715</v>
          </cell>
          <cell r="G13">
            <v>13.891059523384715</v>
          </cell>
        </row>
        <row r="14">
          <cell r="B14">
            <v>2019</v>
          </cell>
          <cell r="C14">
            <v>0</v>
          </cell>
          <cell r="E14">
            <v>13.494324082994893</v>
          </cell>
          <cell r="G14">
            <v>13.494324082994893</v>
          </cell>
        </row>
        <row r="15">
          <cell r="B15">
            <v>2020</v>
          </cell>
          <cell r="C15">
            <v>0</v>
          </cell>
          <cell r="E15">
            <v>11.948307981846712</v>
          </cell>
          <cell r="G15">
            <v>11.948307981846712</v>
          </cell>
        </row>
        <row r="16">
          <cell r="B16">
            <v>2021</v>
          </cell>
          <cell r="C16">
            <v>0</v>
          </cell>
          <cell r="E16">
            <v>5.9893696871940296</v>
          </cell>
          <cell r="G16">
            <v>5.9893696871940296</v>
          </cell>
        </row>
        <row r="17">
          <cell r="B17">
            <v>2022</v>
          </cell>
          <cell r="C17">
            <v>0</v>
          </cell>
          <cell r="E17">
            <v>5.6043926316505344</v>
          </cell>
          <cell r="G17">
            <v>5.6043926316505344</v>
          </cell>
        </row>
        <row r="18">
          <cell r="B18">
            <v>2023</v>
          </cell>
          <cell r="C18">
            <v>0</v>
          </cell>
          <cell r="E18">
            <v>6.1425554331937997</v>
          </cell>
          <cell r="G18">
            <v>6.1425554331937997</v>
          </cell>
        </row>
        <row r="19">
          <cell r="B19">
            <v>2024</v>
          </cell>
          <cell r="C19">
            <v>0</v>
          </cell>
          <cell r="E19">
            <v>7.8100099732969808</v>
          </cell>
          <cell r="G19">
            <v>7.8100099732969808</v>
          </cell>
        </row>
        <row r="20">
          <cell r="B20">
            <v>2025</v>
          </cell>
          <cell r="C20">
            <v>0</v>
          </cell>
          <cell r="E20">
            <v>9.7978401345695207</v>
          </cell>
          <cell r="G20">
            <v>9.7978401345695207</v>
          </cell>
        </row>
        <row r="21">
          <cell r="B21">
            <v>2026</v>
          </cell>
          <cell r="C21">
            <v>0</v>
          </cell>
          <cell r="E21">
            <v>10.190759686065608</v>
          </cell>
          <cell r="G21">
            <v>10.190759686065608</v>
          </cell>
        </row>
        <row r="22">
          <cell r="B22">
            <v>2027</v>
          </cell>
          <cell r="C22">
            <v>0</v>
          </cell>
          <cell r="E22">
            <v>9.8747598244462598</v>
          </cell>
          <cell r="G22">
            <v>9.8747598244462598</v>
          </cell>
        </row>
        <row r="23">
          <cell r="B23">
            <v>2028</v>
          </cell>
          <cell r="C23">
            <v>0</v>
          </cell>
          <cell r="E23">
            <v>12.68616095731651</v>
          </cell>
          <cell r="G23">
            <v>12.68616095731651</v>
          </cell>
        </row>
        <row r="24">
          <cell r="B24">
            <v>2029</v>
          </cell>
          <cell r="C24">
            <v>0</v>
          </cell>
          <cell r="E24">
            <v>14.660599383199093</v>
          </cell>
          <cell r="G24">
            <v>14.660599383199093</v>
          </cell>
        </row>
        <row r="25">
          <cell r="B25">
            <v>2030</v>
          </cell>
          <cell r="C25">
            <v>0</v>
          </cell>
          <cell r="E25">
            <v>15.859868964597368</v>
          </cell>
          <cell r="G25">
            <v>15.859868964597368</v>
          </cell>
        </row>
        <row r="26">
          <cell r="B26">
            <v>2031</v>
          </cell>
          <cell r="C26">
            <v>0</v>
          </cell>
          <cell r="E26">
            <v>17.421076133516454</v>
          </cell>
          <cell r="G26">
            <v>17.421076133516454</v>
          </cell>
        </row>
        <row r="27">
          <cell r="B27">
            <v>2032</v>
          </cell>
          <cell r="C27">
            <v>0</v>
          </cell>
          <cell r="E27">
            <v>18.517945460349676</v>
          </cell>
          <cell r="G27">
            <v>18.517945460349676</v>
          </cell>
        </row>
        <row r="28">
          <cell r="B28">
            <v>2033</v>
          </cell>
          <cell r="C28">
            <v>0</v>
          </cell>
          <cell r="E28">
            <v>18.330930995063252</v>
          </cell>
          <cell r="G28">
            <v>18.330930995063252</v>
          </cell>
        </row>
        <row r="29">
          <cell r="B29">
            <v>2034</v>
          </cell>
          <cell r="C29">
            <v>0</v>
          </cell>
          <cell r="E29">
            <v>19.833638591256644</v>
          </cell>
          <cell r="G29">
            <v>19.833638591256644</v>
          </cell>
        </row>
        <row r="30">
          <cell r="B30">
            <v>2035</v>
          </cell>
          <cell r="C30">
            <v>0</v>
          </cell>
          <cell r="E30">
            <v>22.30767259980998</v>
          </cell>
          <cell r="G30">
            <v>22.30767259980998</v>
          </cell>
        </row>
        <row r="31">
          <cell r="B31">
            <v>2036</v>
          </cell>
          <cell r="C31">
            <v>0</v>
          </cell>
          <cell r="E31">
            <v>37.248554631997585</v>
          </cell>
          <cell r="G31">
            <v>37.248554631997585</v>
          </cell>
        </row>
        <row r="32">
          <cell r="B32">
            <v>2037</v>
          </cell>
          <cell r="C32">
            <v>0</v>
          </cell>
          <cell r="E32">
            <v>38.017533927871838</v>
          </cell>
          <cell r="G32">
            <v>38.017533927871838</v>
          </cell>
        </row>
        <row r="44">
          <cell r="G44">
            <v>11.004389845159407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80" zoomScaleNormal="80" zoomScaleSheetLayoutView="80" workbookViewId="0">
      <selection activeCell="B32" sqref="B32"/>
    </sheetView>
  </sheetViews>
  <sheetFormatPr defaultColWidth="9.33203125" defaultRowHeight="12.75"/>
  <cols>
    <col min="1" max="1" width="14" style="54" customWidth="1"/>
    <col min="2" max="2" width="11.6640625" style="54" customWidth="1"/>
    <col min="3" max="5" width="17.5" style="54" customWidth="1"/>
    <col min="6" max="6" width="9.33203125" style="54" customWidth="1"/>
    <col min="7" max="7" width="9.33203125" style="53" customWidth="1"/>
    <col min="8" max="8" width="10.5" style="53" bestFit="1" customWidth="1"/>
    <col min="9" max="16384" width="9.33203125" style="53"/>
  </cols>
  <sheetData>
    <row r="1" spans="2:6" ht="15.75">
      <c r="B1" s="252" t="s">
        <v>184</v>
      </c>
      <c r="C1" s="253"/>
      <c r="D1" s="253"/>
      <c r="E1" s="254"/>
      <c r="F1" s="255"/>
    </row>
    <row r="2" spans="2:6" ht="5.25" customHeight="1">
      <c r="B2" s="252"/>
      <c r="C2" s="253"/>
      <c r="D2" s="253"/>
      <c r="E2" s="254"/>
      <c r="F2" s="255"/>
    </row>
    <row r="3" spans="2:6" ht="15.75">
      <c r="B3" s="256" t="s">
        <v>173</v>
      </c>
      <c r="C3" s="256"/>
      <c r="D3" s="256"/>
      <c r="E3" s="252"/>
      <c r="F3" s="255"/>
    </row>
    <row r="4" spans="2:6" ht="15.75">
      <c r="B4" s="4" t="s">
        <v>179</v>
      </c>
      <c r="C4" s="256"/>
      <c r="D4" s="256"/>
      <c r="E4" s="252"/>
      <c r="F4" s="255"/>
    </row>
    <row r="5" spans="2:6" ht="25.5" customHeight="1">
      <c r="C5" s="257" t="s">
        <v>174</v>
      </c>
      <c r="D5" s="257" t="s">
        <v>174</v>
      </c>
      <c r="E5" s="257" t="str">
        <f>C5</f>
        <v>Solar Tracking</v>
      </c>
      <c r="F5" s="255"/>
    </row>
    <row r="6" spans="2:6">
      <c r="B6" s="257" t="s">
        <v>0</v>
      </c>
      <c r="C6" s="258" t="s">
        <v>181</v>
      </c>
      <c r="D6" s="258" t="s">
        <v>180</v>
      </c>
      <c r="E6" s="259"/>
      <c r="F6" s="260"/>
    </row>
    <row r="7" spans="2:6">
      <c r="B7" s="257"/>
      <c r="C7" s="261" t="s">
        <v>175</v>
      </c>
      <c r="D7" s="262" t="s">
        <v>176</v>
      </c>
      <c r="E7" s="263" t="s">
        <v>177</v>
      </c>
      <c r="F7" s="264"/>
    </row>
    <row r="8" spans="2:6">
      <c r="B8" s="265">
        <f>'Table 1'!B14</f>
        <v>2019</v>
      </c>
      <c r="C8" s="266">
        <f ca="1">VLOOKUP($B8,'Table 1'!$B$13:$G$32,6,FALSE)</f>
        <v>17.472365650340478</v>
      </c>
      <c r="D8" s="266">
        <f>VLOOKUP($B8,'[11]Table 1'!$B$13:$G$32,6,FALSE)</f>
        <v>13.494324082994893</v>
      </c>
      <c r="E8" s="266">
        <f t="shared" ref="E8:E22" ca="1" si="0">C8-D8</f>
        <v>3.9780415673455849</v>
      </c>
      <c r="F8" s="267"/>
    </row>
    <row r="9" spans="2:6">
      <c r="B9" s="268">
        <f>'Table 1'!B15</f>
        <v>2020</v>
      </c>
      <c r="C9" s="269">
        <f ca="1">VLOOKUP($B9,'Table 1'!$B$13:$G$32,6,FALSE)</f>
        <v>14.313074570411938</v>
      </c>
      <c r="D9" s="269">
        <f>VLOOKUP($B9,'[11]Table 1'!$B$13:$G$32,6,FALSE)</f>
        <v>11.948307981846712</v>
      </c>
      <c r="E9" s="269">
        <f t="shared" ca="1" si="0"/>
        <v>2.3647665885652263</v>
      </c>
      <c r="F9" s="267"/>
    </row>
    <row r="10" spans="2:6">
      <c r="B10" s="268">
        <f>'Table 1'!B16</f>
        <v>2021</v>
      </c>
      <c r="C10" s="269">
        <f ca="1">VLOOKUP($B10,'Table 1'!$B$13:$G$32,6,FALSE)</f>
        <v>10.72779057407717</v>
      </c>
      <c r="D10" s="269">
        <f>VLOOKUP($B10,'[11]Table 1'!$B$13:$G$32,6,FALSE)</f>
        <v>5.9893696871940296</v>
      </c>
      <c r="E10" s="269">
        <f t="shared" ca="1" si="0"/>
        <v>4.7384208868831408</v>
      </c>
      <c r="F10" s="267"/>
    </row>
    <row r="11" spans="2:6">
      <c r="B11" s="268">
        <f>'Table 1'!B17</f>
        <v>2022</v>
      </c>
      <c r="C11" s="269">
        <f ca="1">VLOOKUP($B11,'Table 1'!$B$13:$G$32,6,FALSE)</f>
        <v>8.3523849474969207</v>
      </c>
      <c r="D11" s="269">
        <f>VLOOKUP($B11,'[11]Table 1'!$B$13:$G$32,6,FALSE)</f>
        <v>5.6043926316505344</v>
      </c>
      <c r="E11" s="269">
        <f t="shared" ca="1" si="0"/>
        <v>2.7479923158463864</v>
      </c>
      <c r="F11" s="267"/>
    </row>
    <row r="12" spans="2:6">
      <c r="B12" s="268">
        <f>'Table 1'!B18</f>
        <v>2023</v>
      </c>
      <c r="C12" s="269">
        <f ca="1">VLOOKUP($B12,'Table 1'!$B$13:$G$32,6,FALSE)</f>
        <v>9.4183593270521921</v>
      </c>
      <c r="D12" s="269">
        <f>VLOOKUP($B12,'[11]Table 1'!$B$13:$G$32,6,FALSE)</f>
        <v>6.1425554331937997</v>
      </c>
      <c r="E12" s="269">
        <f t="shared" ca="1" si="0"/>
        <v>3.2758038938583924</v>
      </c>
      <c r="F12" s="267"/>
    </row>
    <row r="13" spans="2:6">
      <c r="B13" s="268">
        <f>'Table 1'!B19</f>
        <v>2024</v>
      </c>
      <c r="C13" s="269">
        <f ca="1">VLOOKUP($B13,'Table 1'!$B$13:$G$32,6,FALSE)</f>
        <v>10.247492936489305</v>
      </c>
      <c r="D13" s="269">
        <f>VLOOKUP($B13,'[11]Table 1'!$B$13:$G$32,6,FALSE)</f>
        <v>7.8100099732969808</v>
      </c>
      <c r="E13" s="269">
        <f t="shared" ca="1" si="0"/>
        <v>2.4374829631923243</v>
      </c>
      <c r="F13" s="267"/>
    </row>
    <row r="14" spans="2:6">
      <c r="B14" s="268">
        <f>'Table 1'!B20</f>
        <v>2025</v>
      </c>
      <c r="C14" s="269">
        <f ca="1">VLOOKUP($B14,'Table 1'!$B$13:$G$32,6,FALSE)</f>
        <v>12.769930046512654</v>
      </c>
      <c r="D14" s="269">
        <f>VLOOKUP($B14,'[11]Table 1'!$B$13:$G$32,6,FALSE)</f>
        <v>9.7978401345695207</v>
      </c>
      <c r="E14" s="269">
        <f t="shared" ca="1" si="0"/>
        <v>2.972089911943133</v>
      </c>
      <c r="F14" s="267"/>
    </row>
    <row r="15" spans="2:6">
      <c r="B15" s="268">
        <f>'Table 1'!B21</f>
        <v>2026</v>
      </c>
      <c r="C15" s="269">
        <f ca="1">VLOOKUP($B15,'Table 1'!$B$13:$G$32,6,FALSE)</f>
        <v>11.913168629575766</v>
      </c>
      <c r="D15" s="269">
        <f>VLOOKUP($B15,'[11]Table 1'!$B$13:$G$32,6,FALSE)</f>
        <v>10.190759686065608</v>
      </c>
      <c r="E15" s="269">
        <f t="shared" ca="1" si="0"/>
        <v>1.7224089435101586</v>
      </c>
      <c r="F15" s="267"/>
    </row>
    <row r="16" spans="2:6">
      <c r="B16" s="268">
        <f>'Table 1'!B22</f>
        <v>2027</v>
      </c>
      <c r="C16" s="269">
        <f ca="1">VLOOKUP($B16,'Table 1'!$B$13:$G$32,6,FALSE)</f>
        <v>13.766152911019011</v>
      </c>
      <c r="D16" s="269">
        <f>VLOOKUP($B16,'[11]Table 1'!$B$13:$G$32,6,FALSE)</f>
        <v>9.8747598244462598</v>
      </c>
      <c r="E16" s="269">
        <f t="shared" ca="1" si="0"/>
        <v>3.8913930865727515</v>
      </c>
      <c r="F16" s="267"/>
    </row>
    <row r="17" spans="1:6">
      <c r="B17" s="268">
        <f>'Table 1'!B23</f>
        <v>2028</v>
      </c>
      <c r="C17" s="269">
        <f ca="1">VLOOKUP($B17,'Table 1'!$B$13:$G$32,6,FALSE)</f>
        <v>16.716479402453071</v>
      </c>
      <c r="D17" s="269">
        <f>VLOOKUP($B17,'[11]Table 1'!$B$13:$G$32,6,FALSE)</f>
        <v>12.68616095731651</v>
      </c>
      <c r="E17" s="269">
        <f t="shared" ca="1" si="0"/>
        <v>4.0303184451365617</v>
      </c>
      <c r="F17" s="267"/>
    </row>
    <row r="18" spans="1:6">
      <c r="B18" s="268">
        <f>'Table 1'!B24</f>
        <v>2029</v>
      </c>
      <c r="C18" s="269">
        <f ca="1">VLOOKUP($B18,'Table 1'!$B$13:$G$32,6,FALSE)</f>
        <v>19.222737155951382</v>
      </c>
      <c r="D18" s="269">
        <f>VLOOKUP($B18,'[11]Table 1'!$B$13:$G$32,6,FALSE)</f>
        <v>14.660599383199093</v>
      </c>
      <c r="E18" s="269">
        <f t="shared" ca="1" si="0"/>
        <v>4.5621377727522887</v>
      </c>
      <c r="F18" s="267"/>
    </row>
    <row r="19" spans="1:6">
      <c r="B19" s="268">
        <f>'Table 1'!B25</f>
        <v>2030</v>
      </c>
      <c r="C19" s="269">
        <f ca="1">VLOOKUP($B19,'Table 1'!$B$13:$G$32,6,FALSE)</f>
        <v>25.010403841814256</v>
      </c>
      <c r="D19" s="269">
        <f>VLOOKUP($B19,'[11]Table 1'!$B$13:$G$32,6,FALSE)</f>
        <v>15.859868964597368</v>
      </c>
      <c r="E19" s="269">
        <f t="shared" ca="1" si="0"/>
        <v>9.150534877216888</v>
      </c>
      <c r="F19" s="267"/>
    </row>
    <row r="20" spans="1:6">
      <c r="B20" s="268">
        <f>'Table 1'!B26</f>
        <v>2031</v>
      </c>
      <c r="C20" s="269">
        <f ca="1">VLOOKUP($B20,'Table 1'!$B$13:$G$32,6,FALSE)</f>
        <v>28.398906000791179</v>
      </c>
      <c r="D20" s="269">
        <f>VLOOKUP($B20,'[11]Table 1'!$B$13:$G$32,6,FALSE)</f>
        <v>17.421076133516454</v>
      </c>
      <c r="E20" s="269">
        <f t="shared" ca="1" si="0"/>
        <v>10.977829867274725</v>
      </c>
      <c r="F20" s="267"/>
    </row>
    <row r="21" spans="1:6">
      <c r="B21" s="268">
        <f>'Table 1'!B27</f>
        <v>2032</v>
      </c>
      <c r="C21" s="269">
        <f ca="1">VLOOKUP($B21,'Table 1'!$B$13:$G$32,6,FALSE)</f>
        <v>28.009015808556573</v>
      </c>
      <c r="D21" s="269">
        <f>VLOOKUP($B21,'[11]Table 1'!$B$13:$G$32,6,FALSE)</f>
        <v>18.517945460349676</v>
      </c>
      <c r="E21" s="269">
        <f t="shared" ca="1" si="0"/>
        <v>9.4910703482068968</v>
      </c>
      <c r="F21" s="267"/>
    </row>
    <row r="22" spans="1:6">
      <c r="B22" s="270">
        <f>'Table 1'!B28</f>
        <v>2033</v>
      </c>
      <c r="C22" s="271">
        <f ca="1">VLOOKUP($B22,'Table 1'!$B$13:$G$32,6,FALSE)</f>
        <v>29.077872254497617</v>
      </c>
      <c r="D22" s="271">
        <f>VLOOKUP($B22,'[11]Table 1'!$B$13:$G$32,6,FALSE)</f>
        <v>18.330930995063252</v>
      </c>
      <c r="E22" s="271">
        <f t="shared" ca="1" si="0"/>
        <v>10.746941259434365</v>
      </c>
      <c r="F22" s="267"/>
    </row>
    <row r="23" spans="1:6">
      <c r="D23" s="257"/>
    </row>
    <row r="24" spans="1:6">
      <c r="B24" s="55" t="str">
        <f>"15-Year Levelized Prices (Nominal) @ "&amp;TEXT(Discount_Rate,"0.000%")&amp;" Discount Rate (1) (3)"</f>
        <v>15-Year Levelized Prices (Nominal) @ 6.910% Discount Rate (1) (3)</v>
      </c>
      <c r="D24" s="257"/>
      <c r="F24" s="272"/>
    </row>
    <row r="25" spans="1:6">
      <c r="A25" s="3" t="s">
        <v>178</v>
      </c>
      <c r="B25" s="273" t="s">
        <v>33</v>
      </c>
      <c r="C25" s="274">
        <f ca="1">ROUND('Table 1'!$G$44,2)</f>
        <v>15.46</v>
      </c>
      <c r="D25" s="274">
        <f>ROUND('[11]Table 1'!$G$44,2)</f>
        <v>11</v>
      </c>
      <c r="E25" s="269">
        <f ca="1">C25-D25</f>
        <v>4.4600000000000009</v>
      </c>
      <c r="F25" s="275"/>
    </row>
    <row r="26" spans="1:6" ht="17.25" customHeight="1">
      <c r="B26" s="276"/>
      <c r="C26" s="269"/>
      <c r="D26" s="269"/>
      <c r="E26" s="277"/>
    </row>
    <row r="27" spans="1:6" ht="10.5" customHeight="1">
      <c r="B27" s="273"/>
      <c r="C27" s="269"/>
      <c r="D27" s="269"/>
      <c r="E27" s="269"/>
    </row>
    <row r="28" spans="1:6" s="54" customFormat="1" ht="5.25" customHeight="1">
      <c r="D28" s="278"/>
    </row>
    <row r="29" spans="1:6" s="54" customFormat="1">
      <c r="B29" s="54" t="s">
        <v>16</v>
      </c>
      <c r="C29" s="279"/>
      <c r="D29" s="280"/>
      <c r="E29" s="280"/>
    </row>
    <row r="30" spans="1:6" s="54" customFormat="1">
      <c r="B30" s="54" t="str">
        <f>'Table 1'!$B$70</f>
        <v>(1)   Discount Rate - 2017 IRP Update</v>
      </c>
      <c r="D30" s="282"/>
      <c r="E30" s="282"/>
    </row>
    <row r="31" spans="1:6" s="54" customFormat="1">
      <c r="B31" s="281" t="str">
        <f>"(2)   Total Avoided Costs with Capacity, based on stated CF"</f>
        <v>(2)   Total Avoided Costs with Capacity, based on stated CF</v>
      </c>
    </row>
    <row r="32" spans="1:6" s="54" customFormat="1">
      <c r="B32" s="54" t="str">
        <f>"(3)   15-Years: "&amp;B8&amp;" - "&amp;B22&amp;", levelized monthly"</f>
        <v>(3)   15-Years: 2019 - 2033, levelized monthly</v>
      </c>
    </row>
    <row r="33" spans="2:5" s="54" customFormat="1">
      <c r="B33" s="10"/>
    </row>
    <row r="34" spans="2:5" s="54" customFormat="1">
      <c r="B34" s="10"/>
    </row>
    <row r="35" spans="2:5" s="54" customFormat="1">
      <c r="B35" s="10"/>
    </row>
    <row r="36" spans="2:5" s="54" customFormat="1" hidden="1"/>
    <row r="37" spans="2:5" s="54" customFormat="1">
      <c r="C37" s="269"/>
      <c r="D37" s="269"/>
    </row>
    <row r="39" spans="2:5" s="54" customFormat="1">
      <c r="C39" s="283"/>
      <c r="D39" s="283"/>
      <c r="E39" s="283"/>
    </row>
  </sheetData>
  <conditionalFormatting sqref="D9:D22">
    <cfRule type="expression" dxfId="3" priority="5">
      <formula>ISNA(F9)</formula>
    </cfRule>
  </conditionalFormatting>
  <conditionalFormatting sqref="E8:E22">
    <cfRule type="expression" dxfId="2" priority="4">
      <formula>ISNA(I8)</formula>
    </cfRule>
  </conditionalFormatting>
  <conditionalFormatting sqref="D8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11.544700793078588</v>
      </c>
      <c r="J12" s="135">
        <f t="shared" si="2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11.800048065368903</v>
      </c>
      <c r="J13" s="135">
        <f t="shared" si="2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12.094448449891853</v>
      </c>
      <c r="J14" s="135">
        <f t="shared" si="2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12.385844748858448</v>
      </c>
      <c r="J15" s="135">
        <f t="shared" si="2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12.683249218937757</v>
      </c>
      <c r="J16" s="135">
        <f t="shared" si="2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12.986661860129777</v>
      </c>
      <c r="J17" s="135">
        <f t="shared" si="2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13.284066330209084</v>
      </c>
      <c r="J18" s="135">
        <f t="shared" si="2"/>
        <v>44.22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13.590483056957464</v>
      </c>
      <c r="J19" s="135">
        <f t="shared" si="2"/>
        <v>45.24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5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47.26</v>
      </c>
      <c r="F21" s="135">
        <f t="shared" si="1"/>
        <v>14.197308339341506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14.197308339341506</v>
      </c>
      <c r="J21" s="135">
        <f t="shared" si="2"/>
        <v>47.26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48.3</v>
      </c>
      <c r="F22" s="135">
        <f t="shared" si="1"/>
        <v>14.509733237202596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14.509733237202596</v>
      </c>
      <c r="J22" s="135">
        <f t="shared" si="2"/>
        <v>48.3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49.31</v>
      </c>
      <c r="F23" s="135">
        <f t="shared" si="1"/>
        <v>14.813145878394618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14.813145878394618</v>
      </c>
      <c r="J23" s="135">
        <f t="shared" si="2"/>
        <v>49.31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50.3</v>
      </c>
      <c r="F24" s="135">
        <f t="shared" si="1"/>
        <v>15.110550348473925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15.110550348473925</v>
      </c>
      <c r="J24" s="135">
        <f t="shared" si="2"/>
        <v>50.3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51.31</v>
      </c>
      <c r="F25" s="135">
        <f t="shared" si="1"/>
        <v>15.413962989665947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15.413962989665947</v>
      </c>
      <c r="J25" s="135">
        <f t="shared" si="2"/>
        <v>51.31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52.34</v>
      </c>
      <c r="F26" s="135">
        <f t="shared" si="1"/>
        <v>15.723383801970682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15.723383801970682</v>
      </c>
      <c r="J26" s="135">
        <f t="shared" si="2"/>
        <v>52.34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53.39</v>
      </c>
      <c r="F27" s="135">
        <f t="shared" si="1"/>
        <v>46.352432398307698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46.352432398307698</v>
      </c>
      <c r="J27" s="135">
        <f t="shared" si="2"/>
        <v>154.30000000000001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102.93</v>
      </c>
      <c r="E28" s="133">
        <f t="shared" si="15"/>
        <v>54.46</v>
      </c>
      <c r="F28" s="135">
        <f t="shared" si="1"/>
        <v>47.281302571497243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47.281302571497243</v>
      </c>
      <c r="J28" s="135">
        <f t="shared" si="2"/>
        <v>157.38999999999999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104.99</v>
      </c>
      <c r="E29" s="133">
        <f t="shared" si="26"/>
        <v>55.55</v>
      </c>
      <c r="F29" s="135">
        <f t="shared" si="1"/>
        <v>48.227589521749579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48.227589521749579</v>
      </c>
      <c r="J29" s="135">
        <f t="shared" si="2"/>
        <v>160.54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107.09</v>
      </c>
      <c r="E30" s="133">
        <f t="shared" si="26"/>
        <v>56.66</v>
      </c>
      <c r="F30" s="135">
        <f t="shared" si="1"/>
        <v>49.191900985340069</v>
      </c>
      <c r="G30" s="133">
        <f t="shared" si="27"/>
        <v>0</v>
      </c>
      <c r="H30" s="133">
        <f t="shared" si="27"/>
        <v>0</v>
      </c>
      <c r="I30" s="135">
        <f t="shared" si="5"/>
        <v>49.191900985340069</v>
      </c>
      <c r="J30" s="135">
        <f t="shared" si="2"/>
        <v>163.75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109.34</v>
      </c>
      <c r="E31" s="133">
        <f t="shared" si="26"/>
        <v>57.85</v>
      </c>
      <c r="F31" s="135">
        <f t="shared" si="1"/>
        <v>50.225306416726752</v>
      </c>
      <c r="G31" s="133">
        <f t="shared" si="27"/>
        <v>0</v>
      </c>
      <c r="H31" s="133">
        <f t="shared" si="27"/>
        <v>0</v>
      </c>
      <c r="I31" s="135">
        <f t="shared" si="5"/>
        <v>50.225306416726752</v>
      </c>
      <c r="J31" s="135">
        <f t="shared" si="2"/>
        <v>167.19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111.64</v>
      </c>
      <c r="E32" s="133">
        <f t="shared" si="26"/>
        <v>59.06</v>
      </c>
      <c r="F32" s="135">
        <f t="shared" si="1"/>
        <v>51.279740447007931</v>
      </c>
      <c r="G32" s="133">
        <f t="shared" si="27"/>
        <v>0</v>
      </c>
      <c r="H32" s="133">
        <f t="shared" si="27"/>
        <v>0</v>
      </c>
      <c r="I32" s="135">
        <f t="shared" si="5"/>
        <v>51.279740447007931</v>
      </c>
      <c r="J32" s="135">
        <f t="shared" si="2"/>
        <v>170.7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113.98</v>
      </c>
      <c r="E33" s="133">
        <f t="shared" si="26"/>
        <v>60.3</v>
      </c>
      <c r="F33" s="135">
        <f t="shared" si="1"/>
        <v>52.355203076183614</v>
      </c>
      <c r="G33" s="133">
        <f t="shared" si="27"/>
        <v>0</v>
      </c>
      <c r="H33" s="133">
        <f t="shared" si="27"/>
        <v>0</v>
      </c>
      <c r="I33" s="135">
        <f t="shared" si="5"/>
        <v>52.355203076183614</v>
      </c>
      <c r="J33" s="135">
        <f t="shared" si="2"/>
        <v>174.28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116.37</v>
      </c>
      <c r="E34" s="133">
        <f t="shared" si="26"/>
        <v>61.57</v>
      </c>
      <c r="F34" s="135">
        <f t="shared" si="1"/>
        <v>53.454698389810147</v>
      </c>
      <c r="G34" s="133">
        <f t="shared" si="27"/>
        <v>0</v>
      </c>
      <c r="H34" s="133">
        <f t="shared" si="27"/>
        <v>0</v>
      </c>
      <c r="I34" s="135">
        <f t="shared" si="5"/>
        <v>53.454698389810147</v>
      </c>
      <c r="J34" s="135">
        <f t="shared" si="2"/>
        <v>177.94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118.93</v>
      </c>
      <c r="E35" s="133">
        <f t="shared" si="26"/>
        <v>62.92</v>
      </c>
      <c r="F35" s="135">
        <f t="shared" si="1"/>
        <v>54.629295842345599</v>
      </c>
      <c r="G35" s="133">
        <f t="shared" si="27"/>
        <v>0</v>
      </c>
      <c r="H35" s="133">
        <f t="shared" si="27"/>
        <v>0</v>
      </c>
      <c r="I35" s="135">
        <f t="shared" si="5"/>
        <v>54.629295842345599</v>
      </c>
      <c r="J35" s="135">
        <f t="shared" si="2"/>
        <v>181.85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121.55</v>
      </c>
      <c r="E36" s="133">
        <f t="shared" si="26"/>
        <v>64.3</v>
      </c>
      <c r="F36" s="135">
        <f t="shared" si="1"/>
        <v>55.83093006488825</v>
      </c>
      <c r="G36" s="133">
        <f t="shared" si="27"/>
        <v>0</v>
      </c>
      <c r="H36" s="133">
        <f t="shared" si="27"/>
        <v>0</v>
      </c>
      <c r="I36" s="135">
        <f t="shared" si="5"/>
        <v>55.83093006488825</v>
      </c>
      <c r="J36" s="135">
        <f t="shared" si="2"/>
        <v>185.85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1420.0408201737057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0">C66+1</f>
        <v>2018</v>
      </c>
      <c r="D67" s="41">
        <v>2.3E-2</v>
      </c>
      <c r="E67" s="86"/>
      <c r="F67" s="88">
        <f t="shared" ref="F67:F74" si="31">F66+1</f>
        <v>2027</v>
      </c>
      <c r="G67" s="41">
        <v>2.1999999999999999E-2</v>
      </c>
      <c r="H67" s="86"/>
      <c r="I67" s="88">
        <f t="shared" ref="I67:I74" si="32">I66+1</f>
        <v>2036</v>
      </c>
      <c r="J67" s="88"/>
      <c r="K67" s="41">
        <v>0.02</v>
      </c>
    </row>
    <row r="68" spans="3:11">
      <c r="C68" s="88">
        <f t="shared" si="30"/>
        <v>2019</v>
      </c>
      <c r="D68" s="41">
        <v>2.1999999999999999E-2</v>
      </c>
      <c r="E68" s="86"/>
      <c r="F68" s="88">
        <f t="shared" si="31"/>
        <v>2028</v>
      </c>
      <c r="G68" s="41">
        <v>2.1999999999999999E-2</v>
      </c>
      <c r="H68" s="86"/>
      <c r="I68" s="88">
        <f t="shared" si="32"/>
        <v>2037</v>
      </c>
      <c r="J68" s="88"/>
      <c r="K68" s="41">
        <v>2.1000000000000001E-2</v>
      </c>
    </row>
    <row r="69" spans="3:11">
      <c r="C69" s="88">
        <f t="shared" si="30"/>
        <v>2020</v>
      </c>
      <c r="D69" s="41">
        <v>2.5000000000000001E-2</v>
      </c>
      <c r="E69" s="86"/>
      <c r="F69" s="88">
        <f t="shared" si="31"/>
        <v>2029</v>
      </c>
      <c r="G69" s="41">
        <v>2.1000000000000001E-2</v>
      </c>
      <c r="H69" s="86"/>
      <c r="I69" s="88">
        <f t="shared" si="32"/>
        <v>2038</v>
      </c>
      <c r="J69" s="88"/>
      <c r="K69" s="41">
        <v>2.1000000000000001E-2</v>
      </c>
    </row>
    <row r="70" spans="3:11">
      <c r="C70" s="88">
        <f t="shared" si="30"/>
        <v>2021</v>
      </c>
      <c r="D70" s="41">
        <v>2.4E-2</v>
      </c>
      <c r="E70" s="86"/>
      <c r="F70" s="88">
        <f t="shared" si="31"/>
        <v>2030</v>
      </c>
      <c r="G70" s="41">
        <v>0.02</v>
      </c>
      <c r="H70" s="86"/>
      <c r="I70" s="88">
        <f t="shared" si="32"/>
        <v>2039</v>
      </c>
      <c r="J70" s="88"/>
      <c r="K70" s="41">
        <v>2.1000000000000001E-2</v>
      </c>
    </row>
    <row r="71" spans="3:11">
      <c r="C71" s="88">
        <f t="shared" si="30"/>
        <v>2022</v>
      </c>
      <c r="D71" s="41">
        <v>2.4E-2</v>
      </c>
      <c r="E71" s="86"/>
      <c r="F71" s="88">
        <f t="shared" si="31"/>
        <v>2031</v>
      </c>
      <c r="G71" s="41">
        <v>0.02</v>
      </c>
      <c r="H71" s="86"/>
      <c r="I71" s="88">
        <f t="shared" si="32"/>
        <v>2040</v>
      </c>
      <c r="J71" s="88"/>
      <c r="K71" s="41">
        <v>2.1000000000000001E-2</v>
      </c>
    </row>
    <row r="72" spans="3:11" s="124" customFormat="1">
      <c r="C72" s="88">
        <f t="shared" si="30"/>
        <v>2023</v>
      </c>
      <c r="D72" s="41">
        <v>2.4E-2</v>
      </c>
      <c r="E72" s="87"/>
      <c r="F72" s="88">
        <f t="shared" si="31"/>
        <v>2032</v>
      </c>
      <c r="G72" s="41">
        <v>0.02</v>
      </c>
      <c r="H72" s="87"/>
      <c r="I72" s="88">
        <f t="shared" si="32"/>
        <v>2041</v>
      </c>
      <c r="J72" s="88"/>
      <c r="K72" s="41">
        <v>2.1999999999999999E-2</v>
      </c>
    </row>
    <row r="73" spans="3:11" s="124" customFormat="1">
      <c r="C73" s="88">
        <f t="shared" si="30"/>
        <v>2024</v>
      </c>
      <c r="D73" s="41">
        <v>2.3E-2</v>
      </c>
      <c r="E73" s="87"/>
      <c r="F73" s="88">
        <f t="shared" si="31"/>
        <v>2033</v>
      </c>
      <c r="G73" s="41">
        <v>0.02</v>
      </c>
      <c r="H73" s="87"/>
      <c r="I73" s="88">
        <f t="shared" si="32"/>
        <v>2042</v>
      </c>
      <c r="J73" s="88"/>
      <c r="K73" s="41">
        <v>2.1999999999999999E-2</v>
      </c>
    </row>
    <row r="74" spans="3:11" s="124" customFormat="1">
      <c r="C74" s="88">
        <f t="shared" si="30"/>
        <v>2025</v>
      </c>
      <c r="D74" s="41">
        <v>2.3E-2</v>
      </c>
      <c r="E74" s="87"/>
      <c r="F74" s="88">
        <f t="shared" si="31"/>
        <v>2034</v>
      </c>
      <c r="G74" s="41">
        <v>0.02</v>
      </c>
      <c r="H74" s="87"/>
      <c r="I74" s="88">
        <f t="shared" si="32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46.24</v>
      </c>
      <c r="F20" s="135">
        <f t="shared" si="1"/>
        <v>17.02754455737222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50.3</v>
      </c>
      <c r="F24" s="135">
        <f t="shared" si="1"/>
        <v>18.522610104580941</v>
      </c>
      <c r="G24" s="133">
        <f t="shared" si="9"/>
        <v>0</v>
      </c>
      <c r="H24" s="143">
        <f t="shared" si="9"/>
        <v>0</v>
      </c>
      <c r="I24" s="135">
        <f t="shared" si="2"/>
        <v>18.522610104580941</v>
      </c>
      <c r="J24" s="135">
        <f t="shared" si="3"/>
        <v>50.3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51.31</v>
      </c>
      <c r="F25" s="135">
        <f t="shared" si="1"/>
        <v>18.894535277655031</v>
      </c>
      <c r="G25" s="133">
        <f t="shared" si="9"/>
        <v>0</v>
      </c>
      <c r="H25" s="143">
        <f t="shared" si="9"/>
        <v>0</v>
      </c>
      <c r="I25" s="135">
        <f t="shared" si="2"/>
        <v>18.894535277655031</v>
      </c>
      <c r="J25" s="135">
        <f t="shared" si="3"/>
        <v>51.31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52.34</v>
      </c>
      <c r="F26" s="135">
        <f t="shared" si="1"/>
        <v>19.273825305641481</v>
      </c>
      <c r="G26" s="133">
        <f t="shared" si="9"/>
        <v>0</v>
      </c>
      <c r="H26" s="143">
        <f t="shared" si="9"/>
        <v>0</v>
      </c>
      <c r="I26" s="135">
        <f t="shared" si="2"/>
        <v>19.273825305641481</v>
      </c>
      <c r="J26" s="135">
        <f t="shared" si="3"/>
        <v>52.34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53.39</v>
      </c>
      <c r="F27" s="135">
        <f t="shared" si="1"/>
        <v>19.660480188540287</v>
      </c>
      <c r="G27" s="133">
        <f t="shared" si="9"/>
        <v>0</v>
      </c>
      <c r="H27" s="143">
        <f t="shared" si="9"/>
        <v>0</v>
      </c>
      <c r="I27" s="135">
        <f t="shared" si="2"/>
        <v>19.660480188540287</v>
      </c>
      <c r="J27" s="135">
        <f t="shared" si="3"/>
        <v>53.39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54.46</v>
      </c>
      <c r="F28" s="135">
        <f t="shared" si="1"/>
        <v>20.054499926351454</v>
      </c>
      <c r="G28" s="133">
        <f t="shared" si="9"/>
        <v>0</v>
      </c>
      <c r="H28" s="143">
        <f t="shared" si="9"/>
        <v>0</v>
      </c>
      <c r="I28" s="135">
        <f t="shared" si="2"/>
        <v>20.054499926351454</v>
      </c>
      <c r="J28" s="135">
        <f t="shared" si="3"/>
        <v>54.46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55.55</v>
      </c>
      <c r="F29" s="135">
        <f t="shared" si="1"/>
        <v>20.455884519074974</v>
      </c>
      <c r="G29" s="133">
        <f>ROUND(G28*(1+$K66),2)</f>
        <v>0</v>
      </c>
      <c r="H29" s="143">
        <f>ROUND(H28*(1+$K66),2)</f>
        <v>0</v>
      </c>
      <c r="I29" s="135">
        <f t="shared" si="2"/>
        <v>20.455884519074974</v>
      </c>
      <c r="J29" s="135">
        <f t="shared" si="3"/>
        <v>55.55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56.66</v>
      </c>
      <c r="F30" s="135">
        <f t="shared" si="1"/>
        <v>56.707480478408002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56.707480478408002</v>
      </c>
      <c r="J30" s="135">
        <f t="shared" si="3"/>
        <v>153.99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99.38</v>
      </c>
      <c r="E31" s="133">
        <f t="shared" si="12"/>
        <v>57.85</v>
      </c>
      <c r="F31" s="135">
        <f t="shared" si="1"/>
        <v>57.898806893504201</v>
      </c>
      <c r="G31" s="133">
        <f t="shared" si="13"/>
        <v>0</v>
      </c>
      <c r="H31" s="143">
        <f t="shared" si="13"/>
        <v>0</v>
      </c>
      <c r="I31" s="135">
        <f t="shared" si="2"/>
        <v>57.898806893504201</v>
      </c>
      <c r="J31" s="135">
        <f t="shared" si="3"/>
        <v>157.22999999999999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101.47</v>
      </c>
      <c r="E32" s="133">
        <f t="shared" si="12"/>
        <v>59.06</v>
      </c>
      <c r="F32" s="135">
        <f t="shared" si="1"/>
        <v>59.114007954043309</v>
      </c>
      <c r="G32" s="133">
        <f t="shared" si="13"/>
        <v>0</v>
      </c>
      <c r="H32" s="143">
        <f t="shared" si="13"/>
        <v>0</v>
      </c>
      <c r="I32" s="135">
        <f t="shared" si="2"/>
        <v>59.114007954043309</v>
      </c>
      <c r="J32" s="135">
        <f t="shared" si="3"/>
        <v>160.53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103.6</v>
      </c>
      <c r="E33" s="133">
        <f t="shared" si="12"/>
        <v>60.3</v>
      </c>
      <c r="F33" s="135">
        <f t="shared" si="1"/>
        <v>60.354986006775661</v>
      </c>
      <c r="G33" s="133">
        <f t="shared" si="13"/>
        <v>0</v>
      </c>
      <c r="H33" s="143">
        <f t="shared" si="13"/>
        <v>0</v>
      </c>
      <c r="I33" s="135">
        <f t="shared" si="2"/>
        <v>60.354986006775661</v>
      </c>
      <c r="J33" s="135">
        <f t="shared" si="3"/>
        <v>163.9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105.78</v>
      </c>
      <c r="E34" s="133">
        <f t="shared" si="12"/>
        <v>61.57</v>
      </c>
      <c r="F34" s="135">
        <f t="shared" si="1"/>
        <v>61.625423479157462</v>
      </c>
      <c r="G34" s="133">
        <f t="shared" si="13"/>
        <v>0</v>
      </c>
      <c r="H34" s="143">
        <f t="shared" si="13"/>
        <v>0</v>
      </c>
      <c r="I34" s="135">
        <f t="shared" si="2"/>
        <v>61.625423479157462</v>
      </c>
      <c r="J34" s="135">
        <f t="shared" si="3"/>
        <v>167.35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108.11</v>
      </c>
      <c r="E35" s="133">
        <f t="shared" si="12"/>
        <v>62.92</v>
      </c>
      <c r="F35" s="135">
        <f t="shared" si="1"/>
        <v>62.980556783031382</v>
      </c>
      <c r="G35" s="133">
        <f t="shared" si="13"/>
        <v>0</v>
      </c>
      <c r="H35" s="143">
        <f t="shared" si="13"/>
        <v>0</v>
      </c>
      <c r="I35" s="135">
        <f t="shared" si="2"/>
        <v>62.980556783031382</v>
      </c>
      <c r="J35" s="135">
        <f t="shared" si="3"/>
        <v>171.03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110.49</v>
      </c>
      <c r="E36" s="133">
        <f t="shared" si="12"/>
        <v>64.3</v>
      </c>
      <c r="F36" s="135">
        <f t="shared" si="1"/>
        <v>64.365149506554729</v>
      </c>
      <c r="G36" s="133">
        <f t="shared" si="13"/>
        <v>0</v>
      </c>
      <c r="H36" s="143">
        <f t="shared" si="13"/>
        <v>0</v>
      </c>
      <c r="I36" s="135">
        <f t="shared" si="2"/>
        <v>64.365149506554729</v>
      </c>
      <c r="J36" s="135">
        <f t="shared" si="3"/>
        <v>174.79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1369.7572941249264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55.55</v>
      </c>
      <c r="F29" s="135">
        <f t="shared" si="1"/>
        <v>46.511036379022336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46.511036379022336</v>
      </c>
      <c r="J29" s="135">
        <f t="shared" si="2"/>
        <v>154.83000000000001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101.26</v>
      </c>
      <c r="E30" s="133">
        <f t="shared" si="10"/>
        <v>56.66</v>
      </c>
      <c r="F30" s="135">
        <f t="shared" si="1"/>
        <v>47.440519105984144</v>
      </c>
      <c r="G30" s="133">
        <f t="shared" si="11"/>
        <v>0</v>
      </c>
      <c r="H30" s="133">
        <f t="shared" si="11"/>
        <v>0</v>
      </c>
      <c r="I30" s="135">
        <f t="shared" si="4"/>
        <v>47.440519105984144</v>
      </c>
      <c r="J30" s="135">
        <f t="shared" si="2"/>
        <v>157.91999999999999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103.39</v>
      </c>
      <c r="E31" s="133">
        <f t="shared" si="10"/>
        <v>57.85</v>
      </c>
      <c r="F31" s="135">
        <f t="shared" si="1"/>
        <v>48.437875510694553</v>
      </c>
      <c r="G31" s="133">
        <f t="shared" si="11"/>
        <v>0</v>
      </c>
      <c r="H31" s="133">
        <f t="shared" si="11"/>
        <v>0</v>
      </c>
      <c r="I31" s="135">
        <f t="shared" si="4"/>
        <v>48.437875510694553</v>
      </c>
      <c r="J31" s="135">
        <f t="shared" si="2"/>
        <v>161.24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105.56</v>
      </c>
      <c r="E32" s="133">
        <f t="shared" si="10"/>
        <v>59.06</v>
      </c>
      <c r="F32" s="135">
        <f t="shared" si="1"/>
        <v>49.453256428743096</v>
      </c>
      <c r="G32" s="133">
        <f t="shared" si="11"/>
        <v>0</v>
      </c>
      <c r="H32" s="133">
        <f t="shared" si="11"/>
        <v>0</v>
      </c>
      <c r="I32" s="135">
        <f t="shared" si="4"/>
        <v>49.453256428743096</v>
      </c>
      <c r="J32" s="135">
        <f t="shared" si="2"/>
        <v>164.62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107.78</v>
      </c>
      <c r="E33" s="133">
        <f t="shared" si="10"/>
        <v>60.3</v>
      </c>
      <c r="F33" s="135">
        <f t="shared" si="1"/>
        <v>50.49267003124249</v>
      </c>
      <c r="G33" s="133">
        <f t="shared" si="11"/>
        <v>0</v>
      </c>
      <c r="H33" s="133">
        <f t="shared" si="11"/>
        <v>0</v>
      </c>
      <c r="I33" s="135">
        <f t="shared" si="4"/>
        <v>50.49267003124249</v>
      </c>
      <c r="J33" s="135">
        <f t="shared" si="2"/>
        <v>168.08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110.04</v>
      </c>
      <c r="E34" s="133">
        <f t="shared" si="10"/>
        <v>61.57</v>
      </c>
      <c r="F34" s="135">
        <f t="shared" si="1"/>
        <v>51.553112232636394</v>
      </c>
      <c r="G34" s="133">
        <f t="shared" si="11"/>
        <v>0</v>
      </c>
      <c r="H34" s="133">
        <f t="shared" si="11"/>
        <v>0</v>
      </c>
      <c r="I34" s="135">
        <f t="shared" si="4"/>
        <v>51.553112232636394</v>
      </c>
      <c r="J34" s="135">
        <f t="shared" si="2"/>
        <v>171.61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112.46</v>
      </c>
      <c r="E35" s="133">
        <f t="shared" si="10"/>
        <v>62.92</v>
      </c>
      <c r="F35" s="135">
        <f t="shared" si="1"/>
        <v>52.685652487382846</v>
      </c>
      <c r="G35" s="133">
        <f t="shared" si="11"/>
        <v>0</v>
      </c>
      <c r="H35" s="133">
        <f t="shared" si="11"/>
        <v>0</v>
      </c>
      <c r="I35" s="135">
        <f t="shared" si="4"/>
        <v>52.685652487382846</v>
      </c>
      <c r="J35" s="135">
        <f t="shared" si="2"/>
        <v>175.38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114.93</v>
      </c>
      <c r="E36" s="133">
        <f t="shared" si="10"/>
        <v>64.3</v>
      </c>
      <c r="F36" s="135">
        <f t="shared" si="1"/>
        <v>53.842225426580157</v>
      </c>
      <c r="G36" s="133">
        <f t="shared" si="11"/>
        <v>0</v>
      </c>
      <c r="H36" s="133">
        <f t="shared" si="11"/>
        <v>0</v>
      </c>
      <c r="I36" s="135">
        <f t="shared" si="4"/>
        <v>53.842225426580157</v>
      </c>
      <c r="J36" s="135">
        <f t="shared" si="2"/>
        <v>179.23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1397.0737350359179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6"/>
        <v>0</v>
      </c>
      <c r="I13" s="135">
        <f t="shared" si="2"/>
        <v>8.9811299994498555</v>
      </c>
      <c r="J13" s="135">
        <f t="shared" si="3"/>
        <v>19.59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6"/>
        <v>0</v>
      </c>
      <c r="I15" s="135">
        <f t="shared" si="2"/>
        <v>9.4258311785956614</v>
      </c>
      <c r="J15" s="135">
        <f t="shared" si="3"/>
        <v>20.56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6"/>
        <v>0</v>
      </c>
      <c r="I16" s="135">
        <f t="shared" si="2"/>
        <v>9.6504740422878736</v>
      </c>
      <c r="J16" s="135">
        <f t="shared" si="3"/>
        <v>21.05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6"/>
        <v>0</v>
      </c>
      <c r="I17" s="135">
        <f t="shared" si="2"/>
        <v>9.8842860024573174</v>
      </c>
      <c r="J17" s="135">
        <f t="shared" si="3"/>
        <v>21.56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6"/>
        <v>0</v>
      </c>
      <c r="I18" s="135">
        <f t="shared" si="2"/>
        <v>10.113513414388146</v>
      </c>
      <c r="J18" s="135">
        <f t="shared" si="3"/>
        <v>22.06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6"/>
        <v>0</v>
      </c>
      <c r="I19" s="135">
        <f t="shared" si="2"/>
        <v>10.347325374557592</v>
      </c>
      <c r="J19" s="135">
        <f t="shared" si="3"/>
        <v>22.57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23.07</v>
      </c>
      <c r="F20" s="135">
        <f t="shared" si="1"/>
        <v>10.576552786488421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23.58</v>
      </c>
      <c r="F21" s="135">
        <f t="shared" si="1"/>
        <v>10.810364746657864</v>
      </c>
      <c r="G21" s="133">
        <f t="shared" si="9"/>
        <v>0</v>
      </c>
      <c r="H21" s="143">
        <f t="shared" si="10"/>
        <v>0</v>
      </c>
      <c r="I21" s="135">
        <f t="shared" si="2"/>
        <v>10.810364746657864</v>
      </c>
      <c r="J21" s="135">
        <f t="shared" si="3"/>
        <v>23.58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</v>
      </c>
      <c r="F22" s="135">
        <f t="shared" si="1"/>
        <v>11.048761255065926</v>
      </c>
      <c r="G22" s="133">
        <f t="shared" si="9"/>
        <v>0</v>
      </c>
      <c r="H22" s="143">
        <f t="shared" si="10"/>
        <v>0</v>
      </c>
      <c r="I22" s="135">
        <f t="shared" si="2"/>
        <v>11.048761255065926</v>
      </c>
      <c r="J22" s="135">
        <f t="shared" si="3"/>
        <v>24.1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24.61</v>
      </c>
      <c r="F23" s="135">
        <f t="shared" si="1"/>
        <v>11.282573215235372</v>
      </c>
      <c r="G23" s="133">
        <f t="shared" si="9"/>
        <v>0</v>
      </c>
      <c r="H23" s="143">
        <f t="shared" si="10"/>
        <v>0</v>
      </c>
      <c r="I23" s="135">
        <f t="shared" si="2"/>
        <v>11.282573215235372</v>
      </c>
      <c r="J23" s="135">
        <f t="shared" si="3"/>
        <v>24.61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25.1</v>
      </c>
      <c r="F24" s="135">
        <f t="shared" si="1"/>
        <v>53.711327067554024</v>
      </c>
      <c r="G24" s="133">
        <f t="shared" si="9"/>
        <v>0</v>
      </c>
      <c r="H24" s="143">
        <f t="shared" si="10"/>
        <v>0</v>
      </c>
      <c r="I24" s="135">
        <f t="shared" si="2"/>
        <v>53.711327067554024</v>
      </c>
      <c r="J24" s="135">
        <f t="shared" si="3"/>
        <v>117.16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93.9</v>
      </c>
      <c r="E25" s="133">
        <f t="shared" si="8"/>
        <v>25.6</v>
      </c>
      <c r="F25" s="135">
        <f t="shared" si="1"/>
        <v>54.785351451467974</v>
      </c>
      <c r="G25" s="133">
        <f t="shared" si="9"/>
        <v>0</v>
      </c>
      <c r="H25" s="143">
        <f t="shared" si="10"/>
        <v>0</v>
      </c>
      <c r="I25" s="135">
        <f t="shared" si="2"/>
        <v>54.785351451467974</v>
      </c>
      <c r="J25" s="135">
        <f t="shared" si="3"/>
        <v>119.5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95.78</v>
      </c>
      <c r="E26" s="133">
        <f t="shared" si="8"/>
        <v>26.11</v>
      </c>
      <c r="F26" s="135">
        <f t="shared" si="1"/>
        <v>55.881058480497337</v>
      </c>
      <c r="G26" s="133">
        <f t="shared" si="9"/>
        <v>0</v>
      </c>
      <c r="H26" s="143">
        <f t="shared" si="10"/>
        <v>0</v>
      </c>
      <c r="I26" s="135">
        <f t="shared" si="2"/>
        <v>55.881058480497337</v>
      </c>
      <c r="J26" s="135">
        <f t="shared" si="3"/>
        <v>121.89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97.7</v>
      </c>
      <c r="E27" s="133">
        <f t="shared" si="8"/>
        <v>26.63</v>
      </c>
      <c r="F27" s="135">
        <f t="shared" si="1"/>
        <v>56.999688250719778</v>
      </c>
      <c r="G27" s="133">
        <f t="shared" si="9"/>
        <v>0</v>
      </c>
      <c r="H27" s="143">
        <f t="shared" si="10"/>
        <v>0</v>
      </c>
      <c r="I27" s="135">
        <f t="shared" si="2"/>
        <v>56.999688250719778</v>
      </c>
      <c r="J27" s="135">
        <f t="shared" si="3"/>
        <v>124.33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99.65</v>
      </c>
      <c r="E28" s="133">
        <f t="shared" si="8"/>
        <v>27.16</v>
      </c>
      <c r="F28" s="135">
        <f t="shared" si="1"/>
        <v>58.136656213896686</v>
      </c>
      <c r="G28" s="133">
        <f t="shared" si="9"/>
        <v>0</v>
      </c>
      <c r="H28" s="143">
        <f t="shared" si="10"/>
        <v>0</v>
      </c>
      <c r="I28" s="135">
        <f t="shared" si="2"/>
        <v>58.136656213896686</v>
      </c>
      <c r="J28" s="135">
        <f t="shared" si="3"/>
        <v>126.81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101.64</v>
      </c>
      <c r="E29" s="133">
        <f t="shared" si="13"/>
        <v>27.7</v>
      </c>
      <c r="F29" s="135">
        <f t="shared" si="1"/>
        <v>59.296546918266678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59.296546918266678</v>
      </c>
      <c r="J29" s="135">
        <f t="shared" si="3"/>
        <v>129.34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103.67</v>
      </c>
      <c r="E30" s="133">
        <f t="shared" si="13"/>
        <v>28.25</v>
      </c>
      <c r="F30" s="135">
        <f t="shared" si="1"/>
        <v>60.479360363829763</v>
      </c>
      <c r="G30" s="133">
        <f t="shared" si="14"/>
        <v>0</v>
      </c>
      <c r="H30" s="143">
        <f t="shared" si="14"/>
        <v>0</v>
      </c>
      <c r="I30" s="135">
        <f t="shared" si="2"/>
        <v>60.479360363829763</v>
      </c>
      <c r="J30" s="135">
        <f t="shared" si="3"/>
        <v>131.91999999999999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105.85</v>
      </c>
      <c r="E31" s="133">
        <f t="shared" si="13"/>
        <v>28.84</v>
      </c>
      <c r="F31" s="135">
        <f t="shared" si="1"/>
        <v>61.74928022592654</v>
      </c>
      <c r="G31" s="133">
        <f t="shared" si="14"/>
        <v>0</v>
      </c>
      <c r="H31" s="143">
        <f t="shared" si="14"/>
        <v>0</v>
      </c>
      <c r="I31" s="135">
        <f t="shared" si="2"/>
        <v>61.74928022592654</v>
      </c>
      <c r="J31" s="135">
        <f t="shared" si="3"/>
        <v>134.69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108.07</v>
      </c>
      <c r="E32" s="133">
        <f t="shared" si="13"/>
        <v>29.45</v>
      </c>
      <c r="F32" s="135">
        <f t="shared" si="1"/>
        <v>63.046707377455022</v>
      </c>
      <c r="G32" s="133">
        <f t="shared" si="14"/>
        <v>0</v>
      </c>
      <c r="H32" s="143">
        <f t="shared" si="14"/>
        <v>0</v>
      </c>
      <c r="I32" s="135">
        <f t="shared" si="2"/>
        <v>63.046707377455022</v>
      </c>
      <c r="J32" s="135">
        <f t="shared" si="3"/>
        <v>137.52000000000001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110.34</v>
      </c>
      <c r="E33" s="133">
        <f t="shared" si="13"/>
        <v>30.07</v>
      </c>
      <c r="F33" s="135">
        <f t="shared" si="1"/>
        <v>64.371641818415213</v>
      </c>
      <c r="G33" s="133">
        <f t="shared" si="14"/>
        <v>0</v>
      </c>
      <c r="H33" s="143">
        <f t="shared" si="14"/>
        <v>0</v>
      </c>
      <c r="I33" s="135">
        <f t="shared" si="2"/>
        <v>64.371641818415213</v>
      </c>
      <c r="J33" s="135">
        <f t="shared" si="3"/>
        <v>140.41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112.66</v>
      </c>
      <c r="E34" s="133">
        <f t="shared" si="13"/>
        <v>30.7</v>
      </c>
      <c r="F34" s="135">
        <f t="shared" si="1"/>
        <v>65.724083548807101</v>
      </c>
      <c r="G34" s="133">
        <f t="shared" si="14"/>
        <v>0</v>
      </c>
      <c r="H34" s="143">
        <f t="shared" si="14"/>
        <v>0</v>
      </c>
      <c r="I34" s="135">
        <f t="shared" si="2"/>
        <v>65.724083548807101</v>
      </c>
      <c r="J34" s="135">
        <f t="shared" si="3"/>
        <v>143.36000000000001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115.14</v>
      </c>
      <c r="E35" s="133">
        <f t="shared" si="13"/>
        <v>31.38</v>
      </c>
      <c r="F35" s="135">
        <f t="shared" si="1"/>
        <v>67.172800792209941</v>
      </c>
      <c r="G35" s="133">
        <f t="shared" si="14"/>
        <v>0</v>
      </c>
      <c r="H35" s="143">
        <f t="shared" si="14"/>
        <v>0</v>
      </c>
      <c r="I35" s="135">
        <f t="shared" si="2"/>
        <v>67.172800792209941</v>
      </c>
      <c r="J35" s="135">
        <f t="shared" si="3"/>
        <v>146.52000000000001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117.67</v>
      </c>
      <c r="E36" s="133">
        <f t="shared" si="13"/>
        <v>32.07</v>
      </c>
      <c r="F36" s="135">
        <f t="shared" si="1"/>
        <v>68.649025325044477</v>
      </c>
      <c r="G36" s="133">
        <f t="shared" si="14"/>
        <v>0</v>
      </c>
      <c r="H36" s="143">
        <f t="shared" si="14"/>
        <v>0</v>
      </c>
      <c r="I36" s="135">
        <f t="shared" si="2"/>
        <v>68.649025325044477</v>
      </c>
      <c r="J36" s="135">
        <f t="shared" si="3"/>
        <v>149.74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1192.5044909019937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26.11</v>
      </c>
      <c r="F26" s="135">
        <f t="shared" si="1"/>
        <v>53.694610785949976</v>
      </c>
      <c r="G26" s="133">
        <f t="shared" si="8"/>
        <v>0</v>
      </c>
      <c r="H26" s="143">
        <f t="shared" si="8"/>
        <v>0</v>
      </c>
      <c r="I26" s="135">
        <f t="shared" si="2"/>
        <v>53.694610785949976</v>
      </c>
      <c r="J26" s="135">
        <f t="shared" si="3"/>
        <v>117.12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92.83</v>
      </c>
      <c r="E27" s="133">
        <f t="shared" si="7"/>
        <v>26.63</v>
      </c>
      <c r="F27" s="135">
        <f t="shared" si="1"/>
        <v>54.767013258513508</v>
      </c>
      <c r="G27" s="133">
        <f t="shared" si="8"/>
        <v>0</v>
      </c>
      <c r="H27" s="143">
        <f t="shared" si="8"/>
        <v>0</v>
      </c>
      <c r="I27" s="135">
        <f t="shared" si="2"/>
        <v>54.767013258513508</v>
      </c>
      <c r="J27" s="135">
        <f t="shared" si="3"/>
        <v>119.46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94.69</v>
      </c>
      <c r="E28" s="133">
        <f t="shared" si="7"/>
        <v>27.16</v>
      </c>
      <c r="F28" s="135">
        <f t="shared" si="1"/>
        <v>55.862720287542864</v>
      </c>
      <c r="G28" s="133">
        <f t="shared" si="8"/>
        <v>0</v>
      </c>
      <c r="H28" s="143">
        <f t="shared" si="8"/>
        <v>0</v>
      </c>
      <c r="I28" s="135">
        <f t="shared" si="2"/>
        <v>55.862720287542864</v>
      </c>
      <c r="J28" s="135">
        <f t="shared" si="3"/>
        <v>121.85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96.58</v>
      </c>
      <c r="E29" s="133">
        <f t="shared" si="11"/>
        <v>27.7</v>
      </c>
      <c r="F29" s="135">
        <f t="shared" si="1"/>
        <v>56.976765509526693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56.976765509526693</v>
      </c>
      <c r="J29" s="135">
        <f t="shared" si="3"/>
        <v>124.28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98.51</v>
      </c>
      <c r="E30" s="133">
        <f t="shared" si="11"/>
        <v>28.25</v>
      </c>
      <c r="F30" s="135">
        <f t="shared" si="1"/>
        <v>58.113733472703608</v>
      </c>
      <c r="G30" s="133">
        <f t="shared" si="12"/>
        <v>0</v>
      </c>
      <c r="H30" s="143">
        <f t="shared" si="12"/>
        <v>0</v>
      </c>
      <c r="I30" s="135">
        <f t="shared" si="2"/>
        <v>58.113733472703608</v>
      </c>
      <c r="J30" s="135">
        <f t="shared" si="3"/>
        <v>126.76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100.58</v>
      </c>
      <c r="E31" s="133">
        <f t="shared" si="11"/>
        <v>28.84</v>
      </c>
      <c r="F31" s="135">
        <f t="shared" si="1"/>
        <v>59.333223304175604</v>
      </c>
      <c r="G31" s="133">
        <f t="shared" si="12"/>
        <v>0</v>
      </c>
      <c r="H31" s="143">
        <f t="shared" si="12"/>
        <v>0</v>
      </c>
      <c r="I31" s="135">
        <f t="shared" si="2"/>
        <v>59.333223304175604</v>
      </c>
      <c r="J31" s="135">
        <f t="shared" si="3"/>
        <v>129.41999999999999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102.69</v>
      </c>
      <c r="E32" s="133">
        <f t="shared" si="11"/>
        <v>29.45</v>
      </c>
      <c r="F32" s="135">
        <f t="shared" si="1"/>
        <v>60.580220425079311</v>
      </c>
      <c r="G32" s="133">
        <f t="shared" si="12"/>
        <v>0</v>
      </c>
      <c r="H32" s="143">
        <f t="shared" si="12"/>
        <v>0</v>
      </c>
      <c r="I32" s="135">
        <f t="shared" si="2"/>
        <v>60.580220425079311</v>
      </c>
      <c r="J32" s="135">
        <f t="shared" si="3"/>
        <v>132.13999999999999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104.85</v>
      </c>
      <c r="E33" s="133">
        <f t="shared" si="11"/>
        <v>30.07</v>
      </c>
      <c r="F33" s="135">
        <f t="shared" si="1"/>
        <v>61.854724835414714</v>
      </c>
      <c r="G33" s="133">
        <f t="shared" si="12"/>
        <v>0</v>
      </c>
      <c r="H33" s="143">
        <f t="shared" si="12"/>
        <v>0</v>
      </c>
      <c r="I33" s="135">
        <f t="shared" si="2"/>
        <v>61.854724835414714</v>
      </c>
      <c r="J33" s="135">
        <f t="shared" si="3"/>
        <v>134.91999999999999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107.05</v>
      </c>
      <c r="E34" s="133">
        <f t="shared" si="11"/>
        <v>30.7</v>
      </c>
      <c r="F34" s="135">
        <f t="shared" si="1"/>
        <v>63.15215198694321</v>
      </c>
      <c r="G34" s="133">
        <f t="shared" si="12"/>
        <v>0</v>
      </c>
      <c r="H34" s="143">
        <f t="shared" si="12"/>
        <v>0</v>
      </c>
      <c r="I34" s="135">
        <f t="shared" si="2"/>
        <v>63.15215198694321</v>
      </c>
      <c r="J34" s="135">
        <f t="shared" si="3"/>
        <v>137.75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109.41</v>
      </c>
      <c r="E35" s="133">
        <f t="shared" si="11"/>
        <v>31.38</v>
      </c>
      <c r="F35" s="135">
        <f t="shared" si="1"/>
        <v>64.545854651482642</v>
      </c>
      <c r="G35" s="133">
        <f t="shared" si="12"/>
        <v>0</v>
      </c>
      <c r="H35" s="143">
        <f t="shared" si="12"/>
        <v>0</v>
      </c>
      <c r="I35" s="135">
        <f t="shared" si="2"/>
        <v>64.545854651482642</v>
      </c>
      <c r="J35" s="135">
        <f t="shared" si="3"/>
        <v>140.79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111.82</v>
      </c>
      <c r="E36" s="133">
        <f t="shared" si="11"/>
        <v>32.07</v>
      </c>
      <c r="F36" s="135">
        <f t="shared" si="1"/>
        <v>65.967064605453771</v>
      </c>
      <c r="G36" s="133">
        <f t="shared" si="12"/>
        <v>0</v>
      </c>
      <c r="H36" s="143">
        <f t="shared" si="12"/>
        <v>0</v>
      </c>
      <c r="I36" s="135">
        <f t="shared" si="2"/>
        <v>65.967064605453771</v>
      </c>
      <c r="J36" s="135">
        <f t="shared" si="3"/>
        <v>143.88999999999999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1178.9486841766204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26.11</v>
      </c>
      <c r="F26" s="135">
        <f t="shared" si="1"/>
        <v>11.970255451027857</v>
      </c>
      <c r="G26" s="133">
        <f t="shared" si="8"/>
        <v>0</v>
      </c>
      <c r="H26" s="143">
        <f t="shared" si="8"/>
        <v>0</v>
      </c>
      <c r="I26" s="135">
        <f t="shared" si="2"/>
        <v>11.970255451027857</v>
      </c>
      <c r="J26" s="135">
        <f t="shared" si="3"/>
        <v>26.11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26.63</v>
      </c>
      <c r="F27" s="135">
        <f t="shared" si="1"/>
        <v>53.695178468948981</v>
      </c>
      <c r="G27" s="133">
        <f t="shared" si="8"/>
        <v>0</v>
      </c>
      <c r="H27" s="143">
        <f t="shared" si="8"/>
        <v>0</v>
      </c>
      <c r="I27" s="135">
        <f t="shared" si="2"/>
        <v>53.695178468948981</v>
      </c>
      <c r="J27" s="135">
        <f t="shared" si="3"/>
        <v>117.12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</v>
      </c>
      <c r="E28" s="133">
        <f t="shared" si="7"/>
        <v>27.16</v>
      </c>
      <c r="F28" s="135">
        <f t="shared" si="1"/>
        <v>54.767013258513508</v>
      </c>
      <c r="G28" s="133">
        <f t="shared" si="8"/>
        <v>0</v>
      </c>
      <c r="H28" s="143">
        <f t="shared" si="8"/>
        <v>0</v>
      </c>
      <c r="I28" s="135">
        <f t="shared" si="2"/>
        <v>54.767013258513508</v>
      </c>
      <c r="J28" s="135">
        <f t="shared" si="3"/>
        <v>119.46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94.15</v>
      </c>
      <c r="E29" s="133">
        <f t="shared" si="11"/>
        <v>27.7</v>
      </c>
      <c r="F29" s="135">
        <f t="shared" si="1"/>
        <v>55.862720287542871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55.862720287542871</v>
      </c>
      <c r="J29" s="135">
        <f t="shared" si="3"/>
        <v>121.85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96.03</v>
      </c>
      <c r="E30" s="133">
        <f t="shared" si="11"/>
        <v>28.25</v>
      </c>
      <c r="F30" s="135">
        <f t="shared" si="1"/>
        <v>56.976765509526693</v>
      </c>
      <c r="G30" s="133">
        <f t="shared" si="12"/>
        <v>0</v>
      </c>
      <c r="H30" s="143">
        <f t="shared" si="12"/>
        <v>0</v>
      </c>
      <c r="I30" s="135">
        <f t="shared" si="2"/>
        <v>56.976765509526693</v>
      </c>
      <c r="J30" s="135">
        <f t="shared" si="3"/>
        <v>124.28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98.05</v>
      </c>
      <c r="E31" s="133">
        <f t="shared" si="11"/>
        <v>28.84</v>
      </c>
      <c r="F31" s="135">
        <f t="shared" si="1"/>
        <v>58.173332599805619</v>
      </c>
      <c r="G31" s="133">
        <f t="shared" si="12"/>
        <v>0</v>
      </c>
      <c r="H31" s="143">
        <f t="shared" si="12"/>
        <v>0</v>
      </c>
      <c r="I31" s="135">
        <f t="shared" si="2"/>
        <v>58.173332599805619</v>
      </c>
      <c r="J31" s="135">
        <f t="shared" si="3"/>
        <v>126.89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100.11</v>
      </c>
      <c r="E32" s="133">
        <f t="shared" si="11"/>
        <v>29.45</v>
      </c>
      <c r="F32" s="135">
        <f t="shared" si="1"/>
        <v>59.397406979516241</v>
      </c>
      <c r="G32" s="133">
        <f t="shared" si="12"/>
        <v>0</v>
      </c>
      <c r="H32" s="143">
        <f t="shared" si="12"/>
        <v>0</v>
      </c>
      <c r="I32" s="135">
        <f t="shared" si="2"/>
        <v>59.397406979516241</v>
      </c>
      <c r="J32" s="135">
        <f t="shared" si="3"/>
        <v>129.56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102.21</v>
      </c>
      <c r="E33" s="133">
        <f t="shared" si="11"/>
        <v>30.07</v>
      </c>
      <c r="F33" s="135">
        <f t="shared" si="1"/>
        <v>60.644404100419948</v>
      </c>
      <c r="G33" s="133">
        <f t="shared" si="12"/>
        <v>0</v>
      </c>
      <c r="H33" s="143">
        <f t="shared" si="12"/>
        <v>0</v>
      </c>
      <c r="I33" s="135">
        <f t="shared" si="2"/>
        <v>60.644404100419948</v>
      </c>
      <c r="J33" s="135">
        <f t="shared" si="3"/>
        <v>132.28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104.36</v>
      </c>
      <c r="E34" s="133">
        <f t="shared" si="11"/>
        <v>30.7</v>
      </c>
      <c r="F34" s="135">
        <f t="shared" si="1"/>
        <v>61.918908510755358</v>
      </c>
      <c r="G34" s="133">
        <f t="shared" si="12"/>
        <v>0</v>
      </c>
      <c r="H34" s="143">
        <f t="shared" si="12"/>
        <v>0</v>
      </c>
      <c r="I34" s="135">
        <f t="shared" si="2"/>
        <v>61.918908510755358</v>
      </c>
      <c r="J34" s="135">
        <f t="shared" si="3"/>
        <v>135.06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106.66</v>
      </c>
      <c r="E35" s="133">
        <f t="shared" si="11"/>
        <v>31.38</v>
      </c>
      <c r="F35" s="135">
        <f t="shared" si="1"/>
        <v>63.285103885863087</v>
      </c>
      <c r="G35" s="133">
        <f t="shared" si="12"/>
        <v>0</v>
      </c>
      <c r="H35" s="143">
        <f t="shared" si="12"/>
        <v>0</v>
      </c>
      <c r="I35" s="135">
        <f t="shared" si="2"/>
        <v>63.285103885863087</v>
      </c>
      <c r="J35" s="135">
        <f t="shared" si="3"/>
        <v>138.04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109.01</v>
      </c>
      <c r="E36" s="133">
        <f t="shared" si="11"/>
        <v>32.07</v>
      </c>
      <c r="F36" s="135">
        <f t="shared" si="1"/>
        <v>64.678806550402527</v>
      </c>
      <c r="G36" s="133">
        <f t="shared" si="12"/>
        <v>0</v>
      </c>
      <c r="H36" s="143">
        <f t="shared" si="12"/>
        <v>0</v>
      </c>
      <c r="I36" s="135">
        <f t="shared" si="2"/>
        <v>64.678806550402527</v>
      </c>
      <c r="J36" s="135">
        <f t="shared" si="3"/>
        <v>141.08000000000001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1172.2286766768136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7.5540677443509665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7.7412676738756998</v>
      </c>
      <c r="J14" s="135">
        <f t="shared" si="3"/>
        <v>21.09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7.9284676034004322</v>
      </c>
      <c r="J15" s="135">
        <f t="shared" si="3"/>
        <v>21.6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8.1193381197785914</v>
      </c>
      <c r="J16" s="135">
        <f t="shared" si="3"/>
        <v>22.12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8.3138792230101739</v>
      </c>
      <c r="J17" s="135">
        <f t="shared" si="3"/>
        <v>22.65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8.504749739388334</v>
      </c>
      <c r="J18" s="135">
        <f t="shared" si="3"/>
        <v>23.17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8.6992908426199183</v>
      </c>
      <c r="J19" s="135">
        <f t="shared" si="3"/>
        <v>23.7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24.75</v>
      </c>
      <c r="F21" s="135">
        <f t="shared" si="1"/>
        <v>9.0847024622296608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9.0847024622296608</v>
      </c>
      <c r="J21" s="135">
        <f t="shared" si="3"/>
        <v>24.75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25.29</v>
      </c>
      <c r="F22" s="135">
        <f t="shared" si="1"/>
        <v>9.2829141523146728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9.2829141523146728</v>
      </c>
      <c r="J22" s="135">
        <f t="shared" si="3"/>
        <v>25.29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25.82</v>
      </c>
      <c r="F23" s="135">
        <f t="shared" si="1"/>
        <v>9.477455255546257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9.477455255546257</v>
      </c>
      <c r="J23" s="135">
        <f t="shared" si="3"/>
        <v>25.82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26.34</v>
      </c>
      <c r="F24" s="135">
        <f t="shared" si="1"/>
        <v>9.6683257719244153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9.6683257719244153</v>
      </c>
      <c r="J24" s="135">
        <f t="shared" si="3"/>
        <v>26.34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26.87</v>
      </c>
      <c r="F25" s="135">
        <f t="shared" si="1"/>
        <v>9.8628668751560014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9.8628668751560014</v>
      </c>
      <c r="J25" s="135">
        <f t="shared" si="3"/>
        <v>26.87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27.41</v>
      </c>
      <c r="F26" s="135">
        <f t="shared" si="1"/>
        <v>10.061078565241012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10.061078565241012</v>
      </c>
      <c r="J26" s="135">
        <f t="shared" si="3"/>
        <v>27.41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27.96</v>
      </c>
      <c r="F27" s="135">
        <f t="shared" si="1"/>
        <v>43.298984129589755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43.298984129589755</v>
      </c>
      <c r="J27" s="135">
        <f t="shared" si="3"/>
        <v>117.96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</v>
      </c>
      <c r="E28" s="133">
        <f t="shared" si="15"/>
        <v>28.52</v>
      </c>
      <c r="F28" s="135">
        <f t="shared" si="1"/>
        <v>44.164501020423145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44.164501020423145</v>
      </c>
      <c r="J28" s="135">
        <f t="shared" si="3"/>
        <v>120.32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93.64</v>
      </c>
      <c r="E29" s="133">
        <f t="shared" si="24"/>
        <v>29.09</v>
      </c>
      <c r="F29" s="135">
        <f t="shared" si="1"/>
        <v>45.049112452098846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45.049112452098846</v>
      </c>
      <c r="J29" s="135">
        <f t="shared" si="3"/>
        <v>122.73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95.51</v>
      </c>
      <c r="E30" s="133">
        <f t="shared" si="24"/>
        <v>29.67</v>
      </c>
      <c r="F30" s="135">
        <f t="shared" si="1"/>
        <v>45.948406231188244</v>
      </c>
      <c r="G30" s="133">
        <f t="shared" si="25"/>
        <v>0</v>
      </c>
      <c r="H30" s="143">
        <f t="shared" si="25"/>
        <v>0</v>
      </c>
      <c r="I30" s="135">
        <f t="shared" si="2"/>
        <v>45.948406231188244</v>
      </c>
      <c r="J30" s="135">
        <f t="shared" si="3"/>
        <v>125.18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97.52</v>
      </c>
      <c r="E31" s="133">
        <f t="shared" si="24"/>
        <v>30.29</v>
      </c>
      <c r="F31" s="135">
        <f t="shared" si="1"/>
        <v>46.913770573639319</v>
      </c>
      <c r="G31" s="133">
        <f t="shared" si="25"/>
        <v>0</v>
      </c>
      <c r="H31" s="143">
        <f t="shared" si="25"/>
        <v>0</v>
      </c>
      <c r="I31" s="135">
        <f t="shared" si="2"/>
        <v>46.913770573639319</v>
      </c>
      <c r="J31" s="135">
        <f t="shared" si="3"/>
        <v>127.81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99.57</v>
      </c>
      <c r="E32" s="133">
        <f t="shared" si="24"/>
        <v>30.93</v>
      </c>
      <c r="F32" s="135">
        <f t="shared" si="1"/>
        <v>47.901158437210945</v>
      </c>
      <c r="G32" s="133">
        <f t="shared" si="25"/>
        <v>0</v>
      </c>
      <c r="H32" s="143">
        <f t="shared" si="25"/>
        <v>0</v>
      </c>
      <c r="I32" s="135">
        <f t="shared" si="2"/>
        <v>47.901158437210945</v>
      </c>
      <c r="J32" s="135">
        <f t="shared" si="3"/>
        <v>130.5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101.66</v>
      </c>
      <c r="E33" s="133">
        <f t="shared" si="24"/>
        <v>31.58</v>
      </c>
      <c r="F33" s="135">
        <f t="shared" si="1"/>
        <v>48.906899235049707</v>
      </c>
      <c r="G33" s="133">
        <f t="shared" si="25"/>
        <v>0</v>
      </c>
      <c r="H33" s="143">
        <f t="shared" si="25"/>
        <v>0</v>
      </c>
      <c r="I33" s="135">
        <f t="shared" si="2"/>
        <v>48.906899235049707</v>
      </c>
      <c r="J33" s="135">
        <f t="shared" si="3"/>
        <v>133.24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103.79</v>
      </c>
      <c r="E34" s="133">
        <f t="shared" si="24"/>
        <v>32.24</v>
      </c>
      <c r="F34" s="135">
        <f t="shared" ref="F34:F36" si="27">(D34+E34)/(8.76*$C$63)</f>
        <v>49.930992967155589</v>
      </c>
      <c r="G34" s="133">
        <f t="shared" si="25"/>
        <v>0</v>
      </c>
      <c r="H34" s="143">
        <f t="shared" si="25"/>
        <v>0</v>
      </c>
      <c r="I34" s="135">
        <f t="shared" si="2"/>
        <v>49.930992967155589</v>
      </c>
      <c r="J34" s="135">
        <f t="shared" si="3"/>
        <v>136.03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106.07</v>
      </c>
      <c r="E35" s="133">
        <f t="shared" si="24"/>
        <v>32.950000000000003</v>
      </c>
      <c r="F35" s="135">
        <f t="shared" si="27"/>
        <v>51.028498436329997</v>
      </c>
      <c r="G35" s="133">
        <f t="shared" si="25"/>
        <v>0</v>
      </c>
      <c r="H35" s="143">
        <f t="shared" si="25"/>
        <v>0</v>
      </c>
      <c r="I35" s="135">
        <f t="shared" si="2"/>
        <v>51.028498436329997</v>
      </c>
      <c r="J35" s="135">
        <f t="shared" si="3"/>
        <v>139.02000000000001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108.4</v>
      </c>
      <c r="E36" s="133">
        <f t="shared" si="24"/>
        <v>33.67</v>
      </c>
      <c r="F36" s="135">
        <f t="shared" si="27"/>
        <v>52.148027426624971</v>
      </c>
      <c r="G36" s="133">
        <f t="shared" si="25"/>
        <v>0</v>
      </c>
      <c r="H36" s="143">
        <f t="shared" si="25"/>
        <v>0</v>
      </c>
      <c r="I36" s="135">
        <f t="shared" si="2"/>
        <v>52.148027426624971</v>
      </c>
      <c r="J36" s="135">
        <f t="shared" si="3"/>
        <v>142.07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1165.8805905559132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28">C66+1</f>
        <v>2018</v>
      </c>
      <c r="D67" s="41">
        <v>2.3E-2</v>
      </c>
      <c r="E67" s="86"/>
      <c r="F67" s="88">
        <f t="shared" ref="F67:F74" si="29">F66+1</f>
        <v>2027</v>
      </c>
      <c r="G67" s="41">
        <v>2.1999999999999999E-2</v>
      </c>
      <c r="H67" s="86"/>
      <c r="I67" s="88">
        <f t="shared" ref="I67:I74" si="30">I66+1</f>
        <v>2036</v>
      </c>
      <c r="J67" s="88"/>
      <c r="K67" s="41">
        <v>0.02</v>
      </c>
    </row>
    <row r="68" spans="3:11">
      <c r="C68" s="88">
        <f t="shared" si="28"/>
        <v>2019</v>
      </c>
      <c r="D68" s="41">
        <v>2.1999999999999999E-2</v>
      </c>
      <c r="E68" s="86"/>
      <c r="F68" s="88">
        <f t="shared" si="29"/>
        <v>2028</v>
      </c>
      <c r="G68" s="41">
        <v>2.1999999999999999E-2</v>
      </c>
      <c r="H68" s="86"/>
      <c r="I68" s="88">
        <f t="shared" si="30"/>
        <v>2037</v>
      </c>
      <c r="J68" s="88"/>
      <c r="K68" s="41">
        <v>2.1000000000000001E-2</v>
      </c>
    </row>
    <row r="69" spans="3:11">
      <c r="C69" s="88">
        <f t="shared" si="28"/>
        <v>2020</v>
      </c>
      <c r="D69" s="41">
        <v>2.5000000000000001E-2</v>
      </c>
      <c r="E69" s="86"/>
      <c r="F69" s="88">
        <f t="shared" si="29"/>
        <v>2029</v>
      </c>
      <c r="G69" s="41">
        <v>2.1000000000000001E-2</v>
      </c>
      <c r="H69" s="86"/>
      <c r="I69" s="88">
        <f t="shared" si="30"/>
        <v>2038</v>
      </c>
      <c r="J69" s="88"/>
      <c r="K69" s="41">
        <v>2.1000000000000001E-2</v>
      </c>
    </row>
    <row r="70" spans="3:11">
      <c r="C70" s="88">
        <f t="shared" si="28"/>
        <v>2021</v>
      </c>
      <c r="D70" s="41">
        <v>2.4E-2</v>
      </c>
      <c r="E70" s="86"/>
      <c r="F70" s="88">
        <f t="shared" si="29"/>
        <v>2030</v>
      </c>
      <c r="G70" s="41">
        <v>0.02</v>
      </c>
      <c r="H70" s="86"/>
      <c r="I70" s="88">
        <f t="shared" si="30"/>
        <v>2039</v>
      </c>
      <c r="J70" s="88"/>
      <c r="K70" s="41">
        <v>2.1000000000000001E-2</v>
      </c>
    </row>
    <row r="71" spans="3:11">
      <c r="C71" s="88">
        <f t="shared" si="28"/>
        <v>2022</v>
      </c>
      <c r="D71" s="41">
        <v>2.4E-2</v>
      </c>
      <c r="E71" s="86"/>
      <c r="F71" s="88">
        <f t="shared" si="29"/>
        <v>2031</v>
      </c>
      <c r="G71" s="41">
        <v>0.02</v>
      </c>
      <c r="H71" s="86"/>
      <c r="I71" s="88">
        <f t="shared" si="30"/>
        <v>2040</v>
      </c>
      <c r="J71" s="88"/>
      <c r="K71" s="41">
        <v>2.1000000000000001E-2</v>
      </c>
    </row>
    <row r="72" spans="3:11" s="124" customFormat="1">
      <c r="C72" s="88">
        <f t="shared" si="28"/>
        <v>2023</v>
      </c>
      <c r="D72" s="41">
        <v>2.4E-2</v>
      </c>
      <c r="E72" s="87"/>
      <c r="F72" s="88">
        <f t="shared" si="29"/>
        <v>2032</v>
      </c>
      <c r="G72" s="41">
        <v>0.02</v>
      </c>
      <c r="H72" s="87"/>
      <c r="I72" s="88">
        <f t="shared" si="30"/>
        <v>2041</v>
      </c>
      <c r="J72" s="88"/>
      <c r="K72" s="41">
        <v>2.1999999999999999E-2</v>
      </c>
    </row>
    <row r="73" spans="3:11" s="124" customFormat="1">
      <c r="C73" s="88">
        <f t="shared" si="28"/>
        <v>2024</v>
      </c>
      <c r="D73" s="41">
        <v>2.3E-2</v>
      </c>
      <c r="E73" s="87"/>
      <c r="F73" s="88">
        <f t="shared" si="29"/>
        <v>2033</v>
      </c>
      <c r="G73" s="41">
        <v>0.02</v>
      </c>
      <c r="H73" s="87"/>
      <c r="I73" s="88">
        <f t="shared" si="30"/>
        <v>2042</v>
      </c>
      <c r="J73" s="88"/>
      <c r="K73" s="41">
        <v>2.1999999999999999E-2</v>
      </c>
    </row>
    <row r="74" spans="3:11" s="124" customFormat="1">
      <c r="C74" s="88">
        <f t="shared" si="28"/>
        <v>2025</v>
      </c>
      <c r="D74" s="41">
        <v>2.3E-2</v>
      </c>
      <c r="E74" s="87"/>
      <c r="F74" s="88">
        <f t="shared" si="29"/>
        <v>2034</v>
      </c>
      <c r="G74" s="41">
        <v>0.02</v>
      </c>
      <c r="H74" s="87"/>
      <c r="I74" s="88">
        <f t="shared" si="30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si="4"/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si="4"/>
        <v>0</v>
      </c>
      <c r="I13" s="135">
        <f t="shared" si="2"/>
        <v>7.5540677443509665</v>
      </c>
      <c r="J13" s="135">
        <f t="shared" si="3"/>
        <v>20.58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si="4"/>
        <v>0</v>
      </c>
      <c r="I14" s="135">
        <f t="shared" si="2"/>
        <v>7.7412676738756998</v>
      </c>
      <c r="J14" s="135">
        <f t="shared" si="3"/>
        <v>21.09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si="4"/>
        <v>0</v>
      </c>
      <c r="I15" s="135">
        <f t="shared" si="2"/>
        <v>7.9284676034004322</v>
      </c>
      <c r="J15" s="135">
        <f t="shared" si="3"/>
        <v>21.6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si="4"/>
        <v>0</v>
      </c>
      <c r="I16" s="135">
        <f t="shared" si="2"/>
        <v>8.1193381197785914</v>
      </c>
      <c r="J16" s="135">
        <f t="shared" si="3"/>
        <v>22.12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si="4"/>
        <v>0</v>
      </c>
      <c r="I17" s="135">
        <f t="shared" si="2"/>
        <v>8.3138792230101739</v>
      </c>
      <c r="J17" s="135">
        <f t="shared" si="3"/>
        <v>22.65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si="4"/>
        <v>0</v>
      </c>
      <c r="I18" s="135">
        <f t="shared" si="2"/>
        <v>8.504749739388334</v>
      </c>
      <c r="J18" s="135">
        <f t="shared" si="3"/>
        <v>23.17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si="4"/>
        <v>0</v>
      </c>
      <c r="I19" s="135">
        <f t="shared" si="2"/>
        <v>8.6992908426199183</v>
      </c>
      <c r="J19" s="135">
        <f t="shared" si="3"/>
        <v>23.7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24.75</v>
      </c>
      <c r="F21" s="135">
        <f t="shared" si="1"/>
        <v>9.0847024622296608</v>
      </c>
      <c r="G21" s="133">
        <f t="shared" si="7"/>
        <v>0</v>
      </c>
      <c r="H21" s="143">
        <f t="shared" si="7"/>
        <v>0</v>
      </c>
      <c r="I21" s="135">
        <f t="shared" si="2"/>
        <v>9.0847024622296608</v>
      </c>
      <c r="J21" s="135">
        <f t="shared" si="3"/>
        <v>24.75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25.29</v>
      </c>
      <c r="F22" s="135">
        <f t="shared" si="1"/>
        <v>9.2829141523146728</v>
      </c>
      <c r="G22" s="133">
        <f t="shared" si="7"/>
        <v>0</v>
      </c>
      <c r="H22" s="143">
        <f t="shared" si="7"/>
        <v>0</v>
      </c>
      <c r="I22" s="135">
        <f t="shared" si="2"/>
        <v>9.2829141523146728</v>
      </c>
      <c r="J22" s="135">
        <f t="shared" si="3"/>
        <v>25.29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25.82</v>
      </c>
      <c r="F23" s="135">
        <f t="shared" si="1"/>
        <v>9.477455255546257</v>
      </c>
      <c r="G23" s="133">
        <f t="shared" si="7"/>
        <v>0</v>
      </c>
      <c r="H23" s="143">
        <f t="shared" si="7"/>
        <v>0</v>
      </c>
      <c r="I23" s="135">
        <f t="shared" si="2"/>
        <v>9.477455255546257</v>
      </c>
      <c r="J23" s="135">
        <f t="shared" si="3"/>
        <v>25.82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26.34</v>
      </c>
      <c r="F24" s="135">
        <f t="shared" si="1"/>
        <v>9.6683257719244153</v>
      </c>
      <c r="G24" s="133">
        <f t="shared" si="7"/>
        <v>0</v>
      </c>
      <c r="H24" s="143">
        <f t="shared" si="7"/>
        <v>0</v>
      </c>
      <c r="I24" s="135">
        <f t="shared" si="2"/>
        <v>9.6683257719244153</v>
      </c>
      <c r="J24" s="135">
        <f t="shared" si="3"/>
        <v>26.34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26.87</v>
      </c>
      <c r="F25" s="135">
        <f t="shared" si="1"/>
        <v>9.8628668751560014</v>
      </c>
      <c r="G25" s="133">
        <f t="shared" si="7"/>
        <v>0</v>
      </c>
      <c r="H25" s="143">
        <f t="shared" si="7"/>
        <v>0</v>
      </c>
      <c r="I25" s="135">
        <f t="shared" si="2"/>
        <v>9.8628668751560014</v>
      </c>
      <c r="J25" s="135">
        <f t="shared" si="3"/>
        <v>26.87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27.41</v>
      </c>
      <c r="F26" s="135">
        <f t="shared" si="1"/>
        <v>10.061078565241012</v>
      </c>
      <c r="G26" s="133">
        <f t="shared" si="7"/>
        <v>0</v>
      </c>
      <c r="H26" s="143">
        <f t="shared" si="7"/>
        <v>0</v>
      </c>
      <c r="I26" s="135">
        <f t="shared" si="2"/>
        <v>10.061078565241012</v>
      </c>
      <c r="J26" s="135">
        <f t="shared" si="3"/>
        <v>27.41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27.96</v>
      </c>
      <c r="F27" s="135">
        <f t="shared" si="1"/>
        <v>10.262960842179448</v>
      </c>
      <c r="G27" s="133">
        <f t="shared" si="7"/>
        <v>0</v>
      </c>
      <c r="H27" s="143">
        <f t="shared" si="7"/>
        <v>0</v>
      </c>
      <c r="I27" s="135">
        <f t="shared" si="2"/>
        <v>10.262960842179448</v>
      </c>
      <c r="J27" s="135">
        <f t="shared" si="3"/>
        <v>27.96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28.52</v>
      </c>
      <c r="F28" s="135">
        <f t="shared" si="1"/>
        <v>10.468513705971311</v>
      </c>
      <c r="G28" s="133">
        <f t="shared" si="7"/>
        <v>0</v>
      </c>
      <c r="H28" s="143">
        <f t="shared" si="7"/>
        <v>0</v>
      </c>
      <c r="I28" s="135">
        <f t="shared" si="2"/>
        <v>10.468513705971311</v>
      </c>
      <c r="J28" s="135">
        <f t="shared" si="3"/>
        <v>28.52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29.09</v>
      </c>
      <c r="F29" s="135">
        <f t="shared" si="1"/>
        <v>43.338223118947035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43.338223118947035</v>
      </c>
      <c r="J29" s="135">
        <f t="shared" si="3"/>
        <v>118.07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90.76</v>
      </c>
      <c r="E30" s="133">
        <f t="shared" si="10"/>
        <v>29.67</v>
      </c>
      <c r="F30" s="135">
        <f t="shared" si="1"/>
        <v>44.204877475810839</v>
      </c>
      <c r="G30" s="133">
        <f t="shared" si="11"/>
        <v>0</v>
      </c>
      <c r="H30" s="143">
        <f t="shared" si="11"/>
        <v>0</v>
      </c>
      <c r="I30" s="135">
        <f t="shared" si="2"/>
        <v>44.204877475810839</v>
      </c>
      <c r="J30" s="135">
        <f t="shared" si="3"/>
        <v>120.43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92.67</v>
      </c>
      <c r="E31" s="133">
        <f t="shared" si="10"/>
        <v>30.29</v>
      </c>
      <c r="F31" s="135">
        <f t="shared" si="1"/>
        <v>45.133535949727644</v>
      </c>
      <c r="G31" s="133">
        <f t="shared" si="11"/>
        <v>0</v>
      </c>
      <c r="H31" s="143">
        <f t="shared" si="11"/>
        <v>0</v>
      </c>
      <c r="I31" s="135">
        <f t="shared" si="2"/>
        <v>45.133535949727644</v>
      </c>
      <c r="J31" s="135">
        <f t="shared" si="3"/>
        <v>122.96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94.62</v>
      </c>
      <c r="E32" s="133">
        <f t="shared" si="10"/>
        <v>30.93</v>
      </c>
      <c r="F32" s="135">
        <f t="shared" si="1"/>
        <v>46.084217944765015</v>
      </c>
      <c r="G32" s="133">
        <f t="shared" si="11"/>
        <v>0</v>
      </c>
      <c r="H32" s="143">
        <f t="shared" si="11"/>
        <v>0</v>
      </c>
      <c r="I32" s="135">
        <f t="shared" si="2"/>
        <v>46.084217944765015</v>
      </c>
      <c r="J32" s="135">
        <f t="shared" si="3"/>
        <v>125.55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96.61</v>
      </c>
      <c r="E33" s="133">
        <f t="shared" si="10"/>
        <v>31.58</v>
      </c>
      <c r="F33" s="135">
        <f t="shared" si="1"/>
        <v>47.053252874069507</v>
      </c>
      <c r="G33" s="133">
        <f t="shared" si="11"/>
        <v>0</v>
      </c>
      <c r="H33" s="143">
        <f t="shared" si="11"/>
        <v>0</v>
      </c>
      <c r="I33" s="135">
        <f t="shared" si="2"/>
        <v>47.053252874069507</v>
      </c>
      <c r="J33" s="135">
        <f t="shared" si="3"/>
        <v>128.19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98.64</v>
      </c>
      <c r="E34" s="133">
        <f t="shared" si="10"/>
        <v>32.24</v>
      </c>
      <c r="F34" s="135">
        <f t="shared" si="1"/>
        <v>48.040640737641134</v>
      </c>
      <c r="G34" s="133">
        <f t="shared" si="11"/>
        <v>0</v>
      </c>
      <c r="H34" s="143">
        <f t="shared" si="11"/>
        <v>0</v>
      </c>
      <c r="I34" s="135">
        <f t="shared" si="2"/>
        <v>48.040640737641134</v>
      </c>
      <c r="J34" s="135">
        <f t="shared" si="3"/>
        <v>130.88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100.81</v>
      </c>
      <c r="E35" s="133">
        <f t="shared" si="10"/>
        <v>32.950000000000003</v>
      </c>
      <c r="F35" s="135">
        <f t="shared" si="1"/>
        <v>49.097769751427855</v>
      </c>
      <c r="G35" s="133">
        <f t="shared" si="11"/>
        <v>0</v>
      </c>
      <c r="H35" s="143">
        <f t="shared" si="11"/>
        <v>0</v>
      </c>
      <c r="I35" s="135">
        <f t="shared" si="2"/>
        <v>49.097769751427855</v>
      </c>
      <c r="J35" s="135">
        <f t="shared" si="3"/>
        <v>133.76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103.03</v>
      </c>
      <c r="E36" s="133">
        <f t="shared" si="10"/>
        <v>33.67</v>
      </c>
      <c r="F36" s="135">
        <f t="shared" si="1"/>
        <v>50.176922286335135</v>
      </c>
      <c r="G36" s="133">
        <f t="shared" si="11"/>
        <v>0</v>
      </c>
      <c r="H36" s="143">
        <f t="shared" si="11"/>
        <v>0</v>
      </c>
      <c r="I36" s="135">
        <f t="shared" si="2"/>
        <v>50.176922286335135</v>
      </c>
      <c r="J36" s="135">
        <f t="shared" si="3"/>
        <v>136.69999999999999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1152.6274312839628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3">C66+1</f>
        <v>2018</v>
      </c>
      <c r="D67" s="41">
        <v>2.3E-2</v>
      </c>
      <c r="E67" s="86"/>
      <c r="F67" s="88">
        <f t="shared" ref="F67:F74" si="14">F66+1</f>
        <v>2027</v>
      </c>
      <c r="G67" s="41">
        <v>2.1999999999999999E-2</v>
      </c>
      <c r="H67" s="86"/>
      <c r="I67" s="88">
        <f t="shared" ref="I67:I74" si="15">I66+1</f>
        <v>2036</v>
      </c>
      <c r="J67" s="88"/>
      <c r="K67" s="41">
        <v>0.02</v>
      </c>
    </row>
    <row r="68" spans="3:11">
      <c r="C68" s="88">
        <f t="shared" si="13"/>
        <v>2019</v>
      </c>
      <c r="D68" s="41">
        <v>2.1999999999999999E-2</v>
      </c>
      <c r="E68" s="86"/>
      <c r="F68" s="88">
        <f t="shared" si="14"/>
        <v>2028</v>
      </c>
      <c r="G68" s="41">
        <v>2.1999999999999999E-2</v>
      </c>
      <c r="H68" s="86"/>
      <c r="I68" s="88">
        <f t="shared" si="15"/>
        <v>2037</v>
      </c>
      <c r="J68" s="88"/>
      <c r="K68" s="41">
        <v>2.1000000000000001E-2</v>
      </c>
    </row>
    <row r="69" spans="3:11">
      <c r="C69" s="88">
        <f t="shared" si="13"/>
        <v>2020</v>
      </c>
      <c r="D69" s="41">
        <v>2.5000000000000001E-2</v>
      </c>
      <c r="E69" s="86"/>
      <c r="F69" s="88">
        <f t="shared" si="14"/>
        <v>2029</v>
      </c>
      <c r="G69" s="41">
        <v>2.1000000000000001E-2</v>
      </c>
      <c r="H69" s="86"/>
      <c r="I69" s="88">
        <f t="shared" si="15"/>
        <v>2038</v>
      </c>
      <c r="J69" s="88"/>
      <c r="K69" s="41">
        <v>2.1000000000000001E-2</v>
      </c>
    </row>
    <row r="70" spans="3:11">
      <c r="C70" s="88">
        <f t="shared" si="13"/>
        <v>2021</v>
      </c>
      <c r="D70" s="41">
        <v>2.4E-2</v>
      </c>
      <c r="E70" s="86"/>
      <c r="F70" s="88">
        <f t="shared" si="14"/>
        <v>2030</v>
      </c>
      <c r="G70" s="41">
        <v>0.02</v>
      </c>
      <c r="H70" s="86"/>
      <c r="I70" s="88">
        <f t="shared" si="15"/>
        <v>2039</v>
      </c>
      <c r="J70" s="88"/>
      <c r="K70" s="41">
        <v>2.1000000000000001E-2</v>
      </c>
    </row>
    <row r="71" spans="3:11">
      <c r="C71" s="88">
        <f t="shared" si="13"/>
        <v>2022</v>
      </c>
      <c r="D71" s="41">
        <v>2.4E-2</v>
      </c>
      <c r="E71" s="86"/>
      <c r="F71" s="88">
        <f t="shared" si="14"/>
        <v>2031</v>
      </c>
      <c r="G71" s="41">
        <v>0.02</v>
      </c>
      <c r="H71" s="86"/>
      <c r="I71" s="88">
        <f t="shared" si="15"/>
        <v>2040</v>
      </c>
      <c r="J71" s="88"/>
      <c r="K71" s="41">
        <v>2.1000000000000001E-2</v>
      </c>
    </row>
    <row r="72" spans="3:11" s="124" customFormat="1">
      <c r="C72" s="88">
        <f t="shared" si="13"/>
        <v>2023</v>
      </c>
      <c r="D72" s="41">
        <v>2.4E-2</v>
      </c>
      <c r="E72" s="87"/>
      <c r="F72" s="88">
        <f t="shared" si="14"/>
        <v>2032</v>
      </c>
      <c r="G72" s="41">
        <v>0.02</v>
      </c>
      <c r="H72" s="87"/>
      <c r="I72" s="88">
        <f t="shared" si="15"/>
        <v>2041</v>
      </c>
      <c r="J72" s="88"/>
      <c r="K72" s="41">
        <v>2.1999999999999999E-2</v>
      </c>
    </row>
    <row r="73" spans="3:11" s="124" customFormat="1">
      <c r="C73" s="88">
        <f t="shared" si="13"/>
        <v>2024</v>
      </c>
      <c r="D73" s="41">
        <v>2.3E-2</v>
      </c>
      <c r="E73" s="87"/>
      <c r="F73" s="88">
        <f t="shared" si="14"/>
        <v>2033</v>
      </c>
      <c r="G73" s="41">
        <v>0.02</v>
      </c>
      <c r="H73" s="87"/>
      <c r="I73" s="88">
        <f t="shared" si="15"/>
        <v>2042</v>
      </c>
      <c r="J73" s="88"/>
      <c r="K73" s="41">
        <v>2.1999999999999999E-2</v>
      </c>
    </row>
    <row r="74" spans="3:11" s="124" customFormat="1">
      <c r="C74" s="88">
        <f t="shared" si="13"/>
        <v>2025</v>
      </c>
      <c r="D74" s="41">
        <v>2.3E-2</v>
      </c>
      <c r="E74" s="87"/>
      <c r="F74" s="88">
        <f t="shared" si="14"/>
        <v>2034</v>
      </c>
      <c r="G74" s="41">
        <v>0.02</v>
      </c>
      <c r="H74" s="87"/>
      <c r="I74" s="88">
        <f t="shared" si="1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Z86"/>
  <sheetViews>
    <sheetView topLeftCell="A10" zoomScale="80" zoomScaleNormal="80" workbookViewId="0">
      <selection activeCell="B43" sqref="B4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6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252</v>
      </c>
      <c r="P4" s="183" t="s">
        <v>61</v>
      </c>
      <c r="Q4" s="183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2018.Q2_Solar - 80.0 MW and 31.0%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0.158</v>
      </c>
      <c r="U5" s="184">
        <v>0.11776428835036618</v>
      </c>
      <c r="V5" s="184">
        <v>0.11776428835036618</v>
      </c>
      <c r="W5" s="184">
        <v>0.11776428835036618</v>
      </c>
      <c r="X5" s="184">
        <v>0.158</v>
      </c>
      <c r="Y5" s="184">
        <v>0.158</v>
      </c>
      <c r="Z5" s="184">
        <v>0.53861399146353772</v>
      </c>
      <c r="AA5" s="184">
        <v>0.53861399146353772</v>
      </c>
      <c r="AB5" s="184">
        <v>0.53861399146353772</v>
      </c>
      <c r="AC5" s="184">
        <v>0.59672377662708742</v>
      </c>
      <c r="AD5" s="184">
        <v>0.59672377662708742</v>
      </c>
      <c r="AE5" s="184">
        <v>0.37912293315598289</v>
      </c>
      <c r="AF5" s="184">
        <v>0.64803174039612643</v>
      </c>
      <c r="AG5" s="184">
        <v>0.64803174039612643</v>
      </c>
      <c r="AH5" s="184">
        <v>0.64803174039612643</v>
      </c>
      <c r="AI5" s="184">
        <v>0.64803174039612643</v>
      </c>
      <c r="AJ5" s="184"/>
      <c r="CX5" s="194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61</v>
      </c>
      <c r="L8" s="245"/>
      <c r="P8" s="246" t="s">
        <v>92</v>
      </c>
      <c r="Q8" s="246"/>
      <c r="S8" s="248" t="s">
        <v>168</v>
      </c>
      <c r="T8" s="248" t="s">
        <v>169</v>
      </c>
      <c r="X8" s="248" t="s">
        <v>166</v>
      </c>
      <c r="Y8" s="248" t="s">
        <v>167</v>
      </c>
      <c r="Z8" s="241" t="s">
        <v>159</v>
      </c>
      <c r="AA8" s="241" t="s">
        <v>150</v>
      </c>
      <c r="AB8" s="241" t="s">
        <v>151</v>
      </c>
      <c r="AC8" s="241" t="s">
        <v>152</v>
      </c>
      <c r="AD8" s="241" t="s">
        <v>153</v>
      </c>
      <c r="AE8" s="241" t="s">
        <v>154</v>
      </c>
      <c r="AF8" s="241" t="s">
        <v>162</v>
      </c>
      <c r="AG8" s="241" t="s">
        <v>156</v>
      </c>
      <c r="AH8" s="241" t="s">
        <v>157</v>
      </c>
      <c r="AI8" s="241" t="s">
        <v>158</v>
      </c>
      <c r="AK8" s="246" t="s">
        <v>93</v>
      </c>
      <c r="AL8" s="246"/>
      <c r="AN8" s="248" t="s">
        <v>168</v>
      </c>
      <c r="AO8" s="248" t="s">
        <v>169</v>
      </c>
      <c r="AS8" s="248" t="s">
        <v>166</v>
      </c>
      <c r="AT8" s="248" t="s">
        <v>167</v>
      </c>
      <c r="AU8" s="241" t="str">
        <f t="shared" ref="AU8:BD9" si="0">Z8</f>
        <v>IRP17 Yakima Solar2030</v>
      </c>
      <c r="AV8" s="241" t="str">
        <f t="shared" si="0"/>
        <v>IRP17 Yakima Solar2032</v>
      </c>
      <c r="AW8" s="241" t="str">
        <f t="shared" si="0"/>
        <v>IRP17 Yakima Solar2033</v>
      </c>
      <c r="AX8" s="241" t="str">
        <f t="shared" si="0"/>
        <v>IRP17 Utah South Solar T2033</v>
      </c>
      <c r="AY8" s="241" t="str">
        <f t="shared" si="0"/>
        <v>IRP17 Utah South Solar T2035</v>
      </c>
      <c r="AZ8" s="241" t="str">
        <f t="shared" si="0"/>
        <v>IRP17 Utah South Solar F2035</v>
      </c>
      <c r="BA8" s="241" t="str">
        <f t="shared" si="0"/>
        <v>IRP17 SOregonCal Solar2030</v>
      </c>
      <c r="BB8" s="241" t="str">
        <f t="shared" si="0"/>
        <v>IRP17 SOregonCal Solar2031</v>
      </c>
      <c r="BC8" s="241" t="str">
        <f t="shared" si="0"/>
        <v>IRP17 SOregonCal Solar2032</v>
      </c>
      <c r="BD8" s="241" t="str">
        <f t="shared" si="0"/>
        <v>IRP17 SOregonCal Solar2033</v>
      </c>
      <c r="BF8" s="246" t="s">
        <v>94</v>
      </c>
      <c r="BG8" s="246"/>
      <c r="BJ8" s="248"/>
      <c r="BO8" s="248"/>
      <c r="CA8" s="246" t="s">
        <v>95</v>
      </c>
      <c r="CB8" s="246"/>
      <c r="CE8" s="251"/>
      <c r="CJ8" s="251"/>
      <c r="CX8" s="209" t="s">
        <v>94</v>
      </c>
      <c r="CY8" s="210" t="s">
        <v>95</v>
      </c>
    </row>
    <row r="9" spans="2:103" s="220" customFormat="1" ht="76.5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0.31039792055994153</v>
      </c>
      <c r="H9" s="234"/>
      <c r="I9" s="235"/>
      <c r="K9" s="236" t="s">
        <v>62</v>
      </c>
      <c r="L9" s="236" t="s">
        <v>54</v>
      </c>
      <c r="M9" s="237" t="s">
        <v>96</v>
      </c>
      <c r="P9" s="220" t="s">
        <v>91</v>
      </c>
      <c r="Q9" s="220" t="s">
        <v>140</v>
      </c>
      <c r="R9" s="220" t="s">
        <v>87</v>
      </c>
      <c r="S9" s="220" t="s">
        <v>88</v>
      </c>
      <c r="T9" s="248" t="s">
        <v>88</v>
      </c>
      <c r="U9" s="220" t="s">
        <v>143</v>
      </c>
      <c r="V9" s="220" t="s">
        <v>144</v>
      </c>
      <c r="W9" s="220" t="s">
        <v>145</v>
      </c>
      <c r="X9" s="220" t="s">
        <v>142</v>
      </c>
      <c r="Y9" s="248" t="s">
        <v>142</v>
      </c>
      <c r="Z9" s="220" t="s">
        <v>90</v>
      </c>
      <c r="AA9" s="241" t="s">
        <v>90</v>
      </c>
      <c r="AB9" s="241" t="s">
        <v>90</v>
      </c>
      <c r="AC9" s="220" t="s">
        <v>147</v>
      </c>
      <c r="AD9" s="241" t="s">
        <v>147</v>
      </c>
      <c r="AE9" s="241" t="s">
        <v>161</v>
      </c>
      <c r="AF9" s="241" t="s">
        <v>141</v>
      </c>
      <c r="AG9" s="241" t="s">
        <v>141</v>
      </c>
      <c r="AH9" s="241" t="s">
        <v>141</v>
      </c>
      <c r="AI9" s="220" t="s">
        <v>141</v>
      </c>
      <c r="AJ9" s="239"/>
      <c r="AK9" s="220" t="str">
        <f t="shared" ref="AK9:AT9" si="1">P9</f>
        <v>IRP17 Aeolus Wind</v>
      </c>
      <c r="AL9" s="220" t="str">
        <f t="shared" si="1"/>
        <v>IRP17 WYAE WindCDR2021</v>
      </c>
      <c r="AM9" s="220" t="str">
        <f t="shared" si="1"/>
        <v>IRP17 Dave Johnston Wind</v>
      </c>
      <c r="AN9" s="220" t="str">
        <f t="shared" si="1"/>
        <v>IRP17 Goshen Wind 2</v>
      </c>
      <c r="AO9" s="248" t="str">
        <f t="shared" si="1"/>
        <v>IRP17 Goshen Wind 2</v>
      </c>
      <c r="AP9" s="220" t="str">
        <f t="shared" si="1"/>
        <v>IRP17 WallaW Wind</v>
      </c>
      <c r="AQ9" s="220" t="str">
        <f t="shared" si="1"/>
        <v>IRP17 Yakima Wind</v>
      </c>
      <c r="AR9" s="220" t="str">
        <f t="shared" si="1"/>
        <v>IRP17 S Oregon Wind</v>
      </c>
      <c r="AS9" s="220" t="str">
        <f t="shared" si="1"/>
        <v>IRP17 UT Wind</v>
      </c>
      <c r="AT9" s="248" t="str">
        <f t="shared" si="1"/>
        <v>IRP17 UT Wind</v>
      </c>
      <c r="AU9" s="220" t="str">
        <f t="shared" si="0"/>
        <v>IRP17 Yakima Solar</v>
      </c>
      <c r="AV9" s="241" t="str">
        <f t="shared" si="0"/>
        <v>IRP17 Yakima Solar</v>
      </c>
      <c r="AW9" s="241" t="str">
        <f t="shared" si="0"/>
        <v>IRP17 Yakima Solar</v>
      </c>
      <c r="AX9" s="241" t="str">
        <f t="shared" si="0"/>
        <v>IRP17 Utah South Solar T</v>
      </c>
      <c r="AY9" s="241" t="str">
        <f t="shared" si="0"/>
        <v>IRP17 Utah South Solar T</v>
      </c>
      <c r="AZ9" s="241" t="str">
        <f t="shared" si="0"/>
        <v>IRP17 Utah South Solar F</v>
      </c>
      <c r="BA9" s="241" t="str">
        <f t="shared" si="0"/>
        <v>IRP17 SOregonCal Solar</v>
      </c>
      <c r="BB9" s="241" t="str">
        <f t="shared" si="0"/>
        <v>IRP17 SOregonCal Solar</v>
      </c>
      <c r="BC9" s="241" t="str">
        <f t="shared" si="0"/>
        <v>IRP17 SOregonCal Solar</v>
      </c>
      <c r="BD9" s="241" t="str">
        <f t="shared" si="0"/>
        <v>IRP17 SOregonCal Solar</v>
      </c>
      <c r="BF9" s="220" t="str">
        <f>P9</f>
        <v>IRP17 Aeolus Wind</v>
      </c>
      <c r="BG9" s="220" t="str">
        <f>Q9</f>
        <v>IRP17 WYAE WindCDR2021</v>
      </c>
      <c r="BH9" s="220" t="str">
        <f>R9</f>
        <v>IRP17 Dave Johnston Wind</v>
      </c>
      <c r="BI9" s="249" t="str">
        <f>S8</f>
        <v>IRP17 Goshen Wind 2 2030</v>
      </c>
      <c r="BJ9" s="249" t="str">
        <f>T8</f>
        <v>IRP17 Goshen Wind 2 2033</v>
      </c>
      <c r="BK9" s="220" t="str">
        <f>U9</f>
        <v>IRP17 WallaW Wind</v>
      </c>
      <c r="BL9" s="220" t="str">
        <f>V9</f>
        <v>IRP17 Yakima Wind</v>
      </c>
      <c r="BM9" s="220" t="str">
        <f>W9</f>
        <v>IRP17 S Oregon Wind</v>
      </c>
      <c r="BN9" s="249" t="str">
        <f>X8</f>
        <v>IRP17 UT Wind 2030</v>
      </c>
      <c r="BO9" s="249" t="str">
        <f>Y8</f>
        <v>IRP17 UT Wind 2036</v>
      </c>
      <c r="BP9" s="243" t="s">
        <v>149</v>
      </c>
      <c r="BQ9" s="243" t="s">
        <v>150</v>
      </c>
      <c r="BR9" s="243" t="s">
        <v>151</v>
      </c>
      <c r="BS9" s="243" t="s">
        <v>152</v>
      </c>
      <c r="BT9" s="243" t="s">
        <v>153</v>
      </c>
      <c r="BU9" s="243" t="s">
        <v>154</v>
      </c>
      <c r="BV9" s="243" t="s">
        <v>155</v>
      </c>
      <c r="BW9" s="243" t="s">
        <v>156</v>
      </c>
      <c r="BX9" s="243" t="s">
        <v>157</v>
      </c>
      <c r="BY9" s="243" t="s">
        <v>158</v>
      </c>
      <c r="CA9" s="220" t="str">
        <f t="shared" ref="CA9:CT9" si="2">BF9</f>
        <v>IRP17 Aeolus Wind</v>
      </c>
      <c r="CB9" s="241" t="str">
        <f t="shared" si="2"/>
        <v>IRP17 WYAE WindCDR2021</v>
      </c>
      <c r="CC9" s="241" t="str">
        <f t="shared" si="2"/>
        <v>IRP17 Dave Johnston Wind</v>
      </c>
      <c r="CD9" s="241" t="str">
        <f t="shared" si="2"/>
        <v>IRP17 Goshen Wind 2 2030</v>
      </c>
      <c r="CE9" s="249" t="str">
        <f t="shared" si="2"/>
        <v>IRP17 Goshen Wind 2 2033</v>
      </c>
      <c r="CF9" s="241" t="str">
        <f t="shared" si="2"/>
        <v>IRP17 WallaW Wind</v>
      </c>
      <c r="CG9" s="241" t="str">
        <f t="shared" si="2"/>
        <v>IRP17 Yakima Wind</v>
      </c>
      <c r="CH9" s="241" t="str">
        <f t="shared" si="2"/>
        <v>IRP17 S Oregon Wind</v>
      </c>
      <c r="CI9" s="241" t="str">
        <f t="shared" si="2"/>
        <v>IRP17 UT Wind 2030</v>
      </c>
      <c r="CJ9" s="249" t="str">
        <f t="shared" si="2"/>
        <v>IRP17 UT Wind 2036</v>
      </c>
      <c r="CK9" s="241" t="str">
        <f t="shared" si="2"/>
        <v xml:space="preserve">IRP17 Yakima Solar2030 </v>
      </c>
      <c r="CL9" s="241" t="str">
        <f t="shared" si="2"/>
        <v>IRP17 Yakima Solar2032</v>
      </c>
      <c r="CM9" s="241" t="str">
        <f t="shared" si="2"/>
        <v>IRP17 Yakima Solar2033</v>
      </c>
      <c r="CN9" s="241" t="str">
        <f t="shared" si="2"/>
        <v>IRP17 Utah South Solar T2033</v>
      </c>
      <c r="CO9" s="241" t="str">
        <f t="shared" si="2"/>
        <v>IRP17 Utah South Solar T2035</v>
      </c>
      <c r="CP9" s="241" t="str">
        <f t="shared" si="2"/>
        <v>IRP17 Utah South Solar F2035</v>
      </c>
      <c r="CQ9" s="241" t="str">
        <f t="shared" si="2"/>
        <v>IRP17 SOregonCal Solar2030'</v>
      </c>
      <c r="CR9" s="241" t="str">
        <f t="shared" si="2"/>
        <v>IRP17 SOregonCal Solar2031</v>
      </c>
      <c r="CS9" s="241" t="str">
        <f t="shared" si="2"/>
        <v>IRP17 SOregonCal Solar2032</v>
      </c>
      <c r="CT9" s="241" t="str">
        <f t="shared" si="2"/>
        <v>IRP17 SOregonCal Solar2033</v>
      </c>
      <c r="CU9" s="220" t="s">
        <v>97</v>
      </c>
      <c r="CX9" s="220" t="s">
        <v>107</v>
      </c>
      <c r="CY9" s="220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103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63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103" customFormat="1">
      <c r="B13" s="15">
        <f>'Table 5'!J13</f>
        <v>2018</v>
      </c>
      <c r="C13" s="9">
        <f t="shared" ref="C13:C33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22.778713360497836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22.778713360497836</v>
      </c>
      <c r="H13" s="36"/>
      <c r="I13" s="194"/>
      <c r="J13" s="194"/>
      <c r="K13" s="114" t="s">
        <v>64</v>
      </c>
      <c r="L13" s="115">
        <v>0.59672377662708742</v>
      </c>
      <c r="M13" s="115">
        <v>0.64803174039612643</v>
      </c>
      <c r="O13">
        <f t="shared" ref="O13:O32" si="4">B13</f>
        <v>2018</v>
      </c>
      <c r="P13">
        <v>0</v>
      </c>
      <c r="Q13">
        <v>0</v>
      </c>
      <c r="R13">
        <v>0</v>
      </c>
      <c r="S13" s="194">
        <v>0</v>
      </c>
      <c r="T13" s="194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37.270000000000003</v>
      </c>
      <c r="BG13">
        <f>VLOOKUP($O13,'Table 3 EV2020 Wind_2021'!$B$10:$K$36,10,FALSE)</f>
        <v>37.270000000000003</v>
      </c>
      <c r="BH13">
        <f>VLOOKUP($O13,'Table 3 DJ Wind 2030'!$B$10:$J$36,9,FALSE)</f>
        <v>40.82</v>
      </c>
      <c r="BI13">
        <f>VLOOKUP($O13,'Table 3 ID Wind 2030'!$B$10:$J$36,9,FALSE)</f>
        <v>38.43</v>
      </c>
      <c r="BJ13">
        <f>VLOOKUP($O13,'Table 3 ID Wind 2033'!$B$10:$J$36,9,FALSE)</f>
        <v>38.43</v>
      </c>
      <c r="BK13">
        <f>VLOOKUP($O13,'Table 3 WW Wind 2035'!$B$10:$J$36,9,FALSE)</f>
        <v>38.43</v>
      </c>
      <c r="BL13">
        <f>VLOOKUP($O13,'Table 3 YK Wind 2035'!$B$10:$J$36,9,FALSE)</f>
        <v>38.43</v>
      </c>
      <c r="BM13">
        <f>VLOOKUP($O13,'Table 3 OR Wind 2035'!$B$10:$J$36,9,FALSE)</f>
        <v>38.43</v>
      </c>
      <c r="BN13">
        <f>VLOOKUP($O13,'Table 3 UT Wind 2030'!$B$10:$J$36,9,FALSE)</f>
        <v>38.43</v>
      </c>
      <c r="BO13">
        <f>VLOOKUP($O13,'Table 3 UT Wind 2036'!$B$10:$J$36,9,FALSE)</f>
        <v>38.43</v>
      </c>
      <c r="BP13">
        <f>VLOOKUP($O13,'Table 3 YK Solar 2030'!$B$10:$J$36,9,FALSE)</f>
        <v>19.170000000000002</v>
      </c>
      <c r="BQ13">
        <f>VLOOKUP($O13,'Table 3 YK Solar 2032'!$B$10:$J$36,9,FALSE)</f>
        <v>19.170000000000002</v>
      </c>
      <c r="BR13">
        <f>VLOOKUP($O13,'Table 3 YK Solar 2033'!$B$10:$J$36,9,FALSE)</f>
        <v>19.170000000000002</v>
      </c>
      <c r="BS13">
        <f>VLOOKUP($O13,'Table 3 UT Solar 2033 ST'!$B$10:$J$36,9,FALSE)</f>
        <v>20.14</v>
      </c>
      <c r="BT13">
        <f>VLOOKUP($O13,'Table 3 UT Solar 2035 ST'!$B$10:$J$36,9,FALSE)</f>
        <v>20.14</v>
      </c>
      <c r="BU13">
        <f>VLOOKUP($O13,'Table 3 UT Solar 2035 FT'!$B$10:$J$36,9,FALSE)</f>
        <v>19.149999999999999</v>
      </c>
      <c r="BV13">
        <f>VLOOKUP($O13,'Table 3 OR Solar 2030'!$B$10:$J$36,9,FALSE)</f>
        <v>20.170000000000002</v>
      </c>
      <c r="BW13">
        <f>VLOOKUP($O13,'Table 3 OR Solar 2031'!$B$10:$J$36,9,FALSE)</f>
        <v>20.170000000000002</v>
      </c>
      <c r="BX13">
        <f>VLOOKUP($O13,'Table 3 OR Solar 2032'!$B$10:$J$36,9,FALSE)</f>
        <v>20.170000000000002</v>
      </c>
      <c r="BY13">
        <f>VLOOKUP($O13,'Table 3 OR Solar 2033'!$B$10:$J$36,9,FALSE)</f>
        <v>20.170000000000002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2018</v>
      </c>
      <c r="CX13" s="90">
        <f>IFERROR(VLOOKUP($CW13,'Table 3 TransCost D2 '!$B$10:$E$34,4,FALSE),0)</f>
        <v>0</v>
      </c>
      <c r="CY13" s="194">
        <f>$CX$5*CX13/1000</f>
        <v>0</v>
      </c>
    </row>
    <row r="14" spans="2:103" customFormat="1">
      <c r="B14" s="15">
        <f t="shared" ref="B14:B33" si="25">B13+1</f>
        <v>2019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17.472365650340478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17.472365650340478</v>
      </c>
      <c r="H14" s="36"/>
      <c r="I14" s="194"/>
      <c r="J14" s="194"/>
      <c r="K14" s="114" t="s">
        <v>65</v>
      </c>
      <c r="L14" s="115">
        <v>1</v>
      </c>
      <c r="M14" s="115">
        <v>1</v>
      </c>
      <c r="O14">
        <f t="shared" si="4"/>
        <v>2019</v>
      </c>
      <c r="P14">
        <v>0</v>
      </c>
      <c r="Q14">
        <v>0</v>
      </c>
      <c r="R14">
        <v>0</v>
      </c>
      <c r="S14" s="194">
        <v>0</v>
      </c>
      <c r="T14" s="19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38.090000000000003</v>
      </c>
      <c r="BG14">
        <f>VLOOKUP($O14,'Table 3 EV2020 Wind_2021'!$B$10:$K$36,10,FALSE)</f>
        <v>38.090000000000003</v>
      </c>
      <c r="BH14">
        <f>VLOOKUP($O14,'Table 3 DJ Wind 2030'!$B$10:$J$36,9,FALSE)</f>
        <v>41.7</v>
      </c>
      <c r="BI14">
        <f>VLOOKUP($O14,'Table 3 ID Wind 2030'!$B$10:$J$36,9,FALSE)</f>
        <v>39.28</v>
      </c>
      <c r="BJ14">
        <f>VLOOKUP($O14,'Table 3 ID Wind 2033'!$B$10:$J$36,9,FALSE)</f>
        <v>39.28</v>
      </c>
      <c r="BK14">
        <f>VLOOKUP($O14,'Table 3 WW Wind 2035'!$B$10:$J$36,9,FALSE)</f>
        <v>39.28</v>
      </c>
      <c r="BL14">
        <f>VLOOKUP($O14,'Table 3 YK Wind 2035'!$B$10:$J$36,9,FALSE)</f>
        <v>39.28</v>
      </c>
      <c r="BM14">
        <f>VLOOKUP($O14,'Table 3 OR Wind 2035'!$B$10:$J$36,9,FALSE)</f>
        <v>39.28</v>
      </c>
      <c r="BN14">
        <f>VLOOKUP($O14,'Table 3 UT Wind 2030'!$B$10:$J$36,9,FALSE)</f>
        <v>39.28</v>
      </c>
      <c r="BO14">
        <f>VLOOKUP($O14,'Table 3 UT Wind 2036'!$B$10:$J$36,9,FALSE)</f>
        <v>39.28</v>
      </c>
      <c r="BP14">
        <f>VLOOKUP($O14,'Table 3 YK Solar 2030'!$B$10:$J$36,9,FALSE)</f>
        <v>19.59</v>
      </c>
      <c r="BQ14">
        <f>VLOOKUP($O14,'Table 3 YK Solar 2032'!$B$10:$J$36,9,FALSE)</f>
        <v>19.59</v>
      </c>
      <c r="BR14">
        <f>VLOOKUP($O14,'Table 3 YK Solar 2033'!$B$10:$J$36,9,FALSE)</f>
        <v>19.59</v>
      </c>
      <c r="BS14">
        <f>VLOOKUP($O14,'Table 3 UT Solar 2033 ST'!$B$10:$J$36,9,FALSE)</f>
        <v>20.58</v>
      </c>
      <c r="BT14">
        <f>VLOOKUP($O14,'Table 3 UT Solar 2035 ST'!$B$10:$J$36,9,FALSE)</f>
        <v>20.58</v>
      </c>
      <c r="BU14">
        <f>VLOOKUP($O14,'Table 3 UT Solar 2035 FT'!$B$10:$J$36,9,FALSE)</f>
        <v>19.57</v>
      </c>
      <c r="BV14">
        <f>VLOOKUP($O14,'Table 3 OR Solar 2030'!$B$10:$J$36,9,FALSE)</f>
        <v>20.61</v>
      </c>
      <c r="BW14">
        <f>VLOOKUP($O14,'Table 3 OR Solar 2031'!$B$10:$J$36,9,FALSE)</f>
        <v>20.61</v>
      </c>
      <c r="BX14">
        <f>VLOOKUP($O14,'Table 3 OR Solar 2032'!$B$10:$J$36,9,FALSE)</f>
        <v>20.61</v>
      </c>
      <c r="BY14">
        <f>VLOOKUP($O14,'Table 3 OR Solar 2033'!$B$10:$J$36,9,FALSE)</f>
        <v>20.61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2019</v>
      </c>
      <c r="CX14" s="90">
        <f>IFERROR(VLOOKUP($CW14,'Table 3 TransCost D2 '!$B$10:$E$34,4,FALSE),0)</f>
        <v>0</v>
      </c>
      <c r="CY14" s="194">
        <f t="shared" ref="CY14:CY33" si="27">$CX$5*CX14/1000</f>
        <v>0</v>
      </c>
    </row>
    <row r="15" spans="2:103" customFormat="1">
      <c r="B15" s="15">
        <f t="shared" si="25"/>
        <v>2020</v>
      </c>
      <c r="C15" s="9">
        <f t="shared" si="3"/>
        <v>0</v>
      </c>
      <c r="D15" s="45"/>
      <c r="E15" s="9">
        <f t="shared" ca="1" si="26"/>
        <v>14.313074570411938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14.313074570411938</v>
      </c>
      <c r="H15" s="36"/>
      <c r="I15" s="194"/>
      <c r="J15" s="194"/>
      <c r="K15" s="114" t="s">
        <v>66</v>
      </c>
      <c r="L15" s="115">
        <v>1</v>
      </c>
      <c r="M15" s="115">
        <v>1</v>
      </c>
      <c r="O15">
        <f t="shared" si="4"/>
        <v>2020</v>
      </c>
      <c r="P15">
        <v>0</v>
      </c>
      <c r="Q15">
        <v>0</v>
      </c>
      <c r="R15">
        <v>0</v>
      </c>
      <c r="S15" s="194">
        <v>0</v>
      </c>
      <c r="T15" s="194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-0.87</v>
      </c>
      <c r="BG15">
        <f>VLOOKUP($O15,'Table 3 EV2020 Wind_2021'!$B$10:$K$36,10,FALSE)</f>
        <v>39.06</v>
      </c>
      <c r="BH15">
        <f>VLOOKUP($O15,'Table 3 DJ Wind 2030'!$B$10:$J$36,9,FALSE)</f>
        <v>42.76</v>
      </c>
      <c r="BI15">
        <f>VLOOKUP($O15,'Table 3 ID Wind 2030'!$B$10:$J$36,9,FALSE)</f>
        <v>40.26</v>
      </c>
      <c r="BJ15">
        <f>VLOOKUP($O15,'Table 3 ID Wind 2033'!$B$10:$J$36,9,FALSE)</f>
        <v>40.26</v>
      </c>
      <c r="BK15">
        <f>VLOOKUP($O15,'Table 3 WW Wind 2035'!$B$10:$J$36,9,FALSE)</f>
        <v>40.26</v>
      </c>
      <c r="BL15">
        <f>VLOOKUP($O15,'Table 3 YK Wind 2035'!$B$10:$J$36,9,FALSE)</f>
        <v>40.26</v>
      </c>
      <c r="BM15">
        <f>VLOOKUP($O15,'Table 3 OR Wind 2035'!$B$10:$J$36,9,FALSE)</f>
        <v>40.26</v>
      </c>
      <c r="BN15">
        <f>VLOOKUP($O15,'Table 3 UT Wind 2030'!$B$10:$J$36,9,FALSE)</f>
        <v>40.26</v>
      </c>
      <c r="BO15">
        <f>VLOOKUP($O15,'Table 3 UT Wind 2036'!$B$10:$J$36,9,FALSE)</f>
        <v>40.26</v>
      </c>
      <c r="BP15">
        <f>VLOOKUP($O15,'Table 3 YK Solar 2030'!$B$10:$J$36,9,FALSE)</f>
        <v>20.079999999999998</v>
      </c>
      <c r="BQ15">
        <f>VLOOKUP($O15,'Table 3 YK Solar 2032'!$B$10:$J$36,9,FALSE)</f>
        <v>20.079999999999998</v>
      </c>
      <c r="BR15">
        <f>VLOOKUP($O15,'Table 3 YK Solar 2033'!$B$10:$J$36,9,FALSE)</f>
        <v>20.079999999999998</v>
      </c>
      <c r="BS15">
        <f>VLOOKUP($O15,'Table 3 UT Solar 2033 ST'!$B$10:$J$36,9,FALSE)</f>
        <v>21.09</v>
      </c>
      <c r="BT15">
        <f>VLOOKUP($O15,'Table 3 UT Solar 2035 ST'!$B$10:$J$36,9,FALSE)</f>
        <v>21.09</v>
      </c>
      <c r="BU15">
        <f>VLOOKUP($O15,'Table 3 UT Solar 2035 FT'!$B$10:$J$36,9,FALSE)</f>
        <v>20.059999999999999</v>
      </c>
      <c r="BV15">
        <f>VLOOKUP($O15,'Table 3 OR Solar 2030'!$B$10:$J$36,9,FALSE)</f>
        <v>21.13</v>
      </c>
      <c r="BW15">
        <f>VLOOKUP($O15,'Table 3 OR Solar 2031'!$B$10:$J$36,9,FALSE)</f>
        <v>21.13</v>
      </c>
      <c r="BX15">
        <f>VLOOKUP($O15,'Table 3 OR Solar 2032'!$B$10:$J$36,9,FALSE)</f>
        <v>21.13</v>
      </c>
      <c r="BY15">
        <f>VLOOKUP($O15,'Table 3 OR Solar 2033'!$B$10:$J$36,9,FALSE)</f>
        <v>21.13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2020</v>
      </c>
      <c r="CX15" s="90">
        <f>IFERROR(VLOOKUP($CW15,'Table 3 TransCost D2 '!$B$10:$E$34,4,FALSE),0)</f>
        <v>7.9016666666666664</v>
      </c>
      <c r="CY15" s="194">
        <f t="shared" si="27"/>
        <v>0</v>
      </c>
    </row>
    <row r="16" spans="2:103" customFormat="1">
      <c r="B16" s="15">
        <f t="shared" si="25"/>
        <v>2021</v>
      </c>
      <c r="C16" s="9">
        <f t="shared" si="3"/>
        <v>0</v>
      </c>
      <c r="D16" s="45"/>
      <c r="E16" s="9">
        <f t="shared" ca="1" si="26"/>
        <v>10.72779057407717</v>
      </c>
      <c r="F16" s="37"/>
      <c r="G16" s="14">
        <f t="shared" ca="1" si="28"/>
        <v>10.72779057407717</v>
      </c>
      <c r="H16" s="36"/>
      <c r="I16" s="194"/>
      <c r="J16" s="194"/>
      <c r="M16" s="116"/>
      <c r="O16">
        <f t="shared" si="4"/>
        <v>2021</v>
      </c>
      <c r="P16">
        <v>0</v>
      </c>
      <c r="Q16">
        <v>0</v>
      </c>
      <c r="R16">
        <v>0</v>
      </c>
      <c r="S16" s="194">
        <v>0</v>
      </c>
      <c r="T16" s="194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-7.17</v>
      </c>
      <c r="BG16">
        <f>VLOOKUP($O16,'Table 3 EV2020 Wind_2021'!$B$10:$K$36,10,FALSE)</f>
        <v>-9.07</v>
      </c>
      <c r="BH16">
        <f>VLOOKUP($O16,'Table 3 DJ Wind 2030'!$B$10:$J$36,9,FALSE)</f>
        <v>43.8</v>
      </c>
      <c r="BI16">
        <f>VLOOKUP($O16,'Table 3 ID Wind 2030'!$B$10:$J$36,9,FALSE)</f>
        <v>41.23</v>
      </c>
      <c r="BJ16">
        <f>VLOOKUP($O16,'Table 3 ID Wind 2033'!$B$10:$J$36,9,FALSE)</f>
        <v>41.23</v>
      </c>
      <c r="BK16">
        <f>VLOOKUP($O16,'Table 3 WW Wind 2035'!$B$10:$J$36,9,FALSE)</f>
        <v>41.23</v>
      </c>
      <c r="BL16">
        <f>VLOOKUP($O16,'Table 3 YK Wind 2035'!$B$10:$J$36,9,FALSE)</f>
        <v>41.23</v>
      </c>
      <c r="BM16">
        <f>VLOOKUP($O16,'Table 3 OR Wind 2035'!$B$10:$J$36,9,FALSE)</f>
        <v>41.23</v>
      </c>
      <c r="BN16">
        <f>VLOOKUP($O16,'Table 3 UT Wind 2030'!$B$10:$J$36,9,FALSE)</f>
        <v>41.23</v>
      </c>
      <c r="BO16">
        <f>VLOOKUP($O16,'Table 3 UT Wind 2036'!$B$10:$J$36,9,FALSE)</f>
        <v>41.23</v>
      </c>
      <c r="BP16">
        <f>VLOOKUP($O16,'Table 3 YK Solar 2030'!$B$10:$J$36,9,FALSE)</f>
        <v>20.56</v>
      </c>
      <c r="BQ16">
        <f>VLOOKUP($O16,'Table 3 YK Solar 2032'!$B$10:$J$36,9,FALSE)</f>
        <v>20.56</v>
      </c>
      <c r="BR16">
        <f>VLOOKUP($O16,'Table 3 YK Solar 2033'!$B$10:$J$36,9,FALSE)</f>
        <v>20.56</v>
      </c>
      <c r="BS16">
        <f>VLOOKUP($O16,'Table 3 UT Solar 2033 ST'!$B$10:$J$36,9,FALSE)</f>
        <v>21.6</v>
      </c>
      <c r="BT16">
        <f>VLOOKUP($O16,'Table 3 UT Solar 2035 ST'!$B$10:$J$36,9,FALSE)</f>
        <v>21.6</v>
      </c>
      <c r="BU16">
        <f>VLOOKUP($O16,'Table 3 UT Solar 2035 FT'!$B$10:$J$36,9,FALSE)</f>
        <v>20.54</v>
      </c>
      <c r="BV16">
        <f>VLOOKUP($O16,'Table 3 OR Solar 2030'!$B$10:$J$36,9,FALSE)</f>
        <v>21.64</v>
      </c>
      <c r="BW16">
        <f>VLOOKUP($O16,'Table 3 OR Solar 2031'!$B$10:$J$36,9,FALSE)</f>
        <v>21.64</v>
      </c>
      <c r="BX16">
        <f>VLOOKUP($O16,'Table 3 OR Solar 2032'!$B$10:$J$36,9,FALSE)</f>
        <v>21.64</v>
      </c>
      <c r="BY16">
        <f>VLOOKUP($O16,'Table 3 OR Solar 2033'!$B$10:$J$36,9,FALSE)</f>
        <v>21.64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2021</v>
      </c>
      <c r="CX16" s="90">
        <f>IFERROR(VLOOKUP($CW16,'Table 3 TransCost D2 '!$B$10:$E$34,4,FALSE),0)</f>
        <v>48.5910167356733</v>
      </c>
      <c r="CY16" s="194">
        <f t="shared" si="27"/>
        <v>0</v>
      </c>
    </row>
    <row r="17" spans="2:103">
      <c r="B17" s="15">
        <f t="shared" si="25"/>
        <v>2022</v>
      </c>
      <c r="C17" s="9">
        <f t="shared" si="3"/>
        <v>0</v>
      </c>
      <c r="D17" s="45"/>
      <c r="E17" s="9">
        <f t="shared" ca="1" si="26"/>
        <v>8.3523849474969207</v>
      </c>
      <c r="F17" s="37"/>
      <c r="G17" s="14">
        <f t="shared" ca="1" si="28"/>
        <v>8.3523849474969207</v>
      </c>
      <c r="H17" s="36"/>
      <c r="I17" s="194"/>
      <c r="J17" s="194"/>
      <c r="M17" s="117"/>
      <c r="O17">
        <f t="shared" si="4"/>
        <v>2022</v>
      </c>
      <c r="P17">
        <v>0</v>
      </c>
      <c r="Q17">
        <v>0</v>
      </c>
      <c r="R17">
        <v>0</v>
      </c>
      <c r="S17" s="194">
        <v>0</v>
      </c>
      <c r="T17" s="194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-4.53</v>
      </c>
      <c r="BG17">
        <f>VLOOKUP($O17,'Table 3 EV2020 Wind_2021'!$B$10:$K$36,10,FALSE)</f>
        <v>-6.48</v>
      </c>
      <c r="BH17">
        <f>VLOOKUP($O17,'Table 3 DJ Wind 2030'!$B$10:$J$36,9,FALSE)</f>
        <v>44.86</v>
      </c>
      <c r="BI17">
        <f>VLOOKUP($O17,'Table 3 ID Wind 2030'!$B$10:$J$36,9,FALSE)</f>
        <v>42.22</v>
      </c>
      <c r="BJ17">
        <f>VLOOKUP($O17,'Table 3 ID Wind 2033'!$B$10:$J$36,9,FALSE)</f>
        <v>42.22</v>
      </c>
      <c r="BK17">
        <f>VLOOKUP($O17,'Table 3 WW Wind 2035'!$B$10:$J$36,9,FALSE)</f>
        <v>42.22</v>
      </c>
      <c r="BL17">
        <f>VLOOKUP($O17,'Table 3 YK Wind 2035'!$B$10:$J$36,9,FALSE)</f>
        <v>42.22</v>
      </c>
      <c r="BM17">
        <f>VLOOKUP($O17,'Table 3 OR Wind 2035'!$B$10:$J$36,9,FALSE)</f>
        <v>42.22</v>
      </c>
      <c r="BN17">
        <f>VLOOKUP($O17,'Table 3 UT Wind 2030'!$B$10:$J$36,9,FALSE)</f>
        <v>42.22</v>
      </c>
      <c r="BO17">
        <f>VLOOKUP($O17,'Table 3 UT Wind 2036'!$B$10:$J$36,9,FALSE)</f>
        <v>42.22</v>
      </c>
      <c r="BP17">
        <f>VLOOKUP($O17,'Table 3 YK Solar 2030'!$B$10:$J$36,9,FALSE)</f>
        <v>21.05</v>
      </c>
      <c r="BQ17">
        <f>VLOOKUP($O17,'Table 3 YK Solar 2032'!$B$10:$J$36,9,FALSE)</f>
        <v>21.05</v>
      </c>
      <c r="BR17">
        <f>VLOOKUP($O17,'Table 3 YK Solar 2033'!$B$10:$J$36,9,FALSE)</f>
        <v>21.05</v>
      </c>
      <c r="BS17">
        <f>VLOOKUP($O17,'Table 3 UT Solar 2033 ST'!$B$10:$J$36,9,FALSE)</f>
        <v>22.12</v>
      </c>
      <c r="BT17">
        <f>VLOOKUP($O17,'Table 3 UT Solar 2035 ST'!$B$10:$J$36,9,FALSE)</f>
        <v>22.12</v>
      </c>
      <c r="BU17">
        <f>VLOOKUP($O17,'Table 3 UT Solar 2035 FT'!$B$10:$J$36,9,FALSE)</f>
        <v>21.03</v>
      </c>
      <c r="BV17">
        <f>VLOOKUP($O17,'Table 3 OR Solar 2030'!$B$10:$J$36,9,FALSE)</f>
        <v>22.16</v>
      </c>
      <c r="BW17">
        <f>VLOOKUP($O17,'Table 3 OR Solar 2031'!$B$10:$J$36,9,FALSE)</f>
        <v>22.16</v>
      </c>
      <c r="BX17">
        <f>VLOOKUP($O17,'Table 3 OR Solar 2032'!$B$10:$J$36,9,FALSE)</f>
        <v>22.16</v>
      </c>
      <c r="BY17">
        <f>VLOOKUP($O17,'Table 3 OR Solar 2033'!$B$10:$J$36,9,FALSE)</f>
        <v>22.16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2022</v>
      </c>
      <c r="CX17" s="90">
        <f>IFERROR(VLOOKUP($CW17,'Table 3 TransCost D2 '!$B$10:$E$34,4,FALSE),0)</f>
        <v>49.76</v>
      </c>
      <c r="CY17" s="194">
        <f t="shared" si="27"/>
        <v>0</v>
      </c>
    </row>
    <row r="18" spans="2:103">
      <c r="B18" s="15">
        <f t="shared" si="25"/>
        <v>2023</v>
      </c>
      <c r="C18" s="9">
        <f t="shared" si="3"/>
        <v>0</v>
      </c>
      <c r="D18" s="45"/>
      <c r="E18" s="9">
        <f t="shared" ca="1" si="26"/>
        <v>9.4183593270521921</v>
      </c>
      <c r="F18" s="37"/>
      <c r="G18" s="14">
        <f t="shared" ca="1" si="28"/>
        <v>9.4183593270521921</v>
      </c>
      <c r="H18" s="36"/>
      <c r="I18" s="194"/>
      <c r="J18" s="194"/>
      <c r="M18" s="117"/>
      <c r="O18">
        <f t="shared" si="4"/>
        <v>2023</v>
      </c>
      <c r="P18">
        <v>0</v>
      </c>
      <c r="Q18">
        <v>0</v>
      </c>
      <c r="R18">
        <v>0</v>
      </c>
      <c r="S18" s="194">
        <v>0</v>
      </c>
      <c r="T18" s="194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-6.32</v>
      </c>
      <c r="BG18">
        <f>VLOOKUP($O18,'Table 3 EV2020 Wind_2021'!$B$10:$K$36,10,FALSE)</f>
        <v>-8.32</v>
      </c>
      <c r="BH18">
        <f>VLOOKUP($O18,'Table 3 DJ Wind 2030'!$B$10:$J$36,9,FALSE)</f>
        <v>45.94</v>
      </c>
      <c r="BI18">
        <f>VLOOKUP($O18,'Table 3 ID Wind 2030'!$B$10:$J$36,9,FALSE)</f>
        <v>43.23</v>
      </c>
      <c r="BJ18">
        <f>VLOOKUP($O18,'Table 3 ID Wind 2033'!$B$10:$J$36,9,FALSE)</f>
        <v>43.23</v>
      </c>
      <c r="BK18">
        <f>VLOOKUP($O18,'Table 3 WW Wind 2035'!$B$10:$J$36,9,FALSE)</f>
        <v>43.23</v>
      </c>
      <c r="BL18">
        <f>VLOOKUP($O18,'Table 3 YK Wind 2035'!$B$10:$J$36,9,FALSE)</f>
        <v>43.23</v>
      </c>
      <c r="BM18">
        <f>VLOOKUP($O18,'Table 3 OR Wind 2035'!$B$10:$J$36,9,FALSE)</f>
        <v>43.23</v>
      </c>
      <c r="BN18">
        <f>VLOOKUP($O18,'Table 3 UT Wind 2030'!$B$10:$J$36,9,FALSE)</f>
        <v>43.23</v>
      </c>
      <c r="BO18">
        <f>VLOOKUP($O18,'Table 3 UT Wind 2036'!$B$10:$J$36,9,FALSE)</f>
        <v>43.23</v>
      </c>
      <c r="BP18">
        <f>VLOOKUP($O18,'Table 3 YK Solar 2030'!$B$10:$J$36,9,FALSE)</f>
        <v>21.56</v>
      </c>
      <c r="BQ18">
        <f>VLOOKUP($O18,'Table 3 YK Solar 2032'!$B$10:$J$36,9,FALSE)</f>
        <v>21.56</v>
      </c>
      <c r="BR18">
        <f>VLOOKUP($O18,'Table 3 YK Solar 2033'!$B$10:$J$36,9,FALSE)</f>
        <v>21.56</v>
      </c>
      <c r="BS18">
        <f>VLOOKUP($O18,'Table 3 UT Solar 2033 ST'!$B$10:$J$36,9,FALSE)</f>
        <v>22.65</v>
      </c>
      <c r="BT18">
        <f>VLOOKUP($O18,'Table 3 UT Solar 2035 ST'!$B$10:$J$36,9,FALSE)</f>
        <v>22.65</v>
      </c>
      <c r="BU18">
        <f>VLOOKUP($O18,'Table 3 UT Solar 2035 FT'!$B$10:$J$36,9,FALSE)</f>
        <v>21.53</v>
      </c>
      <c r="BV18">
        <f>VLOOKUP($O18,'Table 3 OR Solar 2030'!$B$10:$J$36,9,FALSE)</f>
        <v>22.69</v>
      </c>
      <c r="BW18">
        <f>VLOOKUP($O18,'Table 3 OR Solar 2031'!$B$10:$J$36,9,FALSE)</f>
        <v>22.69</v>
      </c>
      <c r="BX18">
        <f>VLOOKUP($O18,'Table 3 OR Solar 2032'!$B$10:$J$36,9,FALSE)</f>
        <v>22.69</v>
      </c>
      <c r="BY18">
        <f>VLOOKUP($O18,'Table 3 OR Solar 2033'!$B$10:$J$36,9,FALSE)</f>
        <v>22.69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2023</v>
      </c>
      <c r="CX18" s="90">
        <f>IFERROR(VLOOKUP($CW18,'Table 3 TransCost D2 '!$B$10:$E$34,4,FALSE),0)</f>
        <v>50.95000000000001</v>
      </c>
      <c r="CY18" s="194">
        <f t="shared" si="27"/>
        <v>0</v>
      </c>
    </row>
    <row r="19" spans="2:103">
      <c r="B19" s="15">
        <f t="shared" si="25"/>
        <v>2024</v>
      </c>
      <c r="C19" s="9">
        <f t="shared" si="3"/>
        <v>0</v>
      </c>
      <c r="D19" s="45"/>
      <c r="E19" s="9">
        <f t="shared" ca="1" si="26"/>
        <v>10.247492936489305</v>
      </c>
      <c r="F19" s="37"/>
      <c r="G19" s="14">
        <f t="shared" ca="1" si="28"/>
        <v>10.247492936489305</v>
      </c>
      <c r="H19" s="36"/>
      <c r="I19" s="194"/>
      <c r="J19" s="194"/>
      <c r="M19" s="117"/>
      <c r="O19">
        <f t="shared" si="4"/>
        <v>2024</v>
      </c>
      <c r="P19">
        <v>0</v>
      </c>
      <c r="Q19">
        <v>0</v>
      </c>
      <c r="R19">
        <v>0</v>
      </c>
      <c r="S19" s="194">
        <v>0</v>
      </c>
      <c r="T19" s="194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-3.65</v>
      </c>
      <c r="BG19">
        <f>VLOOKUP($O19,'Table 3 EV2020 Wind_2021'!$B$10:$K$36,10,FALSE)</f>
        <v>-5.7</v>
      </c>
      <c r="BH19">
        <f>VLOOKUP($O19,'Table 3 DJ Wind 2030'!$B$10:$J$36,9,FALSE)</f>
        <v>47.01</v>
      </c>
      <c r="BI19">
        <f>VLOOKUP($O19,'Table 3 ID Wind 2030'!$B$10:$J$36,9,FALSE)</f>
        <v>44.22</v>
      </c>
      <c r="BJ19">
        <f>VLOOKUP($O19,'Table 3 ID Wind 2033'!$B$10:$J$36,9,FALSE)</f>
        <v>44.22</v>
      </c>
      <c r="BK19">
        <f>VLOOKUP($O19,'Table 3 WW Wind 2035'!$B$10:$J$36,9,FALSE)</f>
        <v>44.22</v>
      </c>
      <c r="BL19">
        <f>VLOOKUP($O19,'Table 3 YK Wind 2035'!$B$10:$J$36,9,FALSE)</f>
        <v>44.22</v>
      </c>
      <c r="BM19">
        <f>VLOOKUP($O19,'Table 3 OR Wind 2035'!$B$10:$J$36,9,FALSE)</f>
        <v>44.22</v>
      </c>
      <c r="BN19">
        <f>VLOOKUP($O19,'Table 3 UT Wind 2030'!$B$10:$J$36,9,FALSE)</f>
        <v>44.22</v>
      </c>
      <c r="BO19">
        <f>VLOOKUP($O19,'Table 3 UT Wind 2036'!$B$10:$J$36,9,FALSE)</f>
        <v>44.22</v>
      </c>
      <c r="BP19">
        <f>VLOOKUP($O19,'Table 3 YK Solar 2030'!$B$10:$J$36,9,FALSE)</f>
        <v>22.06</v>
      </c>
      <c r="BQ19">
        <f>VLOOKUP($O19,'Table 3 YK Solar 2032'!$B$10:$J$36,9,FALSE)</f>
        <v>22.06</v>
      </c>
      <c r="BR19">
        <f>VLOOKUP($O19,'Table 3 YK Solar 2033'!$B$10:$J$36,9,FALSE)</f>
        <v>22.06</v>
      </c>
      <c r="BS19">
        <f>VLOOKUP($O19,'Table 3 UT Solar 2033 ST'!$B$10:$J$36,9,FALSE)</f>
        <v>23.17</v>
      </c>
      <c r="BT19">
        <f>VLOOKUP($O19,'Table 3 UT Solar 2035 ST'!$B$10:$J$36,9,FALSE)</f>
        <v>23.17</v>
      </c>
      <c r="BU19">
        <f>VLOOKUP($O19,'Table 3 UT Solar 2035 FT'!$B$10:$J$36,9,FALSE)</f>
        <v>22.03</v>
      </c>
      <c r="BV19">
        <f>VLOOKUP($O19,'Table 3 OR Solar 2030'!$B$10:$J$36,9,FALSE)</f>
        <v>23.21</v>
      </c>
      <c r="BW19">
        <f>VLOOKUP($O19,'Table 3 OR Solar 2031'!$B$10:$J$36,9,FALSE)</f>
        <v>23.21</v>
      </c>
      <c r="BX19">
        <f>VLOOKUP($O19,'Table 3 OR Solar 2032'!$B$10:$J$36,9,FALSE)</f>
        <v>23.21</v>
      </c>
      <c r="BY19">
        <f>VLOOKUP($O19,'Table 3 OR Solar 2033'!$B$10:$J$36,9,FALSE)</f>
        <v>23.21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2024</v>
      </c>
      <c r="CX19" s="90">
        <f>IFERROR(VLOOKUP($CW19,'Table 3 TransCost D2 '!$B$10:$E$34,4,FALSE),0)</f>
        <v>52.12</v>
      </c>
      <c r="CY19" s="194">
        <f t="shared" si="27"/>
        <v>0</v>
      </c>
    </row>
    <row r="20" spans="2:103">
      <c r="B20" s="15">
        <f t="shared" si="25"/>
        <v>2025</v>
      </c>
      <c r="C20" s="9">
        <f t="shared" si="3"/>
        <v>0</v>
      </c>
      <c r="D20" s="45"/>
      <c r="E20" s="9">
        <f t="shared" ca="1" si="26"/>
        <v>12.769930046512654</v>
      </c>
      <c r="F20" s="37"/>
      <c r="G20" s="14">
        <f t="shared" ca="1" si="28"/>
        <v>12.769930046512654</v>
      </c>
      <c r="H20" s="36"/>
      <c r="I20" s="194"/>
      <c r="J20" s="194"/>
      <c r="M20" s="117"/>
      <c r="O20">
        <f t="shared" si="4"/>
        <v>2025</v>
      </c>
      <c r="P20">
        <v>0</v>
      </c>
      <c r="Q20">
        <v>0</v>
      </c>
      <c r="R20">
        <v>0</v>
      </c>
      <c r="S20" s="194">
        <v>0</v>
      </c>
      <c r="T20" s="194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-5.46</v>
      </c>
      <c r="BG20">
        <f>VLOOKUP($O20,'Table 3 EV2020 Wind_2021'!$B$10:$K$36,10,FALSE)</f>
        <v>-7.56</v>
      </c>
      <c r="BH20">
        <f>VLOOKUP($O20,'Table 3 DJ Wind 2030'!$B$10:$J$36,9,FALSE)</f>
        <v>48.1</v>
      </c>
      <c r="BI20">
        <f>VLOOKUP($O20,'Table 3 ID Wind 2030'!$B$10:$J$36,9,FALSE)</f>
        <v>45.24</v>
      </c>
      <c r="BJ20">
        <f>VLOOKUP($O20,'Table 3 ID Wind 2033'!$B$10:$J$36,9,FALSE)</f>
        <v>45.24</v>
      </c>
      <c r="BK20">
        <f>VLOOKUP($O20,'Table 3 WW Wind 2035'!$B$10:$J$36,9,FALSE)</f>
        <v>45.24</v>
      </c>
      <c r="BL20">
        <f>VLOOKUP($O20,'Table 3 YK Wind 2035'!$B$10:$J$36,9,FALSE)</f>
        <v>45.24</v>
      </c>
      <c r="BM20">
        <f>VLOOKUP($O20,'Table 3 OR Wind 2035'!$B$10:$J$36,9,FALSE)</f>
        <v>45.24</v>
      </c>
      <c r="BN20">
        <f>VLOOKUP($O20,'Table 3 UT Wind 2030'!$B$10:$J$36,9,FALSE)</f>
        <v>45.24</v>
      </c>
      <c r="BO20">
        <f>VLOOKUP($O20,'Table 3 UT Wind 2036'!$B$10:$J$36,9,FALSE)</f>
        <v>45.24</v>
      </c>
      <c r="BP20">
        <f>VLOOKUP($O20,'Table 3 YK Solar 2030'!$B$10:$J$36,9,FALSE)</f>
        <v>22.57</v>
      </c>
      <c r="BQ20">
        <f>VLOOKUP($O20,'Table 3 YK Solar 2032'!$B$10:$J$36,9,FALSE)</f>
        <v>22.57</v>
      </c>
      <c r="BR20">
        <f>VLOOKUP($O20,'Table 3 YK Solar 2033'!$B$10:$J$36,9,FALSE)</f>
        <v>22.57</v>
      </c>
      <c r="BS20">
        <f>VLOOKUP($O20,'Table 3 UT Solar 2033 ST'!$B$10:$J$36,9,FALSE)</f>
        <v>23.7</v>
      </c>
      <c r="BT20">
        <f>VLOOKUP($O20,'Table 3 UT Solar 2035 ST'!$B$10:$J$36,9,FALSE)</f>
        <v>23.7</v>
      </c>
      <c r="BU20">
        <f>VLOOKUP($O20,'Table 3 UT Solar 2035 FT'!$B$10:$J$36,9,FALSE)</f>
        <v>22.54</v>
      </c>
      <c r="BV20">
        <f>VLOOKUP($O20,'Table 3 OR Solar 2030'!$B$10:$J$36,9,FALSE)</f>
        <v>23.74</v>
      </c>
      <c r="BW20">
        <f>VLOOKUP($O20,'Table 3 OR Solar 2031'!$B$10:$J$36,9,FALSE)</f>
        <v>23.74</v>
      </c>
      <c r="BX20">
        <f>VLOOKUP($O20,'Table 3 OR Solar 2032'!$B$10:$J$36,9,FALSE)</f>
        <v>23.74</v>
      </c>
      <c r="BY20">
        <f>VLOOKUP($O20,'Table 3 OR Solar 2033'!$B$10:$J$36,9,FALSE)</f>
        <v>23.74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2025</v>
      </c>
      <c r="CX20" s="90">
        <f>IFERROR(VLOOKUP($CW20,'Table 3 TransCost D2 '!$B$10:$E$34,4,FALSE),0)</f>
        <v>53.32</v>
      </c>
      <c r="CY20" s="194">
        <f t="shared" si="27"/>
        <v>0</v>
      </c>
    </row>
    <row r="21" spans="2:103">
      <c r="B21" s="15">
        <f t="shared" si="25"/>
        <v>2026</v>
      </c>
      <c r="C21" s="9">
        <f t="shared" si="3"/>
        <v>0</v>
      </c>
      <c r="D21" s="45"/>
      <c r="E21" s="9">
        <f t="shared" ca="1" si="26"/>
        <v>11.913168629575766</v>
      </c>
      <c r="F21" s="37"/>
      <c r="G21" s="14">
        <f t="shared" ca="1" si="28"/>
        <v>11.913168629575766</v>
      </c>
      <c r="H21" s="36"/>
      <c r="I21" s="194"/>
      <c r="J21" s="194"/>
      <c r="M21" s="117"/>
      <c r="O21">
        <f t="shared" si="4"/>
        <v>2026</v>
      </c>
      <c r="P21">
        <v>0</v>
      </c>
      <c r="Q21">
        <v>0</v>
      </c>
      <c r="R21">
        <v>0</v>
      </c>
      <c r="S21" s="194">
        <v>0</v>
      </c>
      <c r="T21" s="194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-2.8</v>
      </c>
      <c r="BG21">
        <f>VLOOKUP($O21,'Table 3 EV2020 Wind_2021'!$B$10:$K$36,10,FALSE)</f>
        <v>-4.95</v>
      </c>
      <c r="BH21">
        <f>VLOOKUP($O21,'Table 3 DJ Wind 2030'!$B$10:$J$36,9,FALSE)</f>
        <v>49.17</v>
      </c>
      <c r="BI21">
        <f>VLOOKUP($O21,'Table 3 ID Wind 2030'!$B$10:$J$36,9,FALSE)</f>
        <v>46.24</v>
      </c>
      <c r="BJ21">
        <f>VLOOKUP($O21,'Table 3 ID Wind 2033'!$B$10:$J$36,9,FALSE)</f>
        <v>46.24</v>
      </c>
      <c r="BK21">
        <f>VLOOKUP($O21,'Table 3 WW Wind 2035'!$B$10:$J$36,9,FALSE)</f>
        <v>46.24</v>
      </c>
      <c r="BL21">
        <f>VLOOKUP($O21,'Table 3 YK Wind 2035'!$B$10:$J$36,9,FALSE)</f>
        <v>46.24</v>
      </c>
      <c r="BM21">
        <f>VLOOKUP($O21,'Table 3 OR Wind 2035'!$B$10:$J$36,9,FALSE)</f>
        <v>46.24</v>
      </c>
      <c r="BN21">
        <f>VLOOKUP($O21,'Table 3 UT Wind 2030'!$B$10:$J$36,9,FALSE)</f>
        <v>46.24</v>
      </c>
      <c r="BO21">
        <f>VLOOKUP($O21,'Table 3 UT Wind 2036'!$B$10:$J$36,9,FALSE)</f>
        <v>46.24</v>
      </c>
      <c r="BP21">
        <f>VLOOKUP($O21,'Table 3 YK Solar 2030'!$B$10:$J$36,9,FALSE)</f>
        <v>23.07</v>
      </c>
      <c r="BQ21">
        <f>VLOOKUP($O21,'Table 3 YK Solar 2032'!$B$10:$J$36,9,FALSE)</f>
        <v>23.07</v>
      </c>
      <c r="BR21">
        <f>VLOOKUP($O21,'Table 3 YK Solar 2033'!$B$10:$J$36,9,FALSE)</f>
        <v>23.07</v>
      </c>
      <c r="BS21">
        <f>VLOOKUP($O21,'Table 3 UT Solar 2033 ST'!$B$10:$J$36,9,FALSE)</f>
        <v>24.22</v>
      </c>
      <c r="BT21">
        <f>VLOOKUP($O21,'Table 3 UT Solar 2035 ST'!$B$10:$J$36,9,FALSE)</f>
        <v>24.22</v>
      </c>
      <c r="BU21">
        <f>VLOOKUP($O21,'Table 3 UT Solar 2035 FT'!$B$10:$J$36,9,FALSE)</f>
        <v>23.04</v>
      </c>
      <c r="BV21">
        <f>VLOOKUP($O21,'Table 3 OR Solar 2030'!$B$10:$J$36,9,FALSE)</f>
        <v>24.26</v>
      </c>
      <c r="BW21">
        <f>VLOOKUP($O21,'Table 3 OR Solar 2031'!$B$10:$J$36,9,FALSE)</f>
        <v>24.26</v>
      </c>
      <c r="BX21">
        <f>VLOOKUP($O21,'Table 3 OR Solar 2032'!$B$10:$J$36,9,FALSE)</f>
        <v>24.26</v>
      </c>
      <c r="BY21">
        <f>VLOOKUP($O21,'Table 3 OR Solar 2033'!$B$10:$J$36,9,FALSE)</f>
        <v>24.26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2026</v>
      </c>
      <c r="CX21" s="90">
        <f>IFERROR(VLOOKUP($CW21,'Table 3 TransCost D2 '!$B$10:$E$34,4,FALSE),0)</f>
        <v>54.49</v>
      </c>
      <c r="CY21" s="194">
        <f t="shared" si="27"/>
        <v>0</v>
      </c>
    </row>
    <row r="22" spans="2:103">
      <c r="B22" s="15">
        <f t="shared" si="25"/>
        <v>2027</v>
      </c>
      <c r="C22" s="9">
        <f t="shared" si="3"/>
        <v>0</v>
      </c>
      <c r="D22" s="45"/>
      <c r="E22" s="9">
        <f t="shared" ca="1" si="26"/>
        <v>13.766152911019011</v>
      </c>
      <c r="F22" s="37"/>
      <c r="G22" s="14">
        <f t="shared" ca="1" si="28"/>
        <v>13.766152911019011</v>
      </c>
      <c r="H22" s="36"/>
      <c r="I22" s="194"/>
      <c r="J22" s="194"/>
      <c r="M22" s="117"/>
      <c r="O22">
        <f t="shared" si="4"/>
        <v>2027</v>
      </c>
      <c r="P22">
        <v>0</v>
      </c>
      <c r="Q22">
        <v>0</v>
      </c>
      <c r="R22">
        <v>0</v>
      </c>
      <c r="S22" s="194">
        <v>0</v>
      </c>
      <c r="T22" s="194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-4.57</v>
      </c>
      <c r="BG22">
        <f>VLOOKUP($O22,'Table 3 EV2020 Wind_2021'!$B$10:$K$36,10,FALSE)</f>
        <v>-6.77</v>
      </c>
      <c r="BH22">
        <f>VLOOKUP($O22,'Table 3 DJ Wind 2030'!$B$10:$J$36,9,FALSE)</f>
        <v>50.26</v>
      </c>
      <c r="BI22">
        <f>VLOOKUP($O22,'Table 3 ID Wind 2030'!$B$10:$J$36,9,FALSE)</f>
        <v>47.26</v>
      </c>
      <c r="BJ22">
        <f>VLOOKUP($O22,'Table 3 ID Wind 2033'!$B$10:$J$36,9,FALSE)</f>
        <v>47.26</v>
      </c>
      <c r="BK22">
        <f>VLOOKUP($O22,'Table 3 WW Wind 2035'!$B$10:$J$36,9,FALSE)</f>
        <v>47.26</v>
      </c>
      <c r="BL22">
        <f>VLOOKUP($O22,'Table 3 YK Wind 2035'!$B$10:$J$36,9,FALSE)</f>
        <v>47.26</v>
      </c>
      <c r="BM22">
        <f>VLOOKUP($O22,'Table 3 OR Wind 2035'!$B$10:$J$36,9,FALSE)</f>
        <v>47.26</v>
      </c>
      <c r="BN22">
        <f>VLOOKUP($O22,'Table 3 UT Wind 2030'!$B$10:$J$36,9,FALSE)</f>
        <v>47.26</v>
      </c>
      <c r="BO22">
        <f>VLOOKUP($O22,'Table 3 UT Wind 2036'!$B$10:$J$36,9,FALSE)</f>
        <v>47.26</v>
      </c>
      <c r="BP22">
        <f>VLOOKUP($O22,'Table 3 YK Solar 2030'!$B$10:$J$36,9,FALSE)</f>
        <v>23.58</v>
      </c>
      <c r="BQ22">
        <f>VLOOKUP($O22,'Table 3 YK Solar 2032'!$B$10:$J$36,9,FALSE)</f>
        <v>23.58</v>
      </c>
      <c r="BR22">
        <f>VLOOKUP($O22,'Table 3 YK Solar 2033'!$B$10:$J$36,9,FALSE)</f>
        <v>23.58</v>
      </c>
      <c r="BS22">
        <f>VLOOKUP($O22,'Table 3 UT Solar 2033 ST'!$B$10:$J$36,9,FALSE)</f>
        <v>24.75</v>
      </c>
      <c r="BT22">
        <f>VLOOKUP($O22,'Table 3 UT Solar 2035 ST'!$B$10:$J$36,9,FALSE)</f>
        <v>24.75</v>
      </c>
      <c r="BU22">
        <f>VLOOKUP($O22,'Table 3 UT Solar 2035 FT'!$B$10:$J$36,9,FALSE)</f>
        <v>23.55</v>
      </c>
      <c r="BV22">
        <f>VLOOKUP($O22,'Table 3 OR Solar 2030'!$B$10:$J$36,9,FALSE)</f>
        <v>24.79</v>
      </c>
      <c r="BW22">
        <f>VLOOKUP($O22,'Table 3 OR Solar 2031'!$B$10:$J$36,9,FALSE)</f>
        <v>24.79</v>
      </c>
      <c r="BX22">
        <f>VLOOKUP($O22,'Table 3 OR Solar 2032'!$B$10:$J$36,9,FALSE)</f>
        <v>24.79</v>
      </c>
      <c r="BY22">
        <f>VLOOKUP($O22,'Table 3 OR Solar 2033'!$B$10:$J$36,9,FALSE)</f>
        <v>24.79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2027</v>
      </c>
      <c r="CX22" s="90">
        <f>IFERROR(VLOOKUP($CW22,'Table 3 TransCost D2 '!$B$10:$E$34,4,FALSE),0)</f>
        <v>55.69</v>
      </c>
      <c r="CY22" s="194">
        <f t="shared" si="27"/>
        <v>0</v>
      </c>
    </row>
    <row r="23" spans="2:103">
      <c r="B23" s="15">
        <f t="shared" si="25"/>
        <v>2028</v>
      </c>
      <c r="C23" s="9">
        <f t="shared" si="3"/>
        <v>0</v>
      </c>
      <c r="D23" s="45"/>
      <c r="E23" s="9">
        <f t="shared" ca="1" si="26"/>
        <v>16.716479402453071</v>
      </c>
      <c r="F23" s="37"/>
      <c r="G23" s="14">
        <f t="shared" ca="1" si="28"/>
        <v>16.716479402453071</v>
      </c>
      <c r="H23" s="36"/>
      <c r="I23" s="194"/>
      <c r="J23" s="194"/>
      <c r="M23" s="117"/>
      <c r="O23">
        <f t="shared" si="4"/>
        <v>2028</v>
      </c>
      <c r="P23">
        <v>0</v>
      </c>
      <c r="Q23">
        <v>0</v>
      </c>
      <c r="R23">
        <v>0</v>
      </c>
      <c r="S23" s="194">
        <v>0</v>
      </c>
      <c r="T23" s="194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-1.8</v>
      </c>
      <c r="BG23">
        <f>VLOOKUP($O23,'Table 3 EV2020 Wind_2021'!$B$10:$K$36,10,FALSE)</f>
        <v>-4.05</v>
      </c>
      <c r="BH23">
        <f>VLOOKUP($O23,'Table 3 DJ Wind 2030'!$B$10:$J$36,9,FALSE)</f>
        <v>51.38</v>
      </c>
      <c r="BI23">
        <f>VLOOKUP($O23,'Table 3 ID Wind 2030'!$B$10:$J$36,9,FALSE)</f>
        <v>48.3</v>
      </c>
      <c r="BJ23">
        <f>VLOOKUP($O23,'Table 3 ID Wind 2033'!$B$10:$J$36,9,FALSE)</f>
        <v>48.3</v>
      </c>
      <c r="BK23">
        <f>VLOOKUP($O23,'Table 3 WW Wind 2035'!$B$10:$J$36,9,FALSE)</f>
        <v>48.3</v>
      </c>
      <c r="BL23">
        <f>VLOOKUP($O23,'Table 3 YK Wind 2035'!$B$10:$J$36,9,FALSE)</f>
        <v>48.3</v>
      </c>
      <c r="BM23">
        <f>VLOOKUP($O23,'Table 3 OR Wind 2035'!$B$10:$J$36,9,FALSE)</f>
        <v>48.3</v>
      </c>
      <c r="BN23">
        <f>VLOOKUP($O23,'Table 3 UT Wind 2030'!$B$10:$J$36,9,FALSE)</f>
        <v>48.3</v>
      </c>
      <c r="BO23">
        <f>VLOOKUP($O23,'Table 3 UT Wind 2036'!$B$10:$J$36,9,FALSE)</f>
        <v>48.3</v>
      </c>
      <c r="BP23">
        <f>VLOOKUP($O23,'Table 3 YK Solar 2030'!$B$10:$J$36,9,FALSE)</f>
        <v>24.1</v>
      </c>
      <c r="BQ23">
        <f>VLOOKUP($O23,'Table 3 YK Solar 2032'!$B$10:$J$36,9,FALSE)</f>
        <v>24.1</v>
      </c>
      <c r="BR23">
        <f>VLOOKUP($O23,'Table 3 YK Solar 2033'!$B$10:$J$36,9,FALSE)</f>
        <v>24.1</v>
      </c>
      <c r="BS23">
        <f>VLOOKUP($O23,'Table 3 UT Solar 2033 ST'!$B$10:$J$36,9,FALSE)</f>
        <v>25.29</v>
      </c>
      <c r="BT23">
        <f>VLOOKUP($O23,'Table 3 UT Solar 2035 ST'!$B$10:$J$36,9,FALSE)</f>
        <v>25.29</v>
      </c>
      <c r="BU23">
        <f>VLOOKUP($O23,'Table 3 UT Solar 2035 FT'!$B$10:$J$36,9,FALSE)</f>
        <v>24.07</v>
      </c>
      <c r="BV23">
        <f>VLOOKUP($O23,'Table 3 OR Solar 2030'!$B$10:$J$36,9,FALSE)</f>
        <v>25.34</v>
      </c>
      <c r="BW23">
        <f>VLOOKUP($O23,'Table 3 OR Solar 2031'!$B$10:$J$36,9,FALSE)</f>
        <v>25.34</v>
      </c>
      <c r="BX23">
        <f>VLOOKUP($O23,'Table 3 OR Solar 2032'!$B$10:$J$36,9,FALSE)</f>
        <v>25.34</v>
      </c>
      <c r="BY23">
        <f>VLOOKUP($O23,'Table 3 OR Solar 2033'!$B$10:$J$36,9,FALSE)</f>
        <v>25.34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2028</v>
      </c>
      <c r="CX23" s="90">
        <f>IFERROR(VLOOKUP($CW23,'Table 3 TransCost D2 '!$B$10:$E$34,4,FALSE),0)</f>
        <v>56.919999999999995</v>
      </c>
      <c r="CY23" s="194">
        <f t="shared" si="27"/>
        <v>0</v>
      </c>
    </row>
    <row r="24" spans="2:103">
      <c r="B24" s="15">
        <f t="shared" si="25"/>
        <v>2029</v>
      </c>
      <c r="C24" s="9">
        <f t="shared" si="3"/>
        <v>0</v>
      </c>
      <c r="D24" s="45"/>
      <c r="E24" s="9">
        <f t="shared" ca="1" si="26"/>
        <v>19.222737155951382</v>
      </c>
      <c r="F24" s="37"/>
      <c r="G24" s="14">
        <f t="shared" ca="1" si="28"/>
        <v>19.222737155951382</v>
      </c>
      <c r="H24" s="36"/>
      <c r="I24" s="194"/>
      <c r="J24" s="194"/>
      <c r="M24" s="117"/>
      <c r="O24">
        <f t="shared" si="4"/>
        <v>2029</v>
      </c>
      <c r="P24">
        <v>0</v>
      </c>
      <c r="Q24">
        <v>0</v>
      </c>
      <c r="R24">
        <v>0</v>
      </c>
      <c r="S24" s="194">
        <v>0</v>
      </c>
      <c r="T24" s="19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-3.62</v>
      </c>
      <c r="BG24">
        <f>VLOOKUP($O24,'Table 3 EV2020 Wind_2021'!$B$10:$K$36,10,FALSE)</f>
        <v>-5.92</v>
      </c>
      <c r="BH24">
        <f>VLOOKUP($O24,'Table 3 DJ Wind 2030'!$B$10:$J$36,9,FALSE)</f>
        <v>52.46</v>
      </c>
      <c r="BI24">
        <f>VLOOKUP($O24,'Table 3 ID Wind 2030'!$B$10:$J$36,9,FALSE)</f>
        <v>49.31</v>
      </c>
      <c r="BJ24">
        <f>VLOOKUP($O24,'Table 3 ID Wind 2033'!$B$10:$J$36,9,FALSE)</f>
        <v>49.31</v>
      </c>
      <c r="BK24">
        <f>VLOOKUP($O24,'Table 3 WW Wind 2035'!$B$10:$J$36,9,FALSE)</f>
        <v>49.31</v>
      </c>
      <c r="BL24">
        <f>VLOOKUP($O24,'Table 3 YK Wind 2035'!$B$10:$J$36,9,FALSE)</f>
        <v>49.31</v>
      </c>
      <c r="BM24">
        <f>VLOOKUP($O24,'Table 3 OR Wind 2035'!$B$10:$J$36,9,FALSE)</f>
        <v>49.31</v>
      </c>
      <c r="BN24">
        <f>VLOOKUP($O24,'Table 3 UT Wind 2030'!$B$10:$J$36,9,FALSE)</f>
        <v>49.31</v>
      </c>
      <c r="BO24">
        <f>VLOOKUP($O24,'Table 3 UT Wind 2036'!$B$10:$J$36,9,FALSE)</f>
        <v>49.31</v>
      </c>
      <c r="BP24">
        <f>VLOOKUP($O24,'Table 3 YK Solar 2030'!$B$10:$J$36,9,FALSE)</f>
        <v>24.61</v>
      </c>
      <c r="BQ24">
        <f>VLOOKUP($O24,'Table 3 YK Solar 2032'!$B$10:$J$36,9,FALSE)</f>
        <v>24.61</v>
      </c>
      <c r="BR24">
        <f>VLOOKUP($O24,'Table 3 YK Solar 2033'!$B$10:$J$36,9,FALSE)</f>
        <v>24.61</v>
      </c>
      <c r="BS24">
        <f>VLOOKUP($O24,'Table 3 UT Solar 2033 ST'!$B$10:$J$36,9,FALSE)</f>
        <v>25.82</v>
      </c>
      <c r="BT24">
        <f>VLOOKUP($O24,'Table 3 UT Solar 2035 ST'!$B$10:$J$36,9,FALSE)</f>
        <v>25.82</v>
      </c>
      <c r="BU24">
        <f>VLOOKUP($O24,'Table 3 UT Solar 2035 FT'!$B$10:$J$36,9,FALSE)</f>
        <v>24.58</v>
      </c>
      <c r="BV24">
        <f>VLOOKUP($O24,'Table 3 OR Solar 2030'!$B$10:$J$36,9,FALSE)</f>
        <v>25.87</v>
      </c>
      <c r="BW24">
        <f>VLOOKUP($O24,'Table 3 OR Solar 2031'!$B$10:$J$36,9,FALSE)</f>
        <v>25.87</v>
      </c>
      <c r="BX24">
        <f>VLOOKUP($O24,'Table 3 OR Solar 2032'!$B$10:$J$36,9,FALSE)</f>
        <v>25.87</v>
      </c>
      <c r="BY24">
        <f>VLOOKUP($O24,'Table 3 OR Solar 2033'!$B$10:$J$36,9,FALSE)</f>
        <v>25.87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2029</v>
      </c>
      <c r="CX24" s="90">
        <f>IFERROR(VLOOKUP($CW24,'Table 3 TransCost D2 '!$B$10:$E$34,4,FALSE),0)</f>
        <v>58.12</v>
      </c>
      <c r="CY24" s="194">
        <f t="shared" si="27"/>
        <v>0</v>
      </c>
    </row>
    <row r="25" spans="2:103">
      <c r="B25" s="15">
        <f t="shared" si="25"/>
        <v>2030</v>
      </c>
      <c r="C25" s="9">
        <f t="shared" si="3"/>
        <v>0</v>
      </c>
      <c r="D25" s="45"/>
      <c r="E25" s="9">
        <f t="shared" ca="1" si="26"/>
        <v>25.010403841814256</v>
      </c>
      <c r="F25" s="37"/>
      <c r="G25" s="14">
        <f t="shared" ca="1" si="28"/>
        <v>25.010403841814256</v>
      </c>
      <c r="H25" s="36"/>
      <c r="I25" s="194"/>
      <c r="J25" s="194"/>
      <c r="M25" s="117"/>
      <c r="O25">
        <f t="shared" si="4"/>
        <v>2030</v>
      </c>
      <c r="P25">
        <v>0</v>
      </c>
      <c r="Q25">
        <v>0</v>
      </c>
      <c r="R25">
        <v>0</v>
      </c>
      <c r="S25" s="194">
        <v>0</v>
      </c>
      <c r="T25" s="194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17.78</v>
      </c>
      <c r="BG25">
        <f>VLOOKUP($O25,'Table 3 EV2020 Wind_2021'!$B$10:$K$36,10,FALSE)</f>
        <v>-7.85</v>
      </c>
      <c r="BH25">
        <f>VLOOKUP($O25,'Table 3 DJ Wind 2030'!$B$10:$J$36,9,FALSE)</f>
        <v>149.68</v>
      </c>
      <c r="BI25">
        <f>VLOOKUP($O25,'Table 3 ID Wind 2030'!$B$10:$J$36,9,FALSE)</f>
        <v>150.54</v>
      </c>
      <c r="BJ25">
        <f>VLOOKUP($O25,'Table 3 ID Wind 2033'!$B$10:$J$36,9,FALSE)</f>
        <v>50.3</v>
      </c>
      <c r="BK25">
        <f>VLOOKUP($O25,'Table 3 WW Wind 2035'!$B$10:$J$36,9,FALSE)</f>
        <v>50.3</v>
      </c>
      <c r="BL25">
        <f>VLOOKUP($O25,'Table 3 YK Wind 2035'!$B$10:$J$36,9,FALSE)</f>
        <v>50.3</v>
      </c>
      <c r="BM25">
        <f>VLOOKUP($O25,'Table 3 OR Wind 2035'!$B$10:$J$36,9,FALSE)</f>
        <v>50.3</v>
      </c>
      <c r="BN25">
        <f>VLOOKUP($O25,'Table 3 UT Wind 2030'!$B$10:$J$36,9,FALSE)</f>
        <v>145.37</v>
      </c>
      <c r="BO25">
        <f>VLOOKUP($O25,'Table 3 UT Wind 2036'!$B$10:$J$36,9,FALSE)</f>
        <v>50.3</v>
      </c>
      <c r="BP25">
        <f>VLOOKUP($O25,'Table 3 YK Solar 2030'!$B$10:$J$36,9,FALSE)</f>
        <v>117.16</v>
      </c>
      <c r="BQ25">
        <f>VLOOKUP($O25,'Table 3 YK Solar 2032'!$B$10:$J$36,9,FALSE)</f>
        <v>25.1</v>
      </c>
      <c r="BR25">
        <f>VLOOKUP($O25,'Table 3 YK Solar 2033'!$B$10:$J$36,9,FALSE)</f>
        <v>25.1</v>
      </c>
      <c r="BS25">
        <f>VLOOKUP($O25,'Table 3 UT Solar 2033 ST'!$B$10:$J$36,9,FALSE)</f>
        <v>26.34</v>
      </c>
      <c r="BT25">
        <f>VLOOKUP($O25,'Table 3 UT Solar 2035 ST'!$B$10:$J$36,9,FALSE)</f>
        <v>26.34</v>
      </c>
      <c r="BU25">
        <f>VLOOKUP($O25,'Table 3 UT Solar 2035 FT'!$B$10:$J$36,9,FALSE)</f>
        <v>25.07</v>
      </c>
      <c r="BV25">
        <f>VLOOKUP($O25,'Table 3 OR Solar 2030'!$B$10:$J$36,9,FALSE)</f>
        <v>120.22</v>
      </c>
      <c r="BW25">
        <f>VLOOKUP($O25,'Table 3 OR Solar 2031'!$B$10:$J$36,9,FALSE)</f>
        <v>26.39</v>
      </c>
      <c r="BX25">
        <f>VLOOKUP($O25,'Table 3 OR Solar 2032'!$B$10:$J$36,9,FALSE)</f>
        <v>26.39</v>
      </c>
      <c r="BY25">
        <f>VLOOKUP($O25,'Table 3 OR Solar 2033'!$B$10:$J$36,9,FALSE)</f>
        <v>26.39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2030</v>
      </c>
      <c r="CX25" s="90">
        <f>IFERROR(VLOOKUP($CW25,'Table 3 TransCost D2 '!$B$10:$E$34,4,FALSE),0)</f>
        <v>59.28</v>
      </c>
      <c r="CY25" s="194">
        <f t="shared" si="27"/>
        <v>0</v>
      </c>
    </row>
    <row r="26" spans="2:103">
      <c r="B26" s="15">
        <f t="shared" si="25"/>
        <v>2031</v>
      </c>
      <c r="C26" s="9">
        <f t="shared" si="3"/>
        <v>0</v>
      </c>
      <c r="D26" s="45"/>
      <c r="E26" s="9">
        <f t="shared" ca="1" si="26"/>
        <v>28.398906000791179</v>
      </c>
      <c r="F26" s="37"/>
      <c r="G26" s="14">
        <f t="shared" ca="1" si="28"/>
        <v>28.398906000791179</v>
      </c>
      <c r="H26" s="36"/>
      <c r="I26" s="194"/>
      <c r="J26" s="194"/>
      <c r="M26" s="117"/>
      <c r="O26">
        <f t="shared" si="4"/>
        <v>2031</v>
      </c>
      <c r="P26">
        <v>0</v>
      </c>
      <c r="Q26">
        <v>0</v>
      </c>
      <c r="R26">
        <v>0</v>
      </c>
      <c r="S26" s="194">
        <v>0</v>
      </c>
      <c r="T26" s="194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136.88999999999999</v>
      </c>
      <c r="BG26">
        <f>VLOOKUP($O26,'Table 3 EV2020 Wind_2021'!$B$10:$K$36,10,FALSE)</f>
        <v>134.5</v>
      </c>
      <c r="BH26">
        <f>VLOOKUP($O26,'Table 3 DJ Wind 2030'!$B$10:$J$36,9,FALSE)</f>
        <v>152.69</v>
      </c>
      <c r="BI26">
        <f>VLOOKUP($O26,'Table 3 ID Wind 2030'!$B$10:$J$36,9,FALSE)</f>
        <v>153.56</v>
      </c>
      <c r="BJ26">
        <f>VLOOKUP($O26,'Table 3 ID Wind 2033'!$B$10:$J$36,9,FALSE)</f>
        <v>51.31</v>
      </c>
      <c r="BK26">
        <f>VLOOKUP($O26,'Table 3 WW Wind 2035'!$B$10:$J$36,9,FALSE)</f>
        <v>51.31</v>
      </c>
      <c r="BL26">
        <f>VLOOKUP($O26,'Table 3 YK Wind 2035'!$B$10:$J$36,9,FALSE)</f>
        <v>51.31</v>
      </c>
      <c r="BM26">
        <f>VLOOKUP($O26,'Table 3 OR Wind 2035'!$B$10:$J$36,9,FALSE)</f>
        <v>51.31</v>
      </c>
      <c r="BN26">
        <f>VLOOKUP($O26,'Table 3 UT Wind 2030'!$B$10:$J$36,9,FALSE)</f>
        <v>145.37</v>
      </c>
      <c r="BO26">
        <f>VLOOKUP($O26,'Table 3 UT Wind 2036'!$B$10:$J$36,9,FALSE)</f>
        <v>51.31</v>
      </c>
      <c r="BP26">
        <f>VLOOKUP($O26,'Table 3 YK Solar 2030'!$B$10:$J$36,9,FALSE)</f>
        <v>119.5</v>
      </c>
      <c r="BQ26">
        <f>VLOOKUP($O26,'Table 3 YK Solar 2032'!$B$10:$J$36,9,FALSE)</f>
        <v>25.6</v>
      </c>
      <c r="BR26">
        <f>VLOOKUP($O26,'Table 3 YK Solar 2033'!$B$10:$J$36,9,FALSE)</f>
        <v>25.6</v>
      </c>
      <c r="BS26">
        <f>VLOOKUP($O26,'Table 3 UT Solar 2033 ST'!$B$10:$J$36,9,FALSE)</f>
        <v>26.87</v>
      </c>
      <c r="BT26">
        <f>VLOOKUP($O26,'Table 3 UT Solar 2035 ST'!$B$10:$J$36,9,FALSE)</f>
        <v>26.87</v>
      </c>
      <c r="BU26">
        <f>VLOOKUP($O26,'Table 3 UT Solar 2035 FT'!$B$10:$J$36,9,FALSE)</f>
        <v>25.57</v>
      </c>
      <c r="BV26">
        <f>VLOOKUP($O26,'Table 3 OR Solar 2030'!$B$10:$J$36,9,FALSE)</f>
        <v>122.62</v>
      </c>
      <c r="BW26">
        <f>VLOOKUP($O26,'Table 3 OR Solar 2031'!$B$10:$J$36,9,FALSE)</f>
        <v>120.21</v>
      </c>
      <c r="BX26">
        <f>VLOOKUP($O26,'Table 3 OR Solar 2032'!$B$10:$J$36,9,FALSE)</f>
        <v>26.92</v>
      </c>
      <c r="BY26">
        <f>VLOOKUP($O26,'Table 3 OR Solar 2033'!$B$10:$J$36,9,FALSE)</f>
        <v>26.92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2031</v>
      </c>
      <c r="CX26" s="90">
        <f>IFERROR(VLOOKUP($CW26,'Table 3 TransCost D2 '!$B$10:$E$34,4,FALSE),0)</f>
        <v>60.47</v>
      </c>
      <c r="CY26" s="194">
        <f t="shared" si="27"/>
        <v>0</v>
      </c>
    </row>
    <row r="27" spans="2:103">
      <c r="B27" s="15">
        <f t="shared" si="25"/>
        <v>2032</v>
      </c>
      <c r="C27" s="9">
        <f t="shared" si="3"/>
        <v>0</v>
      </c>
      <c r="D27" s="45"/>
      <c r="E27" s="9">
        <f t="shared" ca="1" si="26"/>
        <v>28.009015808556573</v>
      </c>
      <c r="F27" s="37"/>
      <c r="G27" s="14">
        <f t="shared" ca="1" si="28"/>
        <v>28.009015808556573</v>
      </c>
      <c r="H27" s="36"/>
      <c r="I27" s="194"/>
      <c r="J27" s="194"/>
      <c r="M27" s="117"/>
      <c r="O27">
        <f t="shared" si="4"/>
        <v>2032</v>
      </c>
      <c r="P27">
        <v>0</v>
      </c>
      <c r="Q27">
        <v>0</v>
      </c>
      <c r="R27">
        <v>0</v>
      </c>
      <c r="S27" s="194">
        <v>0</v>
      </c>
      <c r="T27" s="194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139.62</v>
      </c>
      <c r="BG27">
        <f>VLOOKUP($O27,'Table 3 EV2020 Wind_2021'!$B$10:$K$36,10,FALSE)</f>
        <v>137.18</v>
      </c>
      <c r="BH27">
        <f>VLOOKUP($O27,'Table 3 DJ Wind 2030'!$B$10:$J$36,9,FALSE)</f>
        <v>155.75</v>
      </c>
      <c r="BI27">
        <f>VLOOKUP($O27,'Table 3 ID Wind 2030'!$B$10:$J$36,9,FALSE)</f>
        <v>156.63999999999999</v>
      </c>
      <c r="BJ27">
        <f>VLOOKUP($O27,'Table 3 ID Wind 2033'!$B$10:$J$36,9,FALSE)</f>
        <v>52.34</v>
      </c>
      <c r="BK27">
        <f>VLOOKUP($O27,'Table 3 WW Wind 2035'!$B$10:$J$36,9,FALSE)</f>
        <v>52.34</v>
      </c>
      <c r="BL27">
        <f>VLOOKUP($O27,'Table 3 YK Wind 2035'!$B$10:$J$36,9,FALSE)</f>
        <v>52.34</v>
      </c>
      <c r="BM27">
        <f>VLOOKUP($O27,'Table 3 OR Wind 2035'!$B$10:$J$36,9,FALSE)</f>
        <v>52.34</v>
      </c>
      <c r="BN27">
        <f>VLOOKUP($O27,'Table 3 UT Wind 2030'!$B$10:$J$36,9,FALSE)</f>
        <v>145.37</v>
      </c>
      <c r="BO27">
        <f>VLOOKUP($O27,'Table 3 UT Wind 2036'!$B$10:$J$36,9,FALSE)</f>
        <v>52.34</v>
      </c>
      <c r="BP27">
        <f>VLOOKUP($O27,'Table 3 YK Solar 2030'!$B$10:$J$36,9,FALSE)</f>
        <v>121.89</v>
      </c>
      <c r="BQ27">
        <f>VLOOKUP($O27,'Table 3 YK Solar 2032'!$B$10:$J$36,9,FALSE)</f>
        <v>117.12</v>
      </c>
      <c r="BR27">
        <f>VLOOKUP($O27,'Table 3 YK Solar 2033'!$B$10:$J$36,9,FALSE)</f>
        <v>26.11</v>
      </c>
      <c r="BS27">
        <f>VLOOKUP($O27,'Table 3 UT Solar 2033 ST'!$B$10:$J$36,9,FALSE)</f>
        <v>27.41</v>
      </c>
      <c r="BT27">
        <f>VLOOKUP($O27,'Table 3 UT Solar 2035 ST'!$B$10:$J$36,9,FALSE)</f>
        <v>27.41</v>
      </c>
      <c r="BU27">
        <f>VLOOKUP($O27,'Table 3 UT Solar 2035 FT'!$B$10:$J$36,9,FALSE)</f>
        <v>26.08</v>
      </c>
      <c r="BV27">
        <f>VLOOKUP($O27,'Table 3 OR Solar 2030'!$B$10:$J$36,9,FALSE)</f>
        <v>125.07</v>
      </c>
      <c r="BW27">
        <f>VLOOKUP($O27,'Table 3 OR Solar 2031'!$B$10:$J$36,9,FALSE)</f>
        <v>122.62</v>
      </c>
      <c r="BX27">
        <f>VLOOKUP($O27,'Table 3 OR Solar 2032'!$B$10:$J$36,9,FALSE)</f>
        <v>120.22</v>
      </c>
      <c r="BY27">
        <f>VLOOKUP($O27,'Table 3 OR Solar 2033'!$B$10:$J$36,9,FALSE)</f>
        <v>27.46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2032</v>
      </c>
      <c r="CX27" s="90">
        <f>IFERROR(VLOOKUP($CW27,'Table 3 TransCost D2 '!$B$10:$E$34,4,FALSE),0)</f>
        <v>61.68</v>
      </c>
      <c r="CY27" s="194">
        <f t="shared" si="27"/>
        <v>0</v>
      </c>
    </row>
    <row r="28" spans="2:103">
      <c r="B28" s="15">
        <f t="shared" si="25"/>
        <v>2033</v>
      </c>
      <c r="C28" s="9">
        <f t="shared" si="3"/>
        <v>0</v>
      </c>
      <c r="D28" s="45"/>
      <c r="E28" s="9">
        <f t="shared" ca="1" si="26"/>
        <v>29.077872254497617</v>
      </c>
      <c r="F28" s="37"/>
      <c r="G28" s="14">
        <f t="shared" ca="1" si="28"/>
        <v>29.077872254497617</v>
      </c>
      <c r="H28" s="36"/>
      <c r="I28" s="194"/>
      <c r="J28" s="194"/>
      <c r="M28" s="117"/>
      <c r="O28">
        <f t="shared" si="4"/>
        <v>2033</v>
      </c>
      <c r="P28">
        <v>0</v>
      </c>
      <c r="Q28">
        <v>0</v>
      </c>
      <c r="R28">
        <v>0</v>
      </c>
      <c r="S28" s="194">
        <v>0</v>
      </c>
      <c r="T28" s="194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142.4</v>
      </c>
      <c r="BG28">
        <f>VLOOKUP($O28,'Table 3 EV2020 Wind_2021'!$B$10:$K$36,10,FALSE)</f>
        <v>139.91</v>
      </c>
      <c r="BH28">
        <f>VLOOKUP($O28,'Table 3 DJ Wind 2030'!$B$10:$J$36,9,FALSE)</f>
        <v>158.88</v>
      </c>
      <c r="BI28">
        <f>VLOOKUP($O28,'Table 3 ID Wind 2030'!$B$10:$J$36,9,FALSE)</f>
        <v>159.78</v>
      </c>
      <c r="BJ28">
        <f>VLOOKUP($O28,'Table 3 ID Wind 2033'!$B$10:$J$36,9,FALSE)</f>
        <v>154.30000000000001</v>
      </c>
      <c r="BK28">
        <f>VLOOKUP($O28,'Table 3 WW Wind 2035'!$B$10:$J$36,9,FALSE)</f>
        <v>53.39</v>
      </c>
      <c r="BL28">
        <f>VLOOKUP($O28,'Table 3 YK Wind 2035'!$B$10:$J$36,9,FALSE)</f>
        <v>53.39</v>
      </c>
      <c r="BM28">
        <f>VLOOKUP($O28,'Table 3 OR Wind 2035'!$B$10:$J$36,9,FALSE)</f>
        <v>53.39</v>
      </c>
      <c r="BN28">
        <f>VLOOKUP($O28,'Table 3 UT Wind 2030'!$B$10:$J$36,9,FALSE)</f>
        <v>145.37</v>
      </c>
      <c r="BO28">
        <f>VLOOKUP($O28,'Table 3 UT Wind 2036'!$B$10:$J$36,9,FALSE)</f>
        <v>53.39</v>
      </c>
      <c r="BP28">
        <f>VLOOKUP($O28,'Table 3 YK Solar 2030'!$B$10:$J$36,9,FALSE)</f>
        <v>124.33</v>
      </c>
      <c r="BQ28">
        <f>VLOOKUP($O28,'Table 3 YK Solar 2032'!$B$10:$J$36,9,FALSE)</f>
        <v>119.46</v>
      </c>
      <c r="BR28">
        <f>VLOOKUP($O28,'Table 3 YK Solar 2033'!$B$10:$J$36,9,FALSE)</f>
        <v>117.12</v>
      </c>
      <c r="BS28">
        <f>VLOOKUP($O28,'Table 3 UT Solar 2033 ST'!$B$10:$J$36,9,FALSE)</f>
        <v>117.96</v>
      </c>
      <c r="BT28">
        <f>VLOOKUP($O28,'Table 3 UT Solar 2035 ST'!$B$10:$J$36,9,FALSE)</f>
        <v>27.96</v>
      </c>
      <c r="BU28">
        <f>VLOOKUP($O28,'Table 3 UT Solar 2035 FT'!$B$10:$J$36,9,FALSE)</f>
        <v>26.6</v>
      </c>
      <c r="BV28">
        <f>VLOOKUP($O28,'Table 3 OR Solar 2030'!$B$10:$J$36,9,FALSE)</f>
        <v>127.57</v>
      </c>
      <c r="BW28">
        <f>VLOOKUP($O28,'Table 3 OR Solar 2031'!$B$10:$J$36,9,FALSE)</f>
        <v>125.07</v>
      </c>
      <c r="BX28">
        <f>VLOOKUP($O28,'Table 3 OR Solar 2032'!$B$10:$J$36,9,FALSE)</f>
        <v>122.62</v>
      </c>
      <c r="BY28">
        <f>VLOOKUP($O28,'Table 3 OR Solar 2033'!$B$10:$J$36,9,FALSE)</f>
        <v>120.24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2033</v>
      </c>
      <c r="CX28" s="90">
        <f>IFERROR(VLOOKUP($CW28,'Table 3 TransCost D2 '!$B$10:$E$34,4,FALSE),0)</f>
        <v>62.91</v>
      </c>
      <c r="CY28" s="194">
        <f t="shared" si="27"/>
        <v>0</v>
      </c>
    </row>
    <row r="29" spans="2:103">
      <c r="B29" s="15">
        <f t="shared" si="25"/>
        <v>2034</v>
      </c>
      <c r="C29" s="9">
        <f t="shared" si="3"/>
        <v>0</v>
      </c>
      <c r="D29" s="45"/>
      <c r="E29" s="9">
        <f t="shared" ca="1" si="26"/>
        <v>29.376770136983613</v>
      </c>
      <c r="F29" s="37"/>
      <c r="G29" s="14">
        <f t="shared" ca="1" si="28"/>
        <v>29.376770136983613</v>
      </c>
      <c r="H29" s="36"/>
      <c r="I29" s="194"/>
      <c r="J29" s="194"/>
      <c r="M29" s="117"/>
      <c r="O29">
        <f t="shared" si="4"/>
        <v>2034</v>
      </c>
      <c r="P29">
        <v>0</v>
      </c>
      <c r="Q29">
        <v>0</v>
      </c>
      <c r="R29">
        <v>0</v>
      </c>
      <c r="S29" s="194">
        <v>0</v>
      </c>
      <c r="T29" s="194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145.22999999999999</v>
      </c>
      <c r="BG29">
        <f>VLOOKUP($O29,'Table 3 EV2020 Wind_2021'!$B$10:$K$36,10,FALSE)</f>
        <v>142.69</v>
      </c>
      <c r="BH29">
        <f>VLOOKUP($O29,'Table 3 DJ Wind 2030'!$B$10:$J$36,9,FALSE)</f>
        <v>162.06</v>
      </c>
      <c r="BI29">
        <f>VLOOKUP($O29,'Table 3 ID Wind 2030'!$B$10:$J$36,9,FALSE)</f>
        <v>162.97999999999999</v>
      </c>
      <c r="BJ29">
        <f>VLOOKUP($O29,'Table 3 ID Wind 2033'!$B$10:$J$36,9,FALSE)</f>
        <v>157.38999999999999</v>
      </c>
      <c r="BK29">
        <f>VLOOKUP($O29,'Table 3 WW Wind 2035'!$B$10:$J$36,9,FALSE)</f>
        <v>54.46</v>
      </c>
      <c r="BL29">
        <f>VLOOKUP($O29,'Table 3 YK Wind 2035'!$B$10:$J$36,9,FALSE)</f>
        <v>54.46</v>
      </c>
      <c r="BM29">
        <f>VLOOKUP($O29,'Table 3 OR Wind 2035'!$B$10:$J$36,9,FALSE)</f>
        <v>54.46</v>
      </c>
      <c r="BN29">
        <f>VLOOKUP($O29,'Table 3 UT Wind 2030'!$B$10:$J$36,9,FALSE)</f>
        <v>145.37</v>
      </c>
      <c r="BO29">
        <f>VLOOKUP($O29,'Table 3 UT Wind 2036'!$B$10:$J$36,9,FALSE)</f>
        <v>54.46</v>
      </c>
      <c r="BP29">
        <f>VLOOKUP($O29,'Table 3 YK Solar 2030'!$B$10:$J$36,9,FALSE)</f>
        <v>126.81</v>
      </c>
      <c r="BQ29">
        <f>VLOOKUP($O29,'Table 3 YK Solar 2032'!$B$10:$J$36,9,FALSE)</f>
        <v>121.85</v>
      </c>
      <c r="BR29">
        <f>VLOOKUP($O29,'Table 3 YK Solar 2033'!$B$10:$J$36,9,FALSE)</f>
        <v>119.46</v>
      </c>
      <c r="BS29">
        <f>VLOOKUP($O29,'Table 3 UT Solar 2033 ST'!$B$10:$J$36,9,FALSE)</f>
        <v>120.32</v>
      </c>
      <c r="BT29">
        <f>VLOOKUP($O29,'Table 3 UT Solar 2035 ST'!$B$10:$J$36,9,FALSE)</f>
        <v>28.52</v>
      </c>
      <c r="BU29">
        <f>VLOOKUP($O29,'Table 3 UT Solar 2035 FT'!$B$10:$J$36,9,FALSE)</f>
        <v>27.13</v>
      </c>
      <c r="BV29">
        <f>VLOOKUP($O29,'Table 3 OR Solar 2030'!$B$10:$J$36,9,FALSE)</f>
        <v>130.12</v>
      </c>
      <c r="BW29">
        <f>VLOOKUP($O29,'Table 3 OR Solar 2031'!$B$10:$J$36,9,FALSE)</f>
        <v>127.57</v>
      </c>
      <c r="BX29">
        <f>VLOOKUP($O29,'Table 3 OR Solar 2032'!$B$10:$J$36,9,FALSE)</f>
        <v>125.07</v>
      </c>
      <c r="BY29">
        <f>VLOOKUP($O29,'Table 3 OR Solar 2033'!$B$10:$J$36,9,FALSE)</f>
        <v>122.64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2034</v>
      </c>
      <c r="CX29" s="90">
        <f>IFERROR(VLOOKUP($CW29,'Table 3 TransCost D2 '!$B$10:$E$34,4,FALSE),0)</f>
        <v>64.17</v>
      </c>
      <c r="CY29" s="194">
        <f t="shared" si="27"/>
        <v>0</v>
      </c>
    </row>
    <row r="30" spans="2:103">
      <c r="B30" s="15">
        <f t="shared" si="25"/>
        <v>2035</v>
      </c>
      <c r="C30" s="9">
        <f t="shared" si="3"/>
        <v>0</v>
      </c>
      <c r="D30" s="45"/>
      <c r="E30" s="9">
        <f t="shared" ca="1" si="26"/>
        <v>32.853535978074888</v>
      </c>
      <c r="F30" s="37"/>
      <c r="G30" s="14">
        <f t="shared" ca="1" si="28"/>
        <v>32.853535978074888</v>
      </c>
      <c r="H30" s="36"/>
      <c r="I30" s="194"/>
      <c r="J30" s="194"/>
      <c r="M30" s="117"/>
      <c r="O30">
        <f t="shared" si="4"/>
        <v>2035</v>
      </c>
      <c r="P30">
        <v>0</v>
      </c>
      <c r="Q30">
        <v>0</v>
      </c>
      <c r="R30">
        <v>0</v>
      </c>
      <c r="S30" s="194">
        <v>0</v>
      </c>
      <c r="T30" s="194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148.11000000000001</v>
      </c>
      <c r="BG30">
        <f>VLOOKUP($O30,'Table 3 EV2020 Wind_2021'!$B$10:$K$36,10,FALSE)</f>
        <v>145.52000000000001</v>
      </c>
      <c r="BH30">
        <f>VLOOKUP($O30,'Table 3 DJ Wind 2030'!$B$10:$J$36,9,FALSE)</f>
        <v>165.3</v>
      </c>
      <c r="BI30">
        <f>VLOOKUP($O30,'Table 3 ID Wind 2030'!$B$10:$J$36,9,FALSE)</f>
        <v>164.07</v>
      </c>
      <c r="BJ30">
        <f>VLOOKUP($O30,'Table 3 ID Wind 2033'!$B$10:$J$36,9,FALSE)</f>
        <v>160.54</v>
      </c>
      <c r="BK30">
        <f>VLOOKUP($O30,'Table 3 WW Wind 2035'!$B$10:$J$36,9,FALSE)</f>
        <v>156.27000000000001</v>
      </c>
      <c r="BL30">
        <f>VLOOKUP($O30,'Table 3 YK Wind 2035'!$B$10:$J$36,9,FALSE)</f>
        <v>156.27000000000001</v>
      </c>
      <c r="BM30">
        <f>VLOOKUP($O30,'Table 3 OR Wind 2035'!$B$10:$J$36,9,FALSE)</f>
        <v>154.83000000000001</v>
      </c>
      <c r="BN30">
        <f>VLOOKUP($O30,'Table 3 UT Wind 2030'!$B$10:$J$36,9,FALSE)</f>
        <v>148.28</v>
      </c>
      <c r="BO30">
        <f>VLOOKUP($O30,'Table 3 UT Wind 2036'!$B$10:$J$36,9,FALSE)</f>
        <v>55.55</v>
      </c>
      <c r="BP30">
        <f>VLOOKUP($O30,'Table 3 YK Solar 2030'!$B$10:$J$36,9,FALSE)</f>
        <v>129.34</v>
      </c>
      <c r="BQ30">
        <f>VLOOKUP($O30,'Table 3 YK Solar 2032'!$B$10:$J$36,9,FALSE)</f>
        <v>124.28</v>
      </c>
      <c r="BR30">
        <f>VLOOKUP($O30,'Table 3 YK Solar 2033'!$B$10:$J$36,9,FALSE)</f>
        <v>121.85</v>
      </c>
      <c r="BS30">
        <f>VLOOKUP($O30,'Table 3 UT Solar 2033 ST'!$B$10:$J$36,9,FALSE)</f>
        <v>122.73</v>
      </c>
      <c r="BT30">
        <f>VLOOKUP($O30,'Table 3 UT Solar 2035 ST'!$B$10:$J$36,9,FALSE)</f>
        <v>118.07</v>
      </c>
      <c r="BU30">
        <f>VLOOKUP($O30,'Table 3 UT Solar 2035 FT'!$B$10:$J$36,9,FALSE)</f>
        <v>114.83</v>
      </c>
      <c r="BV30">
        <f>VLOOKUP($O30,'Table 3 OR Solar 2030'!$B$10:$J$36,9,FALSE)</f>
        <v>132.72</v>
      </c>
      <c r="BW30">
        <f>VLOOKUP($O30,'Table 3 OR Solar 2031'!$B$10:$J$36,9,FALSE)</f>
        <v>130.12</v>
      </c>
      <c r="BX30">
        <f>VLOOKUP($O30,'Table 3 OR Solar 2032'!$B$10:$J$36,9,FALSE)</f>
        <v>127.57</v>
      </c>
      <c r="BY30">
        <f>VLOOKUP($O30,'Table 3 OR Solar 2033'!$B$10:$J$36,9,FALSE)</f>
        <v>125.09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2035</v>
      </c>
      <c r="CX30" s="90">
        <f>IFERROR(VLOOKUP($CW30,'Table 3 TransCost D2 '!$B$10:$E$34,4,FALSE),0)</f>
        <v>65.45</v>
      </c>
      <c r="CY30" s="194">
        <f t="shared" si="27"/>
        <v>0</v>
      </c>
    </row>
    <row r="31" spans="2:103">
      <c r="B31" s="15">
        <f t="shared" si="25"/>
        <v>2036</v>
      </c>
      <c r="C31" s="9">
        <f t="shared" si="3"/>
        <v>0</v>
      </c>
      <c r="D31" s="45"/>
      <c r="E31" s="9">
        <f t="shared" ca="1" si="26"/>
        <v>36.531876383332609</v>
      </c>
      <c r="F31" s="37"/>
      <c r="G31" s="14">
        <f t="shared" ca="1" si="28"/>
        <v>36.531876383332609</v>
      </c>
      <c r="H31" s="36"/>
      <c r="I31" s="194"/>
      <c r="J31" s="194"/>
      <c r="M31" s="117"/>
      <c r="O31">
        <f t="shared" si="4"/>
        <v>2036</v>
      </c>
      <c r="P31">
        <v>0</v>
      </c>
      <c r="Q31">
        <v>0</v>
      </c>
      <c r="R31">
        <v>0</v>
      </c>
      <c r="S31" s="194">
        <v>0</v>
      </c>
      <c r="T31" s="194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151.06</v>
      </c>
      <c r="BG31">
        <f>VLOOKUP($O31,'Table 3 EV2020 Wind_2021'!$B$10:$K$36,10,FALSE)</f>
        <v>148.41</v>
      </c>
      <c r="BH31">
        <f>VLOOKUP($O31,'Table 3 DJ Wind 2030'!$B$10:$J$36,9,FALSE)</f>
        <v>168.6</v>
      </c>
      <c r="BI31">
        <f>VLOOKUP($O31,'Table 3 ID Wind 2030'!$B$10:$J$36,9,FALSE)</f>
        <v>165.18</v>
      </c>
      <c r="BJ31">
        <f>VLOOKUP($O31,'Table 3 ID Wind 2033'!$B$10:$J$36,9,FALSE)</f>
        <v>163.75</v>
      </c>
      <c r="BK31">
        <f>VLOOKUP($O31,'Table 3 WW Wind 2035'!$B$10:$J$36,9,FALSE)</f>
        <v>159.4</v>
      </c>
      <c r="BL31">
        <f>VLOOKUP($O31,'Table 3 YK Wind 2035'!$B$10:$J$36,9,FALSE)</f>
        <v>159.4</v>
      </c>
      <c r="BM31">
        <f>VLOOKUP($O31,'Table 3 OR Wind 2035'!$B$10:$J$36,9,FALSE)</f>
        <v>157.91999999999999</v>
      </c>
      <c r="BN31">
        <f>VLOOKUP($O31,'Table 3 UT Wind 2030'!$B$10:$J$36,9,FALSE)</f>
        <v>151.25</v>
      </c>
      <c r="BO31">
        <f>VLOOKUP($O31,'Table 3 UT Wind 2036'!$B$10:$J$36,9,FALSE)</f>
        <v>153.99</v>
      </c>
      <c r="BP31">
        <f>VLOOKUP($O31,'Table 3 YK Solar 2030'!$B$10:$J$36,9,FALSE)</f>
        <v>131.91999999999999</v>
      </c>
      <c r="BQ31">
        <f>VLOOKUP($O31,'Table 3 YK Solar 2032'!$B$10:$J$36,9,FALSE)</f>
        <v>126.76</v>
      </c>
      <c r="BR31">
        <f>VLOOKUP($O31,'Table 3 YK Solar 2033'!$B$10:$J$36,9,FALSE)</f>
        <v>124.28</v>
      </c>
      <c r="BS31">
        <f>VLOOKUP($O31,'Table 3 UT Solar 2033 ST'!$B$10:$J$36,9,FALSE)</f>
        <v>125.18</v>
      </c>
      <c r="BT31">
        <f>VLOOKUP($O31,'Table 3 UT Solar 2035 ST'!$B$10:$J$36,9,FALSE)</f>
        <v>120.43</v>
      </c>
      <c r="BU31">
        <f>VLOOKUP($O31,'Table 3 UT Solar 2035 FT'!$B$10:$J$36,9,FALSE)</f>
        <v>117.12</v>
      </c>
      <c r="BV31">
        <f>VLOOKUP($O31,'Table 3 OR Solar 2030'!$B$10:$J$36,9,FALSE)</f>
        <v>135.37</v>
      </c>
      <c r="BW31">
        <f>VLOOKUP($O31,'Table 3 OR Solar 2031'!$B$10:$J$36,9,FALSE)</f>
        <v>132.72</v>
      </c>
      <c r="BX31">
        <f>VLOOKUP($O31,'Table 3 OR Solar 2032'!$B$10:$J$36,9,FALSE)</f>
        <v>130.12</v>
      </c>
      <c r="BY31">
        <f>VLOOKUP($O31,'Table 3 OR Solar 2033'!$B$10:$J$36,9,FALSE)</f>
        <v>127.59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2036</v>
      </c>
      <c r="CX31" s="90">
        <f>IFERROR(VLOOKUP($CW31,'Table 3 TransCost D2 '!$B$10:$E$34,4,FALSE),0)</f>
        <v>66.760000000000005</v>
      </c>
      <c r="CY31" s="194">
        <f t="shared" si="27"/>
        <v>0</v>
      </c>
    </row>
    <row r="32" spans="2:103" hidden="1">
      <c r="B32" s="15">
        <f t="shared" si="25"/>
        <v>2037</v>
      </c>
      <c r="C32" s="9">
        <f t="shared" si="3"/>
        <v>0</v>
      </c>
      <c r="D32" s="45"/>
      <c r="E32" s="9">
        <f t="shared" ca="1" si="26"/>
        <v>37.323047920263321</v>
      </c>
      <c r="F32" s="37"/>
      <c r="G32" s="14">
        <f t="shared" ca="1" si="28"/>
        <v>37.323047920263321</v>
      </c>
      <c r="H32" s="36"/>
      <c r="I32" s="194"/>
      <c r="J32" s="194"/>
      <c r="M32" s="117"/>
      <c r="O32">
        <f t="shared" si="4"/>
        <v>2037</v>
      </c>
      <c r="P32">
        <v>0</v>
      </c>
      <c r="Q32">
        <v>0</v>
      </c>
      <c r="R32">
        <v>0</v>
      </c>
      <c r="S32" s="194">
        <v>0</v>
      </c>
      <c r="T32" s="194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154.25</v>
      </c>
      <c r="BG32">
        <f>VLOOKUP($O32,'Table 3 EV2020 Wind_2021'!$B$10:$K$36,10,FALSE)</f>
        <v>151.54</v>
      </c>
      <c r="BH32">
        <f>VLOOKUP($O32,'Table 3 DJ Wind 2030'!$B$10:$J$36,9,FALSE)</f>
        <v>172.14</v>
      </c>
      <c r="BI32">
        <f>VLOOKUP($O32,'Table 3 ID Wind 2030'!$B$10:$J$36,9,FALSE)</f>
        <v>166.37</v>
      </c>
      <c r="BJ32">
        <f>VLOOKUP($O32,'Table 3 ID Wind 2033'!$B$10:$J$36,9,FALSE)</f>
        <v>167.19</v>
      </c>
      <c r="BK32">
        <f>VLOOKUP($O32,'Table 3 WW Wind 2035'!$B$10:$J$36,9,FALSE)</f>
        <v>162.75</v>
      </c>
      <c r="BL32">
        <f>VLOOKUP($O32,'Table 3 YK Wind 2035'!$B$10:$J$36,9,FALSE)</f>
        <v>162.75</v>
      </c>
      <c r="BM32">
        <f>VLOOKUP($O32,'Table 3 OR Wind 2035'!$B$10:$J$36,9,FALSE)</f>
        <v>161.24</v>
      </c>
      <c r="BN32">
        <f>VLOOKUP($O32,'Table 3 UT Wind 2030'!$B$10:$J$36,9,FALSE)</f>
        <v>154.43</v>
      </c>
      <c r="BO32">
        <f>VLOOKUP($O32,'Table 3 UT Wind 2036'!$B$10:$J$36,9,FALSE)</f>
        <v>157.22999999999999</v>
      </c>
      <c r="BP32">
        <f>VLOOKUP($O32,'Table 3 YK Solar 2030'!$B$10:$J$36,9,FALSE)</f>
        <v>134.69</v>
      </c>
      <c r="BQ32">
        <f>VLOOKUP($O32,'Table 3 YK Solar 2032'!$B$10:$J$36,9,FALSE)</f>
        <v>129.41999999999999</v>
      </c>
      <c r="BR32">
        <f>VLOOKUP($O32,'Table 3 YK Solar 2033'!$B$10:$J$36,9,FALSE)</f>
        <v>126.89</v>
      </c>
      <c r="BS32">
        <f>VLOOKUP($O32,'Table 3 UT Solar 2033 ST'!$B$10:$J$36,9,FALSE)</f>
        <v>127.81</v>
      </c>
      <c r="BT32">
        <f>VLOOKUP($O32,'Table 3 UT Solar 2035 ST'!$B$10:$J$36,9,FALSE)</f>
        <v>122.96</v>
      </c>
      <c r="BU32">
        <f>VLOOKUP($O32,'Table 3 UT Solar 2035 FT'!$B$10:$J$36,9,FALSE)</f>
        <v>119.58</v>
      </c>
      <c r="BV32">
        <f>VLOOKUP($O32,'Table 3 OR Solar 2030'!$B$10:$J$36,9,FALSE)</f>
        <v>138.21</v>
      </c>
      <c r="BW32">
        <f>VLOOKUP($O32,'Table 3 OR Solar 2031'!$B$10:$J$36,9,FALSE)</f>
        <v>135.5</v>
      </c>
      <c r="BX32">
        <f>VLOOKUP($O32,'Table 3 OR Solar 2032'!$B$10:$J$36,9,FALSE)</f>
        <v>132.85</v>
      </c>
      <c r="BY32">
        <f>VLOOKUP($O32,'Table 3 OR Solar 2033'!$B$10:$J$36,9,FALSE)</f>
        <v>130.27000000000001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8">
        <f t="shared" si="29"/>
        <v>0</v>
      </c>
      <c r="CW32">
        <f t="shared" si="24"/>
        <v>2037</v>
      </c>
      <c r="CX32" s="90">
        <f>IFERROR(VLOOKUP($CW32,'Table 3 TransCost D2 '!$B$10:$E$34,4,FALSE),0)</f>
        <v>68.16</v>
      </c>
      <c r="CY32" s="194">
        <f t="shared" si="27"/>
        <v>0</v>
      </c>
    </row>
    <row r="33" spans="1:104" hidden="1">
      <c r="B33" s="15">
        <f t="shared" si="25"/>
        <v>2038</v>
      </c>
      <c r="C33" s="9">
        <f t="shared" si="3"/>
        <v>0</v>
      </c>
      <c r="D33" s="45"/>
      <c r="E33" s="9" t="e">
        <f t="shared" ref="E33" ca="1" si="30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1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32">B33</f>
        <v>2038</v>
      </c>
      <c r="P33">
        <v>0</v>
      </c>
      <c r="Q33">
        <v>0</v>
      </c>
      <c r="R33">
        <v>0</v>
      </c>
      <c r="S33" s="194">
        <v>0</v>
      </c>
      <c r="T33" s="194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157.49</v>
      </c>
      <c r="BG33">
        <f>VLOOKUP($O33,'Table 3 EV2020 Wind_2021'!$B$10:$K$36,10,FALSE)</f>
        <v>154.72999999999999</v>
      </c>
      <c r="BH33">
        <f>VLOOKUP($O33,'Table 3 DJ Wind 2030'!$B$10:$J$36,9,FALSE)</f>
        <v>175.74</v>
      </c>
      <c r="BI33">
        <f>VLOOKUP($O33,'Table 3 ID Wind 2030'!$B$10:$J$36,9,FALSE)</f>
        <v>167.58</v>
      </c>
      <c r="BJ33">
        <f>VLOOKUP($O33,'Table 3 ID Wind 2033'!$B$10:$J$36,9,FALSE)</f>
        <v>170.7</v>
      </c>
      <c r="BK33">
        <f>VLOOKUP($O33,'Table 3 WW Wind 2035'!$B$10:$J$36,9,FALSE)</f>
        <v>166.16</v>
      </c>
      <c r="BL33">
        <f>VLOOKUP($O33,'Table 3 YK Wind 2035'!$B$10:$J$36,9,FALSE)</f>
        <v>166.16</v>
      </c>
      <c r="BM33">
        <f>VLOOKUP($O33,'Table 3 OR Wind 2035'!$B$10:$J$36,9,FALSE)</f>
        <v>164.62</v>
      </c>
      <c r="BN33">
        <f>VLOOKUP($O33,'Table 3 UT Wind 2030'!$B$10:$J$36,9,FALSE)</f>
        <v>157.66999999999999</v>
      </c>
      <c r="BO33">
        <f>VLOOKUP($O33,'Table 3 UT Wind 2036'!$B$10:$J$36,9,FALSE)</f>
        <v>160.53</v>
      </c>
      <c r="BP33">
        <f>VLOOKUP($O33,'Table 3 YK Solar 2030'!$B$10:$J$36,9,FALSE)</f>
        <v>137.52000000000001</v>
      </c>
      <c r="BQ33">
        <f>VLOOKUP($O33,'Table 3 YK Solar 2032'!$B$10:$J$36,9,FALSE)</f>
        <v>132.13999999999999</v>
      </c>
      <c r="BR33">
        <f>VLOOKUP($O33,'Table 3 YK Solar 2033'!$B$10:$J$36,9,FALSE)</f>
        <v>129.56</v>
      </c>
      <c r="BS33">
        <f>VLOOKUP($O33,'Table 3 UT Solar 2033 ST'!$B$10:$J$36,9,FALSE)</f>
        <v>130.5</v>
      </c>
      <c r="BT33">
        <f>VLOOKUP($O33,'Table 3 UT Solar 2035 ST'!$B$10:$J$36,9,FALSE)</f>
        <v>125.55</v>
      </c>
      <c r="BU33">
        <f>VLOOKUP($O33,'Table 3 UT Solar 2035 FT'!$B$10:$J$36,9,FALSE)</f>
        <v>122.1</v>
      </c>
      <c r="BV33">
        <f>VLOOKUP($O33,'Table 3 OR Solar 2030'!$B$10:$J$36,9,FALSE)</f>
        <v>141.12</v>
      </c>
      <c r="BW33">
        <f>VLOOKUP($O33,'Table 3 OR Solar 2031'!$B$10:$J$36,9,FALSE)</f>
        <v>138.35</v>
      </c>
      <c r="BX33">
        <f>VLOOKUP($O33,'Table 3 OR Solar 2032'!$B$10:$J$36,9,FALSE)</f>
        <v>135.63999999999999</v>
      </c>
      <c r="BY33">
        <f>VLOOKUP($O33,'Table 3 OR Solar 2033'!$B$10:$J$36,9,FALSE)</f>
        <v>133.01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8">
        <f t="shared" ref="CU33" si="33">SUM(CA33:CT33)</f>
        <v>0</v>
      </c>
      <c r="CW33">
        <f t="shared" si="24"/>
        <v>2038</v>
      </c>
      <c r="CX33" s="90">
        <f>IFERROR(VLOOKUP($CW33,'Table 3 TransCost D2 '!$B$10:$E$34,4,FALSE),0)</f>
        <v>69.59</v>
      </c>
      <c r="CY33" s="194">
        <f t="shared" si="27"/>
        <v>0</v>
      </c>
    </row>
    <row r="34" spans="1:104">
      <c r="B34" s="182"/>
      <c r="C34" s="9"/>
      <c r="D34" s="45"/>
      <c r="E34" s="9"/>
      <c r="F34" s="37"/>
      <c r="G34" s="9"/>
      <c r="H34" s="36"/>
      <c r="I34" s="49"/>
      <c r="M34" s="117"/>
      <c r="CU34" s="188"/>
      <c r="CY34" s="90"/>
      <c r="CZ34" s="194"/>
    </row>
    <row r="35" spans="1:104">
      <c r="B35" s="182"/>
      <c r="C35" s="9"/>
      <c r="D35" s="45"/>
      <c r="E35" s="9"/>
      <c r="F35" s="37"/>
      <c r="G35" s="9"/>
      <c r="H35" s="36"/>
      <c r="I35" s="49"/>
      <c r="M35" s="117"/>
    </row>
    <row r="36" spans="1:104" ht="12" customHeight="1">
      <c r="B36" s="182"/>
      <c r="C36" s="9"/>
      <c r="D36" s="45"/>
      <c r="E36" s="9"/>
      <c r="F36" s="37"/>
      <c r="G36" s="9"/>
      <c r="H36" s="36"/>
      <c r="I36" s="49"/>
      <c r="M36" s="117"/>
      <c r="N36" t="s">
        <v>148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4">
      <c r="A37" s="326" t="str">
        <f>'Table 5'!$A$9</f>
        <v>15 Year Starting 2018</v>
      </c>
      <c r="B37" s="326"/>
      <c r="D37" s="9"/>
      <c r="F37" s="37"/>
      <c r="H37" s="36"/>
      <c r="I37"/>
      <c r="N37" t="s">
        <v>160</v>
      </c>
      <c r="S37" s="242">
        <v>0</v>
      </c>
      <c r="T37" s="242">
        <v>0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  <c r="AH37" s="242">
        <v>0</v>
      </c>
      <c r="AI37" s="242">
        <v>0</v>
      </c>
    </row>
    <row r="38" spans="1:104">
      <c r="A38" s="215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165</v>
      </c>
      <c r="P38" s="184"/>
      <c r="Q38" s="184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104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104">
      <c r="B40" s="48" t="s">
        <v>33</v>
      </c>
      <c r="E40" s="9">
        <f ca="1">'Table 5'!$C$9/'Table 5'!$F$9</f>
        <v>15.738326829519869</v>
      </c>
      <c r="G40" s="217">
        <f ca="1">'Table 5'!$G$9</f>
        <v>15.738326829519869</v>
      </c>
      <c r="H40" s="36"/>
    </row>
    <row r="41" spans="1:104" ht="21" customHeight="1">
      <c r="A41" s="327" t="str">
        <f>'Table 5'!A7</f>
        <v>15 Year Starting 2019</v>
      </c>
      <c r="B41" s="327"/>
      <c r="E41" s="9"/>
      <c r="G41" s="109"/>
      <c r="H41" s="36"/>
    </row>
    <row r="42" spans="1:104">
      <c r="B42" s="55" t="str">
        <f>"15 year Levelized Prices (Nominal) @ "&amp;TEXT(I39,"0.00%")&amp;" Discount Rate (1) (3) "</f>
        <v xml:space="preserve">15 year Levelized Prices (Nominal) @ 6.91% Discount Rate (1) (3) </v>
      </c>
      <c r="E42" s="5"/>
      <c r="H42" s="36"/>
      <c r="I42"/>
      <c r="M42" s="117"/>
    </row>
    <row r="43" spans="1:104">
      <c r="B43" s="47" t="s">
        <v>8</v>
      </c>
      <c r="C43" s="9">
        <f ca="1">'Table 5'!$D$7*(Study_CF*8.76)/'Table 5'!$F$7</f>
        <v>0</v>
      </c>
      <c r="D43" s="9"/>
      <c r="H43" s="36"/>
      <c r="I43"/>
    </row>
    <row r="44" spans="1:104">
      <c r="B44" s="48" t="s">
        <v>33</v>
      </c>
      <c r="E44" s="9">
        <f ca="1">'Table 5'!$C$7/'Table 5'!$F$7</f>
        <v>15.460107309468137</v>
      </c>
      <c r="G44" s="217">
        <f ca="1">'Table 5'!$G$7</f>
        <v>15.460107309468137</v>
      </c>
      <c r="H44" s="36"/>
      <c r="I44" s="250"/>
      <c r="R44" s="194"/>
    </row>
    <row r="45" spans="1:104" hidden="1">
      <c r="B45" s="55"/>
      <c r="E45" s="5"/>
      <c r="H45" s="36"/>
    </row>
    <row r="46" spans="1:104" hidden="1">
      <c r="B46" s="47"/>
      <c r="C46" s="9"/>
      <c r="D46" s="9"/>
      <c r="H46" s="36"/>
    </row>
    <row r="47" spans="1:104" hidden="1">
      <c r="B47" s="48"/>
      <c r="E47" s="9"/>
      <c r="G47" s="109"/>
      <c r="H47" s="36"/>
    </row>
    <row r="48" spans="1:104" hidden="1">
      <c r="B48" s="47"/>
      <c r="C48" s="9"/>
      <c r="D48" s="9"/>
      <c r="H48" s="36"/>
    </row>
    <row r="49" spans="1:18" hidden="1">
      <c r="B49" s="55"/>
      <c r="E49" s="5"/>
      <c r="H49" s="36"/>
    </row>
    <row r="50" spans="1:18" hidden="1">
      <c r="B50" s="47"/>
      <c r="C50" s="9"/>
      <c r="D50" s="9"/>
      <c r="H50" s="36"/>
    </row>
    <row r="51" spans="1:18" hidden="1">
      <c r="A51" s="327" t="str">
        <f>'Table 5'!A10</f>
        <v>20 Year Starting 2019</v>
      </c>
      <c r="B51" s="327"/>
      <c r="E51" s="9"/>
      <c r="G51" s="109"/>
      <c r="H51" s="36"/>
    </row>
    <row r="52" spans="1:18" hidden="1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18" hidden="1">
      <c r="B53" s="47" t="s">
        <v>8</v>
      </c>
      <c r="C53" s="9">
        <f ca="1">'Table 5'!$D$10*(Study_CF*8.76)/'Table 5'!$F$10</f>
        <v>0</v>
      </c>
      <c r="D53" s="9"/>
      <c r="H53" s="36"/>
    </row>
    <row r="54" spans="1:18" hidden="1">
      <c r="B54" s="48" t="s">
        <v>33</v>
      </c>
      <c r="E54" s="9">
        <f ca="1">'Table 5'!$C$10/'Table 5'!$F$10</f>
        <v>17.975296164437307</v>
      </c>
      <c r="G54" s="217">
        <f ca="1">'Table 5'!$G$10</f>
        <v>17.975296164437307</v>
      </c>
      <c r="H54" s="36"/>
      <c r="I54" s="250"/>
    </row>
    <row r="55" spans="1:18" ht="21" customHeight="1">
      <c r="A55" s="327"/>
      <c r="B55" s="327"/>
      <c r="E55" s="9"/>
      <c r="G55" s="109"/>
      <c r="H55" s="36"/>
    </row>
    <row r="56" spans="1:18" hidden="1">
      <c r="B56" s="55" t="str">
        <f>"15 year Levelized Prices (Nominal) @ "&amp;TEXT(I57,"0.00%")&amp;" Discount Rate (1) (3) "</f>
        <v xml:space="preserve">15 year Levelized Prices (Nominal) @ 0.00% Discount Rate (1) (3) </v>
      </c>
      <c r="E56" s="5"/>
      <c r="H56" s="36"/>
      <c r="I56"/>
      <c r="M56" s="117"/>
    </row>
    <row r="57" spans="1:18" hidden="1">
      <c r="B57" s="47" t="s">
        <v>8</v>
      </c>
      <c r="C57" s="9">
        <f ca="1">'Table 5'!$D$7*(Study_CF*8.76)/'Table 5'!$F$7</f>
        <v>0</v>
      </c>
      <c r="D57" s="9"/>
      <c r="H57" s="36"/>
      <c r="I57"/>
    </row>
    <row r="58" spans="1:18" hidden="1">
      <c r="B58" s="48" t="s">
        <v>33</v>
      </c>
      <c r="E58" s="9">
        <f ca="1">'Table 5'!$C$7/'Table 5'!$F$7</f>
        <v>15.460107309468137</v>
      </c>
      <c r="G58" s="217">
        <f ca="1">'Table 5'!$G$7</f>
        <v>15.460107309468137</v>
      </c>
      <c r="H58" s="36"/>
      <c r="I58"/>
      <c r="R58" s="194"/>
    </row>
    <row r="59" spans="1:18" hidden="1">
      <c r="B59" s="55"/>
      <c r="E59" s="5"/>
      <c r="H59" s="36"/>
    </row>
    <row r="60" spans="1:18" hidden="1">
      <c r="B60" s="47"/>
      <c r="C60" s="9"/>
      <c r="D60" s="9"/>
      <c r="H60" s="36"/>
    </row>
    <row r="61" spans="1:18" hidden="1">
      <c r="B61" s="48"/>
      <c r="E61" s="9"/>
      <c r="G61" s="109"/>
      <c r="H61" s="36"/>
    </row>
    <row r="62" spans="1:18" hidden="1">
      <c r="B62" s="47"/>
      <c r="C62" s="9"/>
      <c r="D62" s="9"/>
      <c r="H62" s="36"/>
    </row>
    <row r="63" spans="1:18" hidden="1">
      <c r="B63" s="55"/>
      <c r="E63" s="5"/>
      <c r="H63" s="36"/>
    </row>
    <row r="64" spans="1:18" hidden="1">
      <c r="B64" s="47"/>
      <c r="C64" s="9"/>
      <c r="D64" s="9"/>
      <c r="H64" s="36"/>
    </row>
    <row r="65" spans="1:13" hidden="1">
      <c r="A65" s="327" t="str">
        <f>'Table 5'!A10</f>
        <v>20 Year Starting 2019</v>
      </c>
      <c r="B65" s="327"/>
      <c r="E65" s="9"/>
      <c r="G65" s="109"/>
      <c r="H65" s="36"/>
    </row>
    <row r="66" spans="1:13" hidden="1">
      <c r="B66" s="55" t="str">
        <f>"15 year Levelized Prices (Nominal) @ "&amp;TEXT(I67,"0.00%")&amp;" Discount Rate (1) (3) "</f>
        <v xml:space="preserve">15 year Levelized Prices (Nominal) @ 0.00% Discount Rate (1) (3) </v>
      </c>
      <c r="E66" s="5"/>
      <c r="H66" s="36"/>
    </row>
    <row r="67" spans="1:13" hidden="1">
      <c r="B67" s="47" t="s">
        <v>8</v>
      </c>
      <c r="C67" s="9">
        <f ca="1">'Table 5'!$D$10*(Study_CF*8.76)/'Table 5'!$F$10</f>
        <v>0</v>
      </c>
      <c r="D67" s="9"/>
      <c r="H67" s="36"/>
    </row>
    <row r="68" spans="1:13" hidden="1">
      <c r="B68" s="48" t="s">
        <v>33</v>
      </c>
      <c r="E68" s="9">
        <f ca="1">'Table 5'!$C$10/'Table 5'!$F$10</f>
        <v>17.975296164437307</v>
      </c>
      <c r="G68" s="217">
        <f ca="1">'Table 5'!$G$10</f>
        <v>17.975296164437307</v>
      </c>
      <c r="H68" s="36"/>
    </row>
    <row r="69" spans="1:13">
      <c r="B69" s="3" t="s">
        <v>16</v>
      </c>
      <c r="E69" s="38"/>
      <c r="G69" s="38"/>
      <c r="H69" s="36"/>
      <c r="I69" s="109"/>
    </row>
    <row r="70" spans="1:13">
      <c r="B70" s="50" t="str">
        <f>"(1)   "&amp;I38</f>
        <v>(1)   Discount Rate - 2017 IRP Update</v>
      </c>
      <c r="E70" s="36"/>
      <c r="F70" s="38"/>
      <c r="G70" s="36"/>
      <c r="H70" s="36"/>
      <c r="I70" s="109"/>
    </row>
    <row r="71" spans="1:13">
      <c r="B71" s="3" t="s">
        <v>22</v>
      </c>
      <c r="F71" s="38"/>
      <c r="H71" s="36"/>
      <c r="I71" s="109"/>
    </row>
    <row r="72" spans="1:13">
      <c r="B72" s="54" t="str">
        <f>"(3)   Levelized monthly"</f>
        <v>(3)   Levelized monthly</v>
      </c>
      <c r="G72" s="5"/>
    </row>
    <row r="73" spans="1:13">
      <c r="B73" s="3" t="str">
        <f>IF(Study_Cap_Adj&gt;0,"(4)  The capacity payment is derived from:","")</f>
        <v/>
      </c>
    </row>
    <row r="74" spans="1:13" hidden="1">
      <c r="B74" s="95" t="str">
        <f>IF(AND(Study_Cap_Adj&gt;0,_30_Geo_West&lt;&gt;0),"       2028 - "&amp;#REF!&amp;"   ("&amp;TEXT(_30_Geo_West," 0.0%")&amp;")","")</f>
        <v/>
      </c>
    </row>
    <row r="75" spans="1:13" ht="12.75" customHeight="1">
      <c r="B75" s="95"/>
    </row>
    <row r="76" spans="1:13" ht="12.75" customHeight="1">
      <c r="A76" s="3" t="b">
        <f>SUM(P13:AI28)&gt;0</f>
        <v>0</v>
      </c>
      <c r="B76" s="95"/>
    </row>
    <row r="77" spans="1:13">
      <c r="A77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77" s="10"/>
      <c r="C77" s="7"/>
      <c r="D77" s="7"/>
      <c r="E77" s="7"/>
      <c r="G77" s="7"/>
    </row>
    <row r="78" spans="1:13">
      <c r="A78" t="e">
        <f>INDEX($O$13:$AI$33,IF(SUM($P$13:$AI$33)&gt;0,SUM($P$13:$AI$33),FALSE)-1,1)</f>
        <v>#VALUE!</v>
      </c>
      <c r="I78" t="s">
        <v>60</v>
      </c>
    </row>
    <row r="79" spans="1:13" s="53" customFormat="1">
      <c r="A79" s="54"/>
      <c r="B79" s="10"/>
      <c r="C79" s="54"/>
      <c r="D79" s="54"/>
      <c r="E79" s="54"/>
      <c r="F79" s="54"/>
      <c r="G79" s="54"/>
      <c r="I79" t="str">
        <f ca="1">"       Avoided Costs calculated annually are  "&amp;TEXT(PMT(Discount_Rate,COUNT($G$13:$G$27),-NPV(Discount_Rate,$G$13:$G$27)),"$0.00")&amp;"/MWH"</f>
        <v xml:space="preserve">       Avoided Costs calculated annually are  $15.81/MWH</v>
      </c>
      <c r="J79"/>
      <c r="K79"/>
      <c r="L79"/>
      <c r="M79"/>
    </row>
    <row r="80" spans="1:13" s="53" customFormat="1">
      <c r="A80" s="54"/>
      <c r="B80" s="10"/>
      <c r="C80" s="54"/>
      <c r="D80" s="54"/>
      <c r="E80" s="54"/>
      <c r="F80" s="54"/>
      <c r="G80" s="54"/>
      <c r="I80" s="10" t="str">
        <f ca="1">"       Avoided Costs calculated monthly are  "&amp;TEXT($G$40,"$0.00")&amp;"/MWH"</f>
        <v xml:space="preserve">       Avoided Costs calculated monthly are  $15.74/MWH</v>
      </c>
      <c r="J80"/>
      <c r="K80"/>
    </row>
    <row r="81" spans="1:13">
      <c r="A81"/>
      <c r="B81" s="51"/>
      <c r="I81" s="53"/>
      <c r="L81" s="53"/>
      <c r="M81" s="53"/>
    </row>
    <row r="82" spans="1:13">
      <c r="A82"/>
      <c r="F82" s="7"/>
    </row>
    <row r="85" spans="1:13">
      <c r="A85"/>
      <c r="J85" s="53"/>
      <c r="K85" s="53"/>
    </row>
    <row r="86" spans="1:13">
      <c r="A86"/>
      <c r="J86" s="53"/>
      <c r="K86" s="53"/>
    </row>
  </sheetData>
  <mergeCells count="5">
    <mergeCell ref="A37:B37"/>
    <mergeCell ref="A55:B55"/>
    <mergeCell ref="A65:B65"/>
    <mergeCell ref="A41:B41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19.149999999999999</v>
      </c>
      <c r="F12" s="135">
        <f t="shared" si="1"/>
        <v>8.1569890274654124</v>
      </c>
      <c r="G12" s="133">
        <f t="shared" si="4"/>
        <v>0</v>
      </c>
      <c r="H12" s="143">
        <f t="shared" si="4"/>
        <v>0</v>
      </c>
      <c r="I12" s="135">
        <f t="shared" si="2"/>
        <v>8.1569890274654124</v>
      </c>
      <c r="J12" s="135">
        <f t="shared" si="3"/>
        <v>19.149999999999999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19.57</v>
      </c>
      <c r="F13" s="135">
        <f t="shared" si="1"/>
        <v>8.3358890479111292</v>
      </c>
      <c r="G13" s="133">
        <f t="shared" si="4"/>
        <v>0</v>
      </c>
      <c r="H13" s="143">
        <f t="shared" si="4"/>
        <v>0</v>
      </c>
      <c r="I13" s="135">
        <f t="shared" si="2"/>
        <v>8.3358890479111292</v>
      </c>
      <c r="J13" s="135">
        <f t="shared" si="3"/>
        <v>19.57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20.059999999999999</v>
      </c>
      <c r="F14" s="135">
        <f t="shared" si="1"/>
        <v>8.544605738431132</v>
      </c>
      <c r="G14" s="133">
        <f t="shared" si="4"/>
        <v>0</v>
      </c>
      <c r="H14" s="143">
        <f t="shared" si="4"/>
        <v>0</v>
      </c>
      <c r="I14" s="135">
        <f t="shared" si="2"/>
        <v>8.544605738431132</v>
      </c>
      <c r="J14" s="135">
        <f t="shared" si="3"/>
        <v>20.059999999999999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20.54</v>
      </c>
      <c r="F15" s="135">
        <f t="shared" si="1"/>
        <v>8.7490629046548083</v>
      </c>
      <c r="G15" s="133">
        <f t="shared" si="4"/>
        <v>0</v>
      </c>
      <c r="H15" s="143">
        <f t="shared" si="4"/>
        <v>0</v>
      </c>
      <c r="I15" s="135">
        <f t="shared" si="2"/>
        <v>8.7490629046548083</v>
      </c>
      <c r="J15" s="135">
        <f t="shared" si="3"/>
        <v>20.54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21.03</v>
      </c>
      <c r="F16" s="135">
        <f t="shared" si="1"/>
        <v>8.9577795951748111</v>
      </c>
      <c r="G16" s="133">
        <f t="shared" si="4"/>
        <v>0</v>
      </c>
      <c r="H16" s="143">
        <f t="shared" si="4"/>
        <v>0</v>
      </c>
      <c r="I16" s="135">
        <f t="shared" si="2"/>
        <v>8.9577795951748111</v>
      </c>
      <c r="J16" s="135">
        <f t="shared" si="3"/>
        <v>21.03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21.53</v>
      </c>
      <c r="F17" s="135">
        <f t="shared" si="1"/>
        <v>9.1707558099911406</v>
      </c>
      <c r="G17" s="133">
        <f t="shared" si="4"/>
        <v>0</v>
      </c>
      <c r="H17" s="143">
        <f t="shared" si="4"/>
        <v>0</v>
      </c>
      <c r="I17" s="135">
        <f t="shared" si="2"/>
        <v>9.1707558099911406</v>
      </c>
      <c r="J17" s="135">
        <f t="shared" si="3"/>
        <v>21.53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22.03</v>
      </c>
      <c r="F18" s="135">
        <f t="shared" si="1"/>
        <v>9.38373202480747</v>
      </c>
      <c r="G18" s="133">
        <f t="shared" si="4"/>
        <v>0</v>
      </c>
      <c r="H18" s="143">
        <f t="shared" si="4"/>
        <v>0</v>
      </c>
      <c r="I18" s="135">
        <f t="shared" si="2"/>
        <v>9.38373202480747</v>
      </c>
      <c r="J18" s="135">
        <f t="shared" si="3"/>
        <v>22.03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22.54</v>
      </c>
      <c r="F19" s="135">
        <f t="shared" si="1"/>
        <v>9.6009677639201243</v>
      </c>
      <c r="G19" s="133">
        <f t="shared" si="4"/>
        <v>0</v>
      </c>
      <c r="H19" s="143">
        <f t="shared" si="4"/>
        <v>0</v>
      </c>
      <c r="I19" s="135">
        <f t="shared" si="2"/>
        <v>9.6009677639201243</v>
      </c>
      <c r="J19" s="135">
        <f t="shared" si="3"/>
        <v>22.54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23.04</v>
      </c>
      <c r="F20" s="135">
        <f t="shared" si="1"/>
        <v>9.8139439787364537</v>
      </c>
      <c r="G20" s="133">
        <f>ROUND(G19*(1+$G66),2)</f>
        <v>0</v>
      </c>
      <c r="H20" s="143">
        <f>ROUND(H19*(1+$G66),2)</f>
        <v>0</v>
      </c>
      <c r="I20" s="135">
        <f t="shared" si="2"/>
        <v>9.8139439787364537</v>
      </c>
      <c r="J20" s="135">
        <f t="shared" si="3"/>
        <v>23.04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23.55</v>
      </c>
      <c r="F21" s="135">
        <f t="shared" si="1"/>
        <v>10.031179717849112</v>
      </c>
      <c r="G21" s="133">
        <f t="shared" si="7"/>
        <v>0</v>
      </c>
      <c r="H21" s="143">
        <f t="shared" si="7"/>
        <v>0</v>
      </c>
      <c r="I21" s="135">
        <f t="shared" si="2"/>
        <v>10.031179717849112</v>
      </c>
      <c r="J21" s="135">
        <f t="shared" si="3"/>
        <v>23.55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24.07</v>
      </c>
      <c r="F22" s="135">
        <f t="shared" si="1"/>
        <v>10.252674981258092</v>
      </c>
      <c r="G22" s="133">
        <f t="shared" si="7"/>
        <v>0</v>
      </c>
      <c r="H22" s="143">
        <f t="shared" si="7"/>
        <v>0</v>
      </c>
      <c r="I22" s="135">
        <f t="shared" si="2"/>
        <v>10.252674981258092</v>
      </c>
      <c r="J22" s="135">
        <f t="shared" si="3"/>
        <v>24.07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24.58</v>
      </c>
      <c r="F23" s="135">
        <f t="shared" si="1"/>
        <v>10.469910720370748</v>
      </c>
      <c r="G23" s="133">
        <f t="shared" si="7"/>
        <v>0</v>
      </c>
      <c r="H23" s="143">
        <f t="shared" si="7"/>
        <v>0</v>
      </c>
      <c r="I23" s="135">
        <f t="shared" si="2"/>
        <v>10.469910720370748</v>
      </c>
      <c r="J23" s="135">
        <f t="shared" si="3"/>
        <v>24.58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25.07</v>
      </c>
      <c r="F24" s="135">
        <f t="shared" si="1"/>
        <v>10.678627410890751</v>
      </c>
      <c r="G24" s="133">
        <f t="shared" si="7"/>
        <v>0</v>
      </c>
      <c r="H24" s="143">
        <f t="shared" si="7"/>
        <v>0</v>
      </c>
      <c r="I24" s="135">
        <f t="shared" si="2"/>
        <v>10.678627410890751</v>
      </c>
      <c r="J24" s="135">
        <f t="shared" si="3"/>
        <v>25.07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25.57</v>
      </c>
      <c r="F25" s="135">
        <f t="shared" si="1"/>
        <v>10.891603625707081</v>
      </c>
      <c r="G25" s="133">
        <f t="shared" si="7"/>
        <v>0</v>
      </c>
      <c r="H25" s="143">
        <f t="shared" si="7"/>
        <v>0</v>
      </c>
      <c r="I25" s="135">
        <f t="shared" si="2"/>
        <v>10.891603625707081</v>
      </c>
      <c r="J25" s="135">
        <f t="shared" si="3"/>
        <v>25.57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26.08</v>
      </c>
      <c r="F26" s="135">
        <f t="shared" si="1"/>
        <v>11.108839364819737</v>
      </c>
      <c r="G26" s="133">
        <f t="shared" si="7"/>
        <v>0</v>
      </c>
      <c r="H26" s="143">
        <f t="shared" si="7"/>
        <v>0</v>
      </c>
      <c r="I26" s="135">
        <f t="shared" si="2"/>
        <v>11.108839364819737</v>
      </c>
      <c r="J26" s="135">
        <f t="shared" si="3"/>
        <v>26.08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26.6</v>
      </c>
      <c r="F27" s="135">
        <f t="shared" si="1"/>
        <v>11.330334628228719</v>
      </c>
      <c r="G27" s="133">
        <f t="shared" si="7"/>
        <v>0</v>
      </c>
      <c r="H27" s="143">
        <f t="shared" si="7"/>
        <v>0</v>
      </c>
      <c r="I27" s="135">
        <f t="shared" si="2"/>
        <v>11.330334628228719</v>
      </c>
      <c r="J27" s="135">
        <f t="shared" si="3"/>
        <v>26.6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27.13</v>
      </c>
      <c r="F28" s="135">
        <f t="shared" si="1"/>
        <v>11.556089415934029</v>
      </c>
      <c r="G28" s="133">
        <f t="shared" si="7"/>
        <v>0</v>
      </c>
      <c r="H28" s="143">
        <f t="shared" si="7"/>
        <v>0</v>
      </c>
      <c r="I28" s="135">
        <f t="shared" si="2"/>
        <v>11.556089415934029</v>
      </c>
      <c r="J28" s="135">
        <f t="shared" si="3"/>
        <v>27.13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27.67</v>
      </c>
      <c r="F29" s="135">
        <f t="shared" si="1"/>
        <v>48.912153410369008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48.912153410369008</v>
      </c>
      <c r="J29" s="135">
        <f t="shared" si="3"/>
        <v>114.83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</v>
      </c>
      <c r="E30" s="133">
        <f t="shared" si="8"/>
        <v>28.22</v>
      </c>
      <c r="F30" s="135">
        <f t="shared" si="1"/>
        <v>49.887548558576981</v>
      </c>
      <c r="G30" s="133">
        <f t="shared" si="9"/>
        <v>0</v>
      </c>
      <c r="H30" s="143">
        <f t="shared" si="9"/>
        <v>0</v>
      </c>
      <c r="I30" s="135">
        <f t="shared" si="2"/>
        <v>49.887548558576981</v>
      </c>
      <c r="J30" s="135">
        <f t="shared" si="3"/>
        <v>117.12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90.77</v>
      </c>
      <c r="E31" s="133">
        <f t="shared" si="8"/>
        <v>28.81</v>
      </c>
      <c r="F31" s="135">
        <f t="shared" si="1"/>
        <v>50.935391535473315</v>
      </c>
      <c r="G31" s="133">
        <f t="shared" si="9"/>
        <v>0</v>
      </c>
      <c r="H31" s="143">
        <f t="shared" si="9"/>
        <v>0</v>
      </c>
      <c r="I31" s="135">
        <f t="shared" si="2"/>
        <v>50.935391535473315</v>
      </c>
      <c r="J31" s="135">
        <f t="shared" si="3"/>
        <v>119.58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92.68</v>
      </c>
      <c r="E32" s="133">
        <f t="shared" si="8"/>
        <v>29.42</v>
      </c>
      <c r="F32" s="135">
        <f t="shared" si="1"/>
        <v>52.008791658147622</v>
      </c>
      <c r="G32" s="133">
        <f t="shared" si="9"/>
        <v>0</v>
      </c>
      <c r="H32" s="143">
        <f t="shared" si="9"/>
        <v>0</v>
      </c>
      <c r="I32" s="135">
        <f t="shared" si="2"/>
        <v>52.008791658147622</v>
      </c>
      <c r="J32" s="135">
        <f t="shared" si="3"/>
        <v>122.1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94.63</v>
      </c>
      <c r="E33" s="133">
        <f t="shared" si="8"/>
        <v>30.04</v>
      </c>
      <c r="F33" s="135">
        <f t="shared" si="1"/>
        <v>53.103489402303545</v>
      </c>
      <c r="G33" s="133">
        <f t="shared" si="9"/>
        <v>0</v>
      </c>
      <c r="H33" s="143">
        <f t="shared" si="9"/>
        <v>0</v>
      </c>
      <c r="I33" s="135">
        <f t="shared" si="2"/>
        <v>53.103489402303545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96.62</v>
      </c>
      <c r="E34" s="133">
        <f t="shared" si="8"/>
        <v>30.67</v>
      </c>
      <c r="F34" s="135">
        <f t="shared" si="1"/>
        <v>54.219484767941118</v>
      </c>
      <c r="G34" s="133">
        <f t="shared" si="9"/>
        <v>0</v>
      </c>
      <c r="H34" s="143">
        <f t="shared" si="9"/>
        <v>0</v>
      </c>
      <c r="I34" s="135">
        <f t="shared" si="2"/>
        <v>54.219484767941118</v>
      </c>
      <c r="J34" s="135">
        <f t="shared" si="3"/>
        <v>127.29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98.75</v>
      </c>
      <c r="E35" s="133">
        <f t="shared" si="8"/>
        <v>31.34</v>
      </c>
      <c r="F35" s="135">
        <f t="shared" si="1"/>
        <v>55.412151570912563</v>
      </c>
      <c r="G35" s="133">
        <f t="shared" si="9"/>
        <v>0</v>
      </c>
      <c r="H35" s="143">
        <f t="shared" si="9"/>
        <v>0</v>
      </c>
      <c r="I35" s="135">
        <f t="shared" si="2"/>
        <v>55.412151570912563</v>
      </c>
      <c r="J35" s="135">
        <f t="shared" si="3"/>
        <v>130.09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100.92</v>
      </c>
      <c r="E36" s="133">
        <f t="shared" si="8"/>
        <v>32.03</v>
      </c>
      <c r="F36" s="135">
        <f t="shared" si="1"/>
        <v>56.63037551966196</v>
      </c>
      <c r="G36" s="133">
        <f t="shared" si="9"/>
        <v>0</v>
      </c>
      <c r="H36" s="143">
        <f t="shared" si="9"/>
        <v>0</v>
      </c>
      <c r="I36" s="135">
        <f t="shared" si="2"/>
        <v>56.63037551966196</v>
      </c>
      <c r="J36" s="135">
        <f t="shared" si="3"/>
        <v>132.94999999999999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1129.0663267642597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18.718009285501743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1">C66+1</f>
        <v>2018</v>
      </c>
      <c r="D67" s="41">
        <v>2.3E-2</v>
      </c>
      <c r="E67" s="86"/>
      <c r="F67" s="88">
        <f t="shared" ref="F67:F74" si="12">F66+1</f>
        <v>2027</v>
      </c>
      <c r="G67" s="41">
        <v>2.1999999999999999E-2</v>
      </c>
      <c r="H67" s="86"/>
      <c r="I67" s="88">
        <f t="shared" ref="I67:I74" si="13">I66+1</f>
        <v>2036</v>
      </c>
      <c r="J67" s="88"/>
      <c r="K67" s="41">
        <v>0.02</v>
      </c>
    </row>
    <row r="68" spans="3:11">
      <c r="C68" s="88">
        <f t="shared" si="11"/>
        <v>2019</v>
      </c>
      <c r="D68" s="41">
        <v>2.1999999999999999E-2</v>
      </c>
      <c r="E68" s="86"/>
      <c r="F68" s="88">
        <f t="shared" si="12"/>
        <v>2028</v>
      </c>
      <c r="G68" s="41">
        <v>2.1999999999999999E-2</v>
      </c>
      <c r="H68" s="86"/>
      <c r="I68" s="88">
        <f t="shared" si="13"/>
        <v>2037</v>
      </c>
      <c r="J68" s="88"/>
      <c r="K68" s="41">
        <v>2.1000000000000001E-2</v>
      </c>
    </row>
    <row r="69" spans="3:11">
      <c r="C69" s="88">
        <f t="shared" si="11"/>
        <v>2020</v>
      </c>
      <c r="D69" s="41">
        <v>2.5000000000000001E-2</v>
      </c>
      <c r="E69" s="86"/>
      <c r="F69" s="88">
        <f t="shared" si="12"/>
        <v>2029</v>
      </c>
      <c r="G69" s="41">
        <v>2.1000000000000001E-2</v>
      </c>
      <c r="H69" s="86"/>
      <c r="I69" s="88">
        <f t="shared" si="13"/>
        <v>2038</v>
      </c>
      <c r="J69" s="88"/>
      <c r="K69" s="41">
        <v>2.1000000000000001E-2</v>
      </c>
    </row>
    <row r="70" spans="3:11">
      <c r="C70" s="88">
        <f t="shared" si="11"/>
        <v>2021</v>
      </c>
      <c r="D70" s="41">
        <v>2.4E-2</v>
      </c>
      <c r="E70" s="86"/>
      <c r="F70" s="88">
        <f t="shared" si="12"/>
        <v>2030</v>
      </c>
      <c r="G70" s="41">
        <v>0.02</v>
      </c>
      <c r="H70" s="86"/>
      <c r="I70" s="88">
        <f t="shared" si="13"/>
        <v>2039</v>
      </c>
      <c r="J70" s="88"/>
      <c r="K70" s="41">
        <v>2.1000000000000001E-2</v>
      </c>
    </row>
    <row r="71" spans="3:11">
      <c r="C71" s="88">
        <f t="shared" si="11"/>
        <v>2022</v>
      </c>
      <c r="D71" s="41">
        <v>2.4E-2</v>
      </c>
      <c r="E71" s="86"/>
      <c r="F71" s="88">
        <f t="shared" si="12"/>
        <v>2031</v>
      </c>
      <c r="G71" s="41">
        <v>0.02</v>
      </c>
      <c r="H71" s="86"/>
      <c r="I71" s="88">
        <f t="shared" si="13"/>
        <v>2040</v>
      </c>
      <c r="J71" s="88"/>
      <c r="K71" s="41">
        <v>2.1000000000000001E-2</v>
      </c>
    </row>
    <row r="72" spans="3:11" s="124" customFormat="1">
      <c r="C72" s="88">
        <f t="shared" si="11"/>
        <v>2023</v>
      </c>
      <c r="D72" s="41">
        <v>2.4E-2</v>
      </c>
      <c r="E72" s="87"/>
      <c r="F72" s="88">
        <f t="shared" si="12"/>
        <v>2032</v>
      </c>
      <c r="G72" s="41">
        <v>0.02</v>
      </c>
      <c r="H72" s="87"/>
      <c r="I72" s="88">
        <f t="shared" si="13"/>
        <v>2041</v>
      </c>
      <c r="J72" s="88"/>
      <c r="K72" s="41">
        <v>2.1999999999999999E-2</v>
      </c>
    </row>
    <row r="73" spans="3:11" s="124" customFormat="1">
      <c r="C73" s="88">
        <f t="shared" si="11"/>
        <v>2024</v>
      </c>
      <c r="D73" s="41">
        <v>2.3E-2</v>
      </c>
      <c r="E73" s="87"/>
      <c r="F73" s="88">
        <f t="shared" si="12"/>
        <v>2033</v>
      </c>
      <c r="G73" s="41">
        <v>0.02</v>
      </c>
      <c r="H73" s="87"/>
      <c r="I73" s="88">
        <f t="shared" si="13"/>
        <v>2042</v>
      </c>
      <c r="J73" s="88"/>
      <c r="K73" s="41">
        <v>2.1999999999999999E-2</v>
      </c>
    </row>
    <row r="74" spans="3:11" s="124" customFormat="1">
      <c r="C74" s="88">
        <f t="shared" si="11"/>
        <v>2025</v>
      </c>
      <c r="D74" s="41">
        <v>2.3E-2</v>
      </c>
      <c r="E74" s="87"/>
      <c r="F74" s="88">
        <f t="shared" si="12"/>
        <v>2034</v>
      </c>
      <c r="G74" s="41">
        <v>0.02</v>
      </c>
      <c r="H74" s="87"/>
      <c r="I74" s="88">
        <f t="shared" si="1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26.39</v>
      </c>
      <c r="F24" s="135">
        <f t="shared" si="1"/>
        <v>47.650141503512558</v>
      </c>
      <c r="G24" s="133">
        <f t="shared" si="8"/>
        <v>0</v>
      </c>
      <c r="H24" s="143">
        <f t="shared" si="8"/>
        <v>0</v>
      </c>
      <c r="I24" s="135">
        <f t="shared" si="2"/>
        <v>47.650141503512558</v>
      </c>
      <c r="J24" s="135">
        <f t="shared" si="3"/>
        <v>120.22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95.7</v>
      </c>
      <c r="E25" s="133">
        <f t="shared" si="7"/>
        <v>26.92</v>
      </c>
      <c r="F25" s="135">
        <f t="shared" si="1"/>
        <v>48.603183663115175</v>
      </c>
      <c r="G25" s="133">
        <f t="shared" si="8"/>
        <v>0</v>
      </c>
      <c r="H25" s="143">
        <f t="shared" si="8"/>
        <v>0</v>
      </c>
      <c r="I25" s="135">
        <f t="shared" si="2"/>
        <v>48.603183663115175</v>
      </c>
      <c r="J25" s="135">
        <f t="shared" si="3"/>
        <v>122.62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97.61</v>
      </c>
      <c r="E26" s="133">
        <f t="shared" si="7"/>
        <v>27.46</v>
      </c>
      <c r="F26" s="135">
        <f t="shared" si="1"/>
        <v>49.574296042617959</v>
      </c>
      <c r="G26" s="133">
        <f t="shared" si="8"/>
        <v>0</v>
      </c>
      <c r="H26" s="143">
        <f t="shared" si="8"/>
        <v>0</v>
      </c>
      <c r="I26" s="135">
        <f t="shared" si="2"/>
        <v>49.574296042617959</v>
      </c>
      <c r="J26" s="135">
        <f t="shared" si="3"/>
        <v>125.07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99.56</v>
      </c>
      <c r="E27" s="133">
        <f t="shared" si="7"/>
        <v>28.01</v>
      </c>
      <c r="F27" s="135">
        <f t="shared" si="1"/>
        <v>50.565227042110614</v>
      </c>
      <c r="G27" s="133">
        <f t="shared" si="8"/>
        <v>0</v>
      </c>
      <c r="H27" s="143">
        <f t="shared" si="8"/>
        <v>0</v>
      </c>
      <c r="I27" s="135">
        <f t="shared" si="2"/>
        <v>50.565227042110614</v>
      </c>
      <c r="J27" s="135">
        <f t="shared" si="3"/>
        <v>127.57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101.55</v>
      </c>
      <c r="E28" s="133">
        <f t="shared" si="7"/>
        <v>28.57</v>
      </c>
      <c r="F28" s="135">
        <f t="shared" si="1"/>
        <v>51.575976661593103</v>
      </c>
      <c r="G28" s="133">
        <f t="shared" si="8"/>
        <v>0</v>
      </c>
      <c r="H28" s="143">
        <f t="shared" si="8"/>
        <v>0</v>
      </c>
      <c r="I28" s="135">
        <f t="shared" si="2"/>
        <v>51.575976661593103</v>
      </c>
      <c r="J28" s="135">
        <f t="shared" si="3"/>
        <v>130.12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103.58</v>
      </c>
      <c r="E29" s="133">
        <f t="shared" si="11"/>
        <v>29.14</v>
      </c>
      <c r="F29" s="135">
        <f t="shared" si="1"/>
        <v>52.606544901065455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52.606544901065455</v>
      </c>
      <c r="J29" s="135">
        <f t="shared" si="3"/>
        <v>132.72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105.65</v>
      </c>
      <c r="E30" s="133">
        <f t="shared" si="11"/>
        <v>29.72</v>
      </c>
      <c r="F30" s="135">
        <f t="shared" si="1"/>
        <v>53.656931760527655</v>
      </c>
      <c r="G30" s="133">
        <f t="shared" si="12"/>
        <v>0</v>
      </c>
      <c r="H30" s="143">
        <f t="shared" si="12"/>
        <v>0</v>
      </c>
      <c r="I30" s="135">
        <f t="shared" si="2"/>
        <v>53.656931760527655</v>
      </c>
      <c r="J30" s="135">
        <f t="shared" si="3"/>
        <v>135.37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107.87</v>
      </c>
      <c r="E31" s="133">
        <f t="shared" si="11"/>
        <v>30.34</v>
      </c>
      <c r="F31" s="135">
        <f t="shared" si="1"/>
        <v>54.782629375951302</v>
      </c>
      <c r="G31" s="133">
        <f t="shared" si="12"/>
        <v>0</v>
      </c>
      <c r="H31" s="143">
        <f t="shared" si="12"/>
        <v>0</v>
      </c>
      <c r="I31" s="135">
        <f t="shared" si="2"/>
        <v>54.782629375951302</v>
      </c>
      <c r="J31" s="135">
        <f t="shared" si="3"/>
        <v>138.21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110.14</v>
      </c>
      <c r="E32" s="133">
        <f t="shared" si="11"/>
        <v>30.98</v>
      </c>
      <c r="F32" s="135">
        <f t="shared" si="1"/>
        <v>55.936073059360737</v>
      </c>
      <c r="G32" s="133">
        <f t="shared" si="12"/>
        <v>0</v>
      </c>
      <c r="H32" s="143">
        <f t="shared" si="12"/>
        <v>0</v>
      </c>
      <c r="I32" s="135">
        <f t="shared" si="2"/>
        <v>55.936073059360737</v>
      </c>
      <c r="J32" s="135">
        <f t="shared" si="3"/>
        <v>141.12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112.45</v>
      </c>
      <c r="E33" s="133">
        <f t="shared" si="11"/>
        <v>31.63</v>
      </c>
      <c r="F33" s="135">
        <f t="shared" si="1"/>
        <v>57.109335362760028</v>
      </c>
      <c r="G33" s="133">
        <f t="shared" si="12"/>
        <v>0</v>
      </c>
      <c r="H33" s="143">
        <f t="shared" si="12"/>
        <v>0</v>
      </c>
      <c r="I33" s="135">
        <f t="shared" si="2"/>
        <v>57.109335362760028</v>
      </c>
      <c r="J33" s="135">
        <f t="shared" si="3"/>
        <v>144.08000000000001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114.81</v>
      </c>
      <c r="E34" s="133">
        <f t="shared" si="11"/>
        <v>32.29</v>
      </c>
      <c r="F34" s="135">
        <f t="shared" si="1"/>
        <v>58.306380010147137</v>
      </c>
      <c r="G34" s="133">
        <f t="shared" si="12"/>
        <v>0</v>
      </c>
      <c r="H34" s="143">
        <f t="shared" si="12"/>
        <v>0</v>
      </c>
      <c r="I34" s="135">
        <f t="shared" si="2"/>
        <v>58.306380010147137</v>
      </c>
      <c r="J34" s="135">
        <f t="shared" si="3"/>
        <v>147.1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117.34</v>
      </c>
      <c r="E35" s="133">
        <f t="shared" si="11"/>
        <v>33</v>
      </c>
      <c r="F35" s="135">
        <f t="shared" si="1"/>
        <v>59.590626585489602</v>
      </c>
      <c r="G35" s="133">
        <f t="shared" si="12"/>
        <v>0</v>
      </c>
      <c r="H35" s="143">
        <f t="shared" si="12"/>
        <v>0</v>
      </c>
      <c r="I35" s="135">
        <f t="shared" si="2"/>
        <v>59.590626585489602</v>
      </c>
      <c r="J35" s="135">
        <f t="shared" si="3"/>
        <v>150.34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119.92</v>
      </c>
      <c r="E36" s="133">
        <f t="shared" si="11"/>
        <v>33.729999999999997</v>
      </c>
      <c r="F36" s="135">
        <f t="shared" si="1"/>
        <v>60.902619228817869</v>
      </c>
      <c r="G36" s="133">
        <f t="shared" si="12"/>
        <v>0</v>
      </c>
      <c r="H36" s="143">
        <f t="shared" si="12"/>
        <v>0</v>
      </c>
      <c r="I36" s="135">
        <f t="shared" si="2"/>
        <v>60.902619228817869</v>
      </c>
      <c r="J36" s="135">
        <f t="shared" si="3"/>
        <v>153.65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1215.4108609806308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26.92</v>
      </c>
      <c r="F25" s="135">
        <f t="shared" si="1"/>
        <v>47.648236594329646</v>
      </c>
      <c r="G25" s="133">
        <f t="shared" si="8"/>
        <v>0</v>
      </c>
      <c r="H25" s="143">
        <f t="shared" si="8"/>
        <v>0</v>
      </c>
      <c r="I25" s="135">
        <f t="shared" si="2"/>
        <v>47.648236594329646</v>
      </c>
      <c r="J25" s="135">
        <f t="shared" si="3"/>
        <v>120.21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95.16</v>
      </c>
      <c r="E26" s="133">
        <f t="shared" si="7"/>
        <v>27.46</v>
      </c>
      <c r="F26" s="135">
        <f t="shared" si="1"/>
        <v>48.603183663115175</v>
      </c>
      <c r="G26" s="133">
        <f t="shared" si="8"/>
        <v>0</v>
      </c>
      <c r="H26" s="143">
        <f t="shared" si="8"/>
        <v>0</v>
      </c>
      <c r="I26" s="135">
        <f t="shared" si="2"/>
        <v>48.603183663115175</v>
      </c>
      <c r="J26" s="135">
        <f t="shared" si="3"/>
        <v>122.62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97.06</v>
      </c>
      <c r="E27" s="133">
        <f t="shared" si="7"/>
        <v>28.01</v>
      </c>
      <c r="F27" s="135">
        <f t="shared" si="1"/>
        <v>49.574296042617966</v>
      </c>
      <c r="G27" s="133">
        <f t="shared" si="8"/>
        <v>0</v>
      </c>
      <c r="H27" s="143">
        <f t="shared" si="8"/>
        <v>0</v>
      </c>
      <c r="I27" s="135">
        <f t="shared" si="2"/>
        <v>49.574296042617966</v>
      </c>
      <c r="J27" s="135">
        <f t="shared" si="3"/>
        <v>125.07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</v>
      </c>
      <c r="E28" s="133">
        <f t="shared" si="7"/>
        <v>28.57</v>
      </c>
      <c r="F28" s="135">
        <f t="shared" si="1"/>
        <v>50.565227042110607</v>
      </c>
      <c r="G28" s="133">
        <f t="shared" si="8"/>
        <v>0</v>
      </c>
      <c r="H28" s="143">
        <f t="shared" si="8"/>
        <v>0</v>
      </c>
      <c r="I28" s="135">
        <f t="shared" si="2"/>
        <v>50.565227042110607</v>
      </c>
      <c r="J28" s="135">
        <f t="shared" si="3"/>
        <v>127.57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100.98</v>
      </c>
      <c r="E29" s="133">
        <f t="shared" si="11"/>
        <v>29.14</v>
      </c>
      <c r="F29" s="135">
        <f t="shared" si="1"/>
        <v>51.575976661593103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51.575976661593103</v>
      </c>
      <c r="J29" s="135">
        <f t="shared" si="3"/>
        <v>130.12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</v>
      </c>
      <c r="E30" s="133">
        <f t="shared" si="11"/>
        <v>29.72</v>
      </c>
      <c r="F30" s="135">
        <f t="shared" si="1"/>
        <v>52.606544901065455</v>
      </c>
      <c r="G30" s="133">
        <f t="shared" si="12"/>
        <v>0</v>
      </c>
      <c r="H30" s="143">
        <f t="shared" si="12"/>
        <v>0</v>
      </c>
      <c r="I30" s="135">
        <f t="shared" si="2"/>
        <v>52.606544901065455</v>
      </c>
      <c r="J30" s="135">
        <f t="shared" si="3"/>
        <v>132.72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105.16</v>
      </c>
      <c r="E31" s="133">
        <f t="shared" si="11"/>
        <v>30.34</v>
      </c>
      <c r="F31" s="135">
        <f t="shared" si="1"/>
        <v>53.708460172501276</v>
      </c>
      <c r="G31" s="133">
        <f t="shared" si="12"/>
        <v>0</v>
      </c>
      <c r="H31" s="143">
        <f t="shared" si="12"/>
        <v>0</v>
      </c>
      <c r="I31" s="135">
        <f t="shared" si="2"/>
        <v>53.708460172501276</v>
      </c>
      <c r="J31" s="135">
        <f t="shared" si="3"/>
        <v>135.5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107.37</v>
      </c>
      <c r="E32" s="133">
        <f t="shared" si="11"/>
        <v>30.98</v>
      </c>
      <c r="F32" s="135">
        <f t="shared" si="1"/>
        <v>54.838121511922886</v>
      </c>
      <c r="G32" s="133">
        <f t="shared" si="12"/>
        <v>0</v>
      </c>
      <c r="H32" s="143">
        <f t="shared" si="12"/>
        <v>0</v>
      </c>
      <c r="I32" s="135">
        <f t="shared" si="2"/>
        <v>54.838121511922886</v>
      </c>
      <c r="J32" s="135">
        <f t="shared" si="3"/>
        <v>138.35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109.62</v>
      </c>
      <c r="E33" s="133">
        <f t="shared" si="11"/>
        <v>31.63</v>
      </c>
      <c r="F33" s="135">
        <f t="shared" si="1"/>
        <v>55.987601471334351</v>
      </c>
      <c r="G33" s="133">
        <f t="shared" si="12"/>
        <v>0</v>
      </c>
      <c r="H33" s="143">
        <f t="shared" si="12"/>
        <v>0</v>
      </c>
      <c r="I33" s="135">
        <f t="shared" si="2"/>
        <v>55.987601471334351</v>
      </c>
      <c r="J33" s="135">
        <f t="shared" si="3"/>
        <v>141.25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111.92</v>
      </c>
      <c r="E34" s="133">
        <f t="shared" si="11"/>
        <v>32.29</v>
      </c>
      <c r="F34" s="135">
        <f t="shared" si="1"/>
        <v>57.160863774733649</v>
      </c>
      <c r="G34" s="133">
        <f t="shared" si="12"/>
        <v>0</v>
      </c>
      <c r="H34" s="143">
        <f t="shared" si="12"/>
        <v>0</v>
      </c>
      <c r="I34" s="135">
        <f t="shared" si="2"/>
        <v>57.160863774733649</v>
      </c>
      <c r="J34" s="135">
        <f t="shared" si="3"/>
        <v>144.21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114.38</v>
      </c>
      <c r="E35" s="133">
        <f t="shared" si="11"/>
        <v>33</v>
      </c>
      <c r="F35" s="135">
        <f t="shared" si="1"/>
        <v>58.417364282090311</v>
      </c>
      <c r="G35" s="133">
        <f t="shared" si="12"/>
        <v>0</v>
      </c>
      <c r="H35" s="143">
        <f t="shared" si="12"/>
        <v>0</v>
      </c>
      <c r="I35" s="135">
        <f t="shared" si="2"/>
        <v>58.417364282090311</v>
      </c>
      <c r="J35" s="135">
        <f t="shared" si="3"/>
        <v>147.38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116.9</v>
      </c>
      <c r="E36" s="133">
        <f t="shared" si="11"/>
        <v>33.729999999999997</v>
      </c>
      <c r="F36" s="135">
        <f t="shared" si="1"/>
        <v>59.705574581430746</v>
      </c>
      <c r="G36" s="133">
        <f t="shared" si="12"/>
        <v>0</v>
      </c>
      <c r="H36" s="143">
        <f t="shared" si="12"/>
        <v>0</v>
      </c>
      <c r="I36" s="135">
        <f t="shared" si="2"/>
        <v>59.705574581430746</v>
      </c>
      <c r="J36" s="135">
        <f t="shared" si="3"/>
        <v>150.63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139</v>
      </c>
      <c r="C55" s="186">
        <v>1208.4830190730411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27.46</v>
      </c>
      <c r="F26" s="135">
        <f t="shared" si="1"/>
        <v>47.651503708146834</v>
      </c>
      <c r="G26" s="133">
        <f t="shared" si="8"/>
        <v>0</v>
      </c>
      <c r="H26" s="143">
        <f t="shared" si="8"/>
        <v>0</v>
      </c>
      <c r="I26" s="135">
        <f t="shared" si="2"/>
        <v>47.651503708146834</v>
      </c>
      <c r="J26" s="135">
        <f t="shared" si="3"/>
        <v>120.22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94.61</v>
      </c>
      <c r="E27" s="133">
        <f t="shared" si="7"/>
        <v>28.01</v>
      </c>
      <c r="F27" s="135">
        <f t="shared" si="1"/>
        <v>48.603183663115175</v>
      </c>
      <c r="G27" s="133">
        <f t="shared" si="8"/>
        <v>0</v>
      </c>
      <c r="H27" s="143">
        <f t="shared" si="8"/>
        <v>0</v>
      </c>
      <c r="I27" s="135">
        <f t="shared" si="2"/>
        <v>48.603183663115175</v>
      </c>
      <c r="J27" s="135">
        <f t="shared" si="3"/>
        <v>122.62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96.5</v>
      </c>
      <c r="E28" s="133">
        <f t="shared" si="7"/>
        <v>28.57</v>
      </c>
      <c r="F28" s="135">
        <f t="shared" si="1"/>
        <v>49.574296042617959</v>
      </c>
      <c r="G28" s="133">
        <f t="shared" si="8"/>
        <v>0</v>
      </c>
      <c r="H28" s="143">
        <f t="shared" si="8"/>
        <v>0</v>
      </c>
      <c r="I28" s="135">
        <f t="shared" si="2"/>
        <v>49.574296042617959</v>
      </c>
      <c r="J28" s="135">
        <f t="shared" si="3"/>
        <v>125.07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98.43</v>
      </c>
      <c r="E29" s="133">
        <f t="shared" si="11"/>
        <v>29.14</v>
      </c>
      <c r="F29" s="135">
        <f t="shared" si="1"/>
        <v>50.565227042110614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50.565227042110614</v>
      </c>
      <c r="J29" s="135">
        <f t="shared" si="3"/>
        <v>127.57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100.4</v>
      </c>
      <c r="E30" s="133">
        <f t="shared" si="11"/>
        <v>29.72</v>
      </c>
      <c r="F30" s="135">
        <f t="shared" si="1"/>
        <v>51.575976661593103</v>
      </c>
      <c r="G30" s="133">
        <f t="shared" si="12"/>
        <v>0</v>
      </c>
      <c r="H30" s="143">
        <f t="shared" si="12"/>
        <v>0</v>
      </c>
      <c r="I30" s="135">
        <f t="shared" si="2"/>
        <v>51.575976661593103</v>
      </c>
      <c r="J30" s="135">
        <f t="shared" si="3"/>
        <v>130.12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102.51</v>
      </c>
      <c r="E31" s="133">
        <f t="shared" si="11"/>
        <v>30.34</v>
      </c>
      <c r="F31" s="135">
        <f t="shared" si="1"/>
        <v>52.658073313039068</v>
      </c>
      <c r="G31" s="133">
        <f t="shared" si="12"/>
        <v>0</v>
      </c>
      <c r="H31" s="143">
        <f t="shared" si="12"/>
        <v>0</v>
      </c>
      <c r="I31" s="135">
        <f t="shared" si="2"/>
        <v>52.658073313039068</v>
      </c>
      <c r="J31" s="135">
        <f t="shared" si="3"/>
        <v>132.85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104.66</v>
      </c>
      <c r="E32" s="133">
        <f t="shared" si="11"/>
        <v>30.98</v>
      </c>
      <c r="F32" s="135">
        <f t="shared" si="1"/>
        <v>53.763952308472852</v>
      </c>
      <c r="G32" s="133">
        <f t="shared" si="12"/>
        <v>0</v>
      </c>
      <c r="H32" s="143">
        <f t="shared" si="12"/>
        <v>0</v>
      </c>
      <c r="I32" s="135">
        <f t="shared" si="2"/>
        <v>53.763952308472852</v>
      </c>
      <c r="J32" s="135">
        <f t="shared" si="3"/>
        <v>135.63999999999999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106.86</v>
      </c>
      <c r="E33" s="133">
        <f t="shared" si="11"/>
        <v>31.63</v>
      </c>
      <c r="F33" s="135">
        <f t="shared" si="1"/>
        <v>54.893613647894476</v>
      </c>
      <c r="G33" s="133">
        <f t="shared" si="12"/>
        <v>0</v>
      </c>
      <c r="H33" s="143">
        <f t="shared" si="12"/>
        <v>0</v>
      </c>
      <c r="I33" s="135">
        <f t="shared" si="2"/>
        <v>54.893613647894476</v>
      </c>
      <c r="J33" s="135">
        <f t="shared" si="3"/>
        <v>138.49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109.1</v>
      </c>
      <c r="E34" s="133">
        <f t="shared" si="11"/>
        <v>32.29</v>
      </c>
      <c r="F34" s="135">
        <f t="shared" si="1"/>
        <v>56.043093607305934</v>
      </c>
      <c r="G34" s="133">
        <f t="shared" si="12"/>
        <v>0</v>
      </c>
      <c r="H34" s="143">
        <f t="shared" si="12"/>
        <v>0</v>
      </c>
      <c r="I34" s="135">
        <f t="shared" si="2"/>
        <v>56.043093607305934</v>
      </c>
      <c r="J34" s="135">
        <f t="shared" si="3"/>
        <v>141.38999999999999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111.5</v>
      </c>
      <c r="E35" s="133">
        <f t="shared" si="11"/>
        <v>33</v>
      </c>
      <c r="F35" s="135">
        <f t="shared" si="1"/>
        <v>57.275811770674792</v>
      </c>
      <c r="G35" s="133">
        <f t="shared" si="12"/>
        <v>0</v>
      </c>
      <c r="H35" s="143">
        <f t="shared" si="12"/>
        <v>0</v>
      </c>
      <c r="I35" s="135">
        <f t="shared" si="2"/>
        <v>57.275811770674792</v>
      </c>
      <c r="J35" s="135">
        <f t="shared" si="3"/>
        <v>144.5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113.95</v>
      </c>
      <c r="E36" s="133">
        <f t="shared" si="11"/>
        <v>33.729999999999997</v>
      </c>
      <c r="F36" s="135">
        <f t="shared" si="1"/>
        <v>58.536276002029432</v>
      </c>
      <c r="G36" s="133">
        <f t="shared" si="12"/>
        <v>0</v>
      </c>
      <c r="H36" s="143">
        <f t="shared" si="12"/>
        <v>0</v>
      </c>
      <c r="I36" s="135">
        <f t="shared" si="2"/>
        <v>58.536276002029432</v>
      </c>
      <c r="J36" s="135">
        <f t="shared" si="3"/>
        <v>147.68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1201.5946658643247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27.46</v>
      </c>
      <c r="F26" s="135">
        <f t="shared" si="1"/>
        <v>10.884386098427196</v>
      </c>
      <c r="G26" s="133">
        <f t="shared" si="8"/>
        <v>0</v>
      </c>
      <c r="H26" s="143">
        <f t="shared" si="8"/>
        <v>0</v>
      </c>
      <c r="I26" s="135">
        <f t="shared" si="2"/>
        <v>10.884386098427196</v>
      </c>
      <c r="J26" s="135">
        <f t="shared" si="3"/>
        <v>27.46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28.01</v>
      </c>
      <c r="F27" s="135">
        <f t="shared" si="1"/>
        <v>47.659935957659819</v>
      </c>
      <c r="G27" s="133">
        <f t="shared" si="8"/>
        <v>0</v>
      </c>
      <c r="H27" s="143">
        <f t="shared" si="8"/>
        <v>0</v>
      </c>
      <c r="I27" s="135">
        <f t="shared" si="2"/>
        <v>47.659935957659819</v>
      </c>
      <c r="J27" s="135">
        <f t="shared" si="3"/>
        <v>120.24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94.07</v>
      </c>
      <c r="E28" s="133">
        <f t="shared" si="7"/>
        <v>28.57</v>
      </c>
      <c r="F28" s="135">
        <f t="shared" si="1"/>
        <v>48.611111111111107</v>
      </c>
      <c r="G28" s="133">
        <f t="shared" si="8"/>
        <v>0</v>
      </c>
      <c r="H28" s="143">
        <f t="shared" si="8"/>
        <v>0</v>
      </c>
      <c r="I28" s="135">
        <f t="shared" si="2"/>
        <v>48.611111111111107</v>
      </c>
      <c r="J28" s="135">
        <f t="shared" si="3"/>
        <v>122.64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95.95</v>
      </c>
      <c r="E29" s="133">
        <f t="shared" si="11"/>
        <v>29.14</v>
      </c>
      <c r="F29" s="135">
        <f t="shared" si="1"/>
        <v>49.582223490613906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49.582223490613906</v>
      </c>
      <c r="J29" s="135">
        <f t="shared" si="3"/>
        <v>125.09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97.87</v>
      </c>
      <c r="E30" s="133">
        <f t="shared" si="11"/>
        <v>29.72</v>
      </c>
      <c r="F30" s="135">
        <f t="shared" si="1"/>
        <v>50.573154490106553</v>
      </c>
      <c r="G30" s="133">
        <f t="shared" si="12"/>
        <v>0</v>
      </c>
      <c r="H30" s="143">
        <f t="shared" si="12"/>
        <v>0</v>
      </c>
      <c r="I30" s="135">
        <f t="shared" si="2"/>
        <v>50.573154490106553</v>
      </c>
      <c r="J30" s="135">
        <f t="shared" si="3"/>
        <v>127.59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99.93</v>
      </c>
      <c r="E31" s="133">
        <f t="shared" si="11"/>
        <v>30.34</v>
      </c>
      <c r="F31" s="135">
        <f t="shared" si="1"/>
        <v>51.63543252156267</v>
      </c>
      <c r="G31" s="133">
        <f t="shared" si="12"/>
        <v>0</v>
      </c>
      <c r="H31" s="143">
        <f t="shared" si="12"/>
        <v>0</v>
      </c>
      <c r="I31" s="135">
        <f t="shared" si="2"/>
        <v>51.63543252156267</v>
      </c>
      <c r="J31" s="135">
        <f t="shared" si="3"/>
        <v>130.27000000000001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102.03</v>
      </c>
      <c r="E32" s="133">
        <f t="shared" si="11"/>
        <v>30.98</v>
      </c>
      <c r="F32" s="135">
        <f t="shared" si="1"/>
        <v>52.721492897006598</v>
      </c>
      <c r="G32" s="133">
        <f t="shared" si="12"/>
        <v>0</v>
      </c>
      <c r="H32" s="143">
        <f t="shared" si="12"/>
        <v>0</v>
      </c>
      <c r="I32" s="135">
        <f t="shared" si="2"/>
        <v>52.721492897006598</v>
      </c>
      <c r="J32" s="135">
        <f t="shared" si="3"/>
        <v>133.01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104.17</v>
      </c>
      <c r="E33" s="133">
        <f t="shared" si="11"/>
        <v>31.63</v>
      </c>
      <c r="F33" s="135">
        <f t="shared" si="1"/>
        <v>53.827371892440397</v>
      </c>
      <c r="G33" s="133">
        <f t="shared" si="12"/>
        <v>0</v>
      </c>
      <c r="H33" s="143">
        <f t="shared" si="12"/>
        <v>0</v>
      </c>
      <c r="I33" s="135">
        <f t="shared" si="2"/>
        <v>53.827371892440397</v>
      </c>
      <c r="J33" s="135">
        <f t="shared" si="3"/>
        <v>135.80000000000001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106.36</v>
      </c>
      <c r="E34" s="133">
        <f t="shared" si="11"/>
        <v>32.29</v>
      </c>
      <c r="F34" s="135">
        <f t="shared" si="1"/>
        <v>54.957033231862006</v>
      </c>
      <c r="G34" s="133">
        <f t="shared" si="12"/>
        <v>0</v>
      </c>
      <c r="H34" s="143">
        <f t="shared" si="12"/>
        <v>0</v>
      </c>
      <c r="I34" s="135">
        <f t="shared" si="2"/>
        <v>54.957033231862006</v>
      </c>
      <c r="J34" s="135">
        <f t="shared" si="3"/>
        <v>138.65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108.7</v>
      </c>
      <c r="E35" s="133">
        <f t="shared" si="11"/>
        <v>33</v>
      </c>
      <c r="F35" s="135">
        <f t="shared" si="1"/>
        <v>56.165969051243025</v>
      </c>
      <c r="G35" s="133">
        <f t="shared" si="12"/>
        <v>0</v>
      </c>
      <c r="H35" s="143">
        <f t="shared" si="12"/>
        <v>0</v>
      </c>
      <c r="I35" s="135">
        <f t="shared" si="2"/>
        <v>56.165969051243025</v>
      </c>
      <c r="J35" s="135">
        <f t="shared" si="3"/>
        <v>141.69999999999999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111.09</v>
      </c>
      <c r="E36" s="133">
        <f t="shared" si="11"/>
        <v>33.729999999999997</v>
      </c>
      <c r="F36" s="135">
        <f t="shared" si="1"/>
        <v>57.402650938609845</v>
      </c>
      <c r="G36" s="133">
        <f t="shared" si="12"/>
        <v>0</v>
      </c>
      <c r="H36" s="143">
        <f t="shared" si="12"/>
        <v>0</v>
      </c>
      <c r="I36" s="135">
        <f t="shared" si="2"/>
        <v>57.402650938609845</v>
      </c>
      <c r="J36" s="135">
        <f t="shared" si="3"/>
        <v>144.82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1194.745576268898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  <c r="N5" s="247" t="s">
        <v>163</v>
      </c>
      <c r="O5" s="247" t="s">
        <v>164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ref="H12" si="4">ROUND(H11*(1+$D67),2)</f>
        <v>1.84</v>
      </c>
      <c r="I12" s="133"/>
      <c r="J12" s="135">
        <f t="shared" ref="J12:J36" si="5">(F12+G12+H12)*N12/12+I12*O12/12</f>
        <v>10.965284562267735</v>
      </c>
      <c r="K12" s="135">
        <f t="shared" si="2"/>
        <v>37.270000000000003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ref="H13" si="7">ROUND(H12*(1+$D68),2)</f>
        <v>1.88</v>
      </c>
      <c r="I13" s="133"/>
      <c r="J13" s="135">
        <f t="shared" si="5"/>
        <v>11.208891175343496</v>
      </c>
      <c r="K13" s="135">
        <f t="shared" si="2"/>
        <v>38.090000000000003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28.18</v>
      </c>
      <c r="F14" s="135">
        <f t="shared" si="1"/>
        <v>28.406117189417476</v>
      </c>
      <c r="G14" s="133">
        <f t="shared" si="3"/>
        <v>1.27</v>
      </c>
      <c r="H14" s="133">
        <f t="shared" ref="H14" si="8">ROUND(H13*(1+$D69),2)</f>
        <v>1.93</v>
      </c>
      <c r="I14" s="133">
        <v>-33.15</v>
      </c>
      <c r="J14" s="135">
        <f t="shared" si="5"/>
        <v>-0.25731380176375396</v>
      </c>
      <c r="K14" s="135">
        <f t="shared" si="2"/>
        <v>-0.87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</v>
      </c>
      <c r="E15" s="133">
        <f t="shared" si="3"/>
        <v>28.86</v>
      </c>
      <c r="F15" s="135">
        <f t="shared" si="1"/>
        <v>29.089406387575778</v>
      </c>
      <c r="G15" s="133">
        <f t="shared" si="3"/>
        <v>1.3</v>
      </c>
      <c r="H15" s="133">
        <f t="shared" ref="H15" si="9">ROUND(H14*(1+$D70),2)</f>
        <v>1.98</v>
      </c>
      <c r="I15" s="133">
        <v>-34.479999999999997</v>
      </c>
      <c r="J15" s="135">
        <f t="shared" si="5"/>
        <v>-2.1105936124242177</v>
      </c>
      <c r="K15" s="135">
        <f t="shared" si="2"/>
        <v>-7.17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71.680000000000007</v>
      </c>
      <c r="E16" s="133">
        <f t="shared" si="3"/>
        <v>29.55</v>
      </c>
      <c r="F16" s="135">
        <f t="shared" si="1"/>
        <v>29.786775324846207</v>
      </c>
      <c r="G16" s="133">
        <f t="shared" si="3"/>
        <v>1.33</v>
      </c>
      <c r="H16" s="133">
        <f t="shared" ref="H16" si="10">ROUND(H15*(1+$D71),2)</f>
        <v>2.0299999999999998</v>
      </c>
      <c r="I16" s="133">
        <v>-34.479999999999997</v>
      </c>
      <c r="J16" s="135">
        <f t="shared" si="5"/>
        <v>-1.3332246751537866</v>
      </c>
      <c r="K16" s="135">
        <f t="shared" si="2"/>
        <v>-4.53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73.400000000000006</v>
      </c>
      <c r="E17" s="133">
        <f t="shared" si="3"/>
        <v>30.26</v>
      </c>
      <c r="F17" s="135">
        <f t="shared" si="1"/>
        <v>30.501799171920954</v>
      </c>
      <c r="G17" s="133">
        <f t="shared" si="3"/>
        <v>1.36</v>
      </c>
      <c r="H17" s="133">
        <f t="shared" ref="H17" si="11">ROUND(H16*(1+$D72),2)</f>
        <v>2.08</v>
      </c>
      <c r="I17" s="133">
        <v>-35.799999999999997</v>
      </c>
      <c r="J17" s="135">
        <f t="shared" si="5"/>
        <v>-1.8582008280790419</v>
      </c>
      <c r="K17" s="135">
        <f t="shared" si="2"/>
        <v>-6.32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75.09</v>
      </c>
      <c r="E18" s="133">
        <f t="shared" si="3"/>
        <v>30.96</v>
      </c>
      <c r="F18" s="135">
        <f t="shared" si="1"/>
        <v>31.205053079126156</v>
      </c>
      <c r="G18" s="133">
        <f t="shared" si="3"/>
        <v>1.39</v>
      </c>
      <c r="H18" s="133">
        <f t="shared" ref="H18" si="12">ROUND(H17*(1+$D73),2)</f>
        <v>2.13</v>
      </c>
      <c r="I18" s="133">
        <v>-35.799999999999997</v>
      </c>
      <c r="J18" s="135">
        <f t="shared" si="5"/>
        <v>-1.0749469208738418</v>
      </c>
      <c r="K18" s="135">
        <f t="shared" si="2"/>
        <v>-3.65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76.819999999999993</v>
      </c>
      <c r="E19" s="133">
        <f t="shared" si="3"/>
        <v>31.67</v>
      </c>
      <c r="F19" s="135">
        <f t="shared" si="1"/>
        <v>31.92301941116828</v>
      </c>
      <c r="G19" s="133">
        <f t="shared" si="3"/>
        <v>1.42</v>
      </c>
      <c r="H19" s="133">
        <f t="shared" ref="H19" si="13">ROUND(H18*(1+$D74),2)</f>
        <v>2.1800000000000002</v>
      </c>
      <c r="I19" s="133">
        <v>-37.130000000000003</v>
      </c>
      <c r="J19" s="135">
        <f t="shared" si="5"/>
        <v>-1.6069805888317248</v>
      </c>
      <c r="K19" s="135">
        <f t="shared" si="2"/>
        <v>-5.46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78.510000000000005</v>
      </c>
      <c r="E20" s="133">
        <f>ROUND(E19*(1+$G66),2)</f>
        <v>32.369999999999997</v>
      </c>
      <c r="F20" s="135">
        <f t="shared" si="1"/>
        <v>32.626273318373478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5"/>
        <v>-0.82372668162652474</v>
      </c>
      <c r="K20" s="135">
        <f t="shared" si="2"/>
        <v>-2.8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80.239999999999995</v>
      </c>
      <c r="E21" s="133">
        <f t="shared" si="14"/>
        <v>33.08</v>
      </c>
      <c r="F21" s="135">
        <f t="shared" si="1"/>
        <v>33.344239650415609</v>
      </c>
      <c r="G21" s="133">
        <f t="shared" si="14"/>
        <v>1.48</v>
      </c>
      <c r="H21" s="133">
        <f t="shared" ref="H21" si="15">ROUND(H20*(1+$G67),2)</f>
        <v>2.2799999999999998</v>
      </c>
      <c r="I21" s="133">
        <v>-38.450000000000003</v>
      </c>
      <c r="J21" s="135">
        <f t="shared" si="5"/>
        <v>-1.3457603495843955</v>
      </c>
      <c r="K21" s="135">
        <f t="shared" si="2"/>
        <v>-4.57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82.01</v>
      </c>
      <c r="E22" s="133">
        <f t="shared" si="14"/>
        <v>33.81</v>
      </c>
      <c r="F22" s="135">
        <f t="shared" si="1"/>
        <v>34.079860892262055</v>
      </c>
      <c r="G22" s="133">
        <f t="shared" si="14"/>
        <v>1.51</v>
      </c>
      <c r="H22" s="133">
        <f t="shared" ref="H22" si="17">ROUND(H21*(1+$G68),2)</f>
        <v>2.33</v>
      </c>
      <c r="I22" s="133">
        <v>-38.450000000000003</v>
      </c>
      <c r="J22" s="135">
        <f t="shared" si="5"/>
        <v>-0.53013910773795203</v>
      </c>
      <c r="K22" s="135">
        <f t="shared" si="2"/>
        <v>-1.8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83.73</v>
      </c>
      <c r="E23" s="133">
        <f t="shared" si="14"/>
        <v>34.520000000000003</v>
      </c>
      <c r="F23" s="135">
        <f t="shared" si="1"/>
        <v>34.794884739336794</v>
      </c>
      <c r="G23" s="133">
        <f t="shared" si="14"/>
        <v>1.54</v>
      </c>
      <c r="H23" s="133">
        <f t="shared" ref="H23" si="18">ROUND(H22*(1+$G69),2)</f>
        <v>2.38</v>
      </c>
      <c r="I23" s="133">
        <v>-39.78</v>
      </c>
      <c r="J23" s="135">
        <f t="shared" si="5"/>
        <v>-1.0651152606632053</v>
      </c>
      <c r="K23" s="135">
        <f t="shared" si="2"/>
        <v>-3.62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85.4</v>
      </c>
      <c r="E24" s="133">
        <f t="shared" si="14"/>
        <v>35.21</v>
      </c>
      <c r="F24" s="135">
        <f t="shared" si="1"/>
        <v>35.489311191639842</v>
      </c>
      <c r="G24" s="133">
        <f t="shared" si="14"/>
        <v>1.57</v>
      </c>
      <c r="H24" s="133">
        <f t="shared" ref="H24" si="19">ROUND(H23*(1+$G70),2)</f>
        <v>2.4300000000000002</v>
      </c>
      <c r="I24" s="133">
        <v>-41.11</v>
      </c>
      <c r="J24" s="135">
        <f t="shared" si="5"/>
        <v>5.2309778583065096</v>
      </c>
      <c r="K24" s="135">
        <f t="shared" si="2"/>
        <v>17.78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87.11</v>
      </c>
      <c r="E25" s="133">
        <f t="shared" si="14"/>
        <v>35.909999999999997</v>
      </c>
      <c r="F25" s="135">
        <f t="shared" si="1"/>
        <v>36.198450068779813</v>
      </c>
      <c r="G25" s="133">
        <f t="shared" si="14"/>
        <v>1.6</v>
      </c>
      <c r="H25" s="133">
        <f t="shared" ref="H25" si="20">ROUND(H24*(1+$G71),2)</f>
        <v>2.48</v>
      </c>
      <c r="I25" s="133"/>
      <c r="J25" s="135">
        <f t="shared" si="5"/>
        <v>40.278450068779811</v>
      </c>
      <c r="K25" s="135">
        <f t="shared" si="2"/>
        <v>136.88999999999999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88.85</v>
      </c>
      <c r="E26" s="133">
        <f t="shared" si="14"/>
        <v>36.630000000000003</v>
      </c>
      <c r="F26" s="135">
        <f t="shared" si="1"/>
        <v>36.922301370756713</v>
      </c>
      <c r="G26" s="133">
        <f t="shared" si="14"/>
        <v>1.63</v>
      </c>
      <c r="H26" s="133">
        <f t="shared" ref="H26" si="21">ROUND(H25*(1+$G72),2)</f>
        <v>2.5299999999999998</v>
      </c>
      <c r="I26" s="133"/>
      <c r="J26" s="135">
        <f t="shared" si="5"/>
        <v>41.082301370756717</v>
      </c>
      <c r="K26" s="135">
        <f t="shared" si="2"/>
        <v>139.62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90.63</v>
      </c>
      <c r="E27" s="133">
        <f t="shared" si="14"/>
        <v>37.36</v>
      </c>
      <c r="F27" s="135">
        <f t="shared" si="1"/>
        <v>37.660865097570543</v>
      </c>
      <c r="G27" s="133">
        <f t="shared" si="14"/>
        <v>1.66</v>
      </c>
      <c r="H27" s="133">
        <f t="shared" ref="H27" si="22">ROUND(H26*(1+$G73),2)</f>
        <v>2.58</v>
      </c>
      <c r="I27" s="133"/>
      <c r="J27" s="135">
        <f t="shared" si="5"/>
        <v>41.900865097570538</v>
      </c>
      <c r="K27" s="135">
        <f t="shared" si="2"/>
        <v>142.4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92.44</v>
      </c>
      <c r="E28" s="133">
        <f t="shared" si="14"/>
        <v>38.11</v>
      </c>
      <c r="F28" s="135">
        <f t="shared" si="1"/>
        <v>38.414141249221302</v>
      </c>
      <c r="G28" s="133">
        <f t="shared" si="14"/>
        <v>1.69</v>
      </c>
      <c r="H28" s="133">
        <f t="shared" ref="H28" si="23">ROUND(H27*(1+$G74),2)</f>
        <v>2.63</v>
      </c>
      <c r="I28" s="133"/>
      <c r="J28" s="135">
        <f t="shared" si="5"/>
        <v>42.734141249221302</v>
      </c>
      <c r="K28" s="135">
        <f t="shared" si="2"/>
        <v>145.22999999999999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94.29</v>
      </c>
      <c r="E29" s="133">
        <f>ROUND(E28*(1+$L66),2)</f>
        <v>38.869999999999997</v>
      </c>
      <c r="F29" s="135">
        <f t="shared" si="1"/>
        <v>39.182129825708991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5"/>
        <v>43.582129825708989</v>
      </c>
      <c r="K29" s="135">
        <f t="shared" si="2"/>
        <v>148.11000000000001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96.18</v>
      </c>
      <c r="E30" s="133">
        <f t="shared" si="24"/>
        <v>39.65</v>
      </c>
      <c r="F30" s="135">
        <f t="shared" si="1"/>
        <v>39.967773312000993</v>
      </c>
      <c r="G30" s="133">
        <f t="shared" si="24"/>
        <v>1.75</v>
      </c>
      <c r="H30" s="133">
        <f t="shared" ref="H30" si="25">ROUND(H29*(1+$L67),2)</f>
        <v>2.73</v>
      </c>
      <c r="I30" s="133"/>
      <c r="J30" s="135">
        <f t="shared" si="5"/>
        <v>44.447773312000983</v>
      </c>
      <c r="K30" s="135">
        <f t="shared" si="2"/>
        <v>151.06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98.2</v>
      </c>
      <c r="E31" s="133">
        <f t="shared" si="24"/>
        <v>40.479999999999997</v>
      </c>
      <c r="F31" s="135">
        <f t="shared" si="1"/>
        <v>40.806381527705938</v>
      </c>
      <c r="G31" s="133">
        <f t="shared" si="24"/>
        <v>1.79</v>
      </c>
      <c r="H31" s="133">
        <f t="shared" ref="H31" si="27">ROUND(H30*(1+$L68),2)</f>
        <v>2.79</v>
      </c>
      <c r="I31" s="133"/>
      <c r="J31" s="135">
        <f t="shared" si="5"/>
        <v>45.386381527705936</v>
      </c>
      <c r="K31" s="135">
        <f t="shared" si="2"/>
        <v>154.25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100.26</v>
      </c>
      <c r="E32" s="133">
        <f t="shared" si="24"/>
        <v>41.33</v>
      </c>
      <c r="F32" s="135">
        <f t="shared" si="1"/>
        <v>41.662644653215196</v>
      </c>
      <c r="G32" s="133">
        <f t="shared" si="24"/>
        <v>1.83</v>
      </c>
      <c r="H32" s="133">
        <f t="shared" ref="H32" si="28">ROUND(H31*(1+$L69),2)</f>
        <v>2.85</v>
      </c>
      <c r="I32" s="133"/>
      <c r="J32" s="135">
        <f t="shared" si="5"/>
        <v>46.342644653215196</v>
      </c>
      <c r="K32" s="135">
        <f t="shared" si="2"/>
        <v>157.49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102.37</v>
      </c>
      <c r="E33" s="133">
        <f t="shared" si="24"/>
        <v>42.2</v>
      </c>
      <c r="F33" s="135">
        <f t="shared" si="1"/>
        <v>42.53950517349616</v>
      </c>
      <c r="G33" s="133">
        <f t="shared" si="24"/>
        <v>1.87</v>
      </c>
      <c r="H33" s="133">
        <f t="shared" ref="H33" si="29">ROUND(H32*(1+$L70),2)</f>
        <v>2.91</v>
      </c>
      <c r="I33" s="133"/>
      <c r="J33" s="135">
        <f t="shared" si="5"/>
        <v>47.319505173496147</v>
      </c>
      <c r="K33" s="135">
        <f t="shared" si="2"/>
        <v>160.81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104.52</v>
      </c>
      <c r="E34" s="133">
        <f t="shared" si="24"/>
        <v>43.09</v>
      </c>
      <c r="F34" s="135">
        <f t="shared" si="1"/>
        <v>43.434020603581438</v>
      </c>
      <c r="G34" s="133">
        <f t="shared" si="24"/>
        <v>1.91</v>
      </c>
      <c r="H34" s="133">
        <f t="shared" ref="H34" si="30">ROUND(H33*(1+$L71),2)</f>
        <v>2.97</v>
      </c>
      <c r="I34" s="133"/>
      <c r="J34" s="135">
        <f t="shared" si="5"/>
        <v>48.314020603581433</v>
      </c>
      <c r="K34" s="135">
        <f t="shared" si="2"/>
        <v>164.19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106.82</v>
      </c>
      <c r="E35" s="133">
        <f t="shared" si="24"/>
        <v>44.04</v>
      </c>
      <c r="F35" s="135">
        <f t="shared" si="1"/>
        <v>44.390328217981811</v>
      </c>
      <c r="G35" s="133">
        <f t="shared" si="24"/>
        <v>1.95</v>
      </c>
      <c r="H35" s="133">
        <f t="shared" ref="H35" si="31">ROUND(H34*(1+$L72),2)</f>
        <v>3.04</v>
      </c>
      <c r="I35" s="133"/>
      <c r="J35" s="135">
        <f t="shared" si="5"/>
        <v>49.38032821798182</v>
      </c>
      <c r="K35" s="135">
        <f t="shared" si="2"/>
        <v>167.82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109.17</v>
      </c>
      <c r="E36" s="133">
        <f t="shared" si="24"/>
        <v>45.01</v>
      </c>
      <c r="F36" s="135">
        <f t="shared" si="1"/>
        <v>45.367233227153889</v>
      </c>
      <c r="G36" s="133">
        <f t="shared" si="24"/>
        <v>1.99</v>
      </c>
      <c r="H36" s="133">
        <f t="shared" ref="H36" si="32">ROUND(H35*(1+$L73),2)</f>
        <v>3.11</v>
      </c>
      <c r="I36" s="133"/>
      <c r="J36" s="135">
        <f t="shared" si="5"/>
        <v>50.467233227153891</v>
      </c>
      <c r="K36" s="135">
        <f t="shared" si="2"/>
        <v>171.51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">
        <v>118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113</v>
      </c>
      <c r="C55" s="186">
        <v>1293.6882754756971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41"/>
      <c r="I67" s="86"/>
      <c r="J67" s="88">
        <f t="shared" ref="J67:J74" si="35">J66+1</f>
        <v>2036</v>
      </c>
      <c r="K67" s="88"/>
      <c r="L67" s="41">
        <v>0.02</v>
      </c>
    </row>
    <row r="68" spans="3:15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41"/>
      <c r="I68" s="86"/>
      <c r="J68" s="88">
        <f t="shared" si="35"/>
        <v>2037</v>
      </c>
      <c r="K68" s="88"/>
      <c r="L68" s="41">
        <v>2.1000000000000001E-2</v>
      </c>
    </row>
    <row r="69" spans="3:15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41"/>
      <c r="I69" s="86"/>
      <c r="J69" s="88">
        <f t="shared" si="35"/>
        <v>2038</v>
      </c>
      <c r="K69" s="88"/>
      <c r="L69" s="41">
        <v>2.1000000000000001E-2</v>
      </c>
    </row>
    <row r="70" spans="3:15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41"/>
      <c r="I70" s="86"/>
      <c r="J70" s="88">
        <f t="shared" si="35"/>
        <v>2039</v>
      </c>
      <c r="K70" s="88"/>
      <c r="L70" s="41">
        <v>2.1000000000000001E-2</v>
      </c>
    </row>
    <row r="71" spans="3:15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41"/>
      <c r="I71" s="86"/>
      <c r="J71" s="88">
        <f t="shared" si="35"/>
        <v>2040</v>
      </c>
      <c r="K71" s="88"/>
      <c r="L71" s="41">
        <v>2.1000000000000001E-2</v>
      </c>
    </row>
    <row r="72" spans="3:15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41"/>
      <c r="I72" s="87"/>
      <c r="J72" s="88">
        <f t="shared" si="35"/>
        <v>2041</v>
      </c>
      <c r="K72" s="88"/>
      <c r="L72" s="41">
        <v>2.1999999999999999E-2</v>
      </c>
      <c r="O72" s="176"/>
    </row>
    <row r="73" spans="3:15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41"/>
      <c r="I73" s="87"/>
      <c r="J73" s="88">
        <f t="shared" si="35"/>
        <v>2042</v>
      </c>
      <c r="K73" s="88"/>
      <c r="L73" s="41">
        <v>2.1999999999999999E-2</v>
      </c>
      <c r="O73" s="176"/>
    </row>
    <row r="74" spans="3:15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41"/>
      <c r="I74" s="87"/>
      <c r="J74" s="88">
        <f t="shared" si="35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si="3"/>
        <v>1.84</v>
      </c>
      <c r="I12" s="133"/>
      <c r="J12" s="135">
        <f t="shared" ref="J12:J36" si="4">F12+I12+G12+H12</f>
        <v>10.965284562267737</v>
      </c>
      <c r="K12" s="135">
        <f t="shared" si="2"/>
        <v>37.270000000000003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si="3"/>
        <v>1.88</v>
      </c>
      <c r="I13" s="133"/>
      <c r="J13" s="135">
        <f t="shared" si="4"/>
        <v>11.208891175343496</v>
      </c>
      <c r="K13" s="135">
        <f t="shared" si="2"/>
        <v>38.090000000000003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28.18</v>
      </c>
      <c r="F14" s="135">
        <f t="shared" si="1"/>
        <v>8.2919226380931157</v>
      </c>
      <c r="G14" s="133">
        <f t="shared" si="3"/>
        <v>1.27</v>
      </c>
      <c r="H14" s="133">
        <f t="shared" si="3"/>
        <v>1.93</v>
      </c>
      <c r="I14" s="133"/>
      <c r="J14" s="135">
        <f t="shared" si="4"/>
        <v>11.491922638093115</v>
      </c>
      <c r="K14" s="135">
        <f t="shared" si="2"/>
        <v>39.06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28.86</v>
      </c>
      <c r="F15" s="135">
        <f t="shared" si="1"/>
        <v>28.529772227904676</v>
      </c>
      <c r="G15" s="133">
        <f t="shared" si="3"/>
        <v>1.3</v>
      </c>
      <c r="H15" s="133">
        <f t="shared" si="3"/>
        <v>1.98</v>
      </c>
      <c r="I15" s="133">
        <v>-34.479999999999997</v>
      </c>
      <c r="J15" s="135">
        <f t="shared" si="4"/>
        <v>-2.6702277720953211</v>
      </c>
      <c r="K15" s="135">
        <f t="shared" si="2"/>
        <v>-9.07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69.73</v>
      </c>
      <c r="E16" s="133">
        <f t="shared" si="3"/>
        <v>29.55</v>
      </c>
      <c r="F16" s="135">
        <f t="shared" si="1"/>
        <v>29.212990756205983</v>
      </c>
      <c r="G16" s="133">
        <f t="shared" si="3"/>
        <v>1.33</v>
      </c>
      <c r="H16" s="133">
        <f t="shared" si="3"/>
        <v>2.0299999999999998</v>
      </c>
      <c r="I16" s="133">
        <v>-34.479999999999997</v>
      </c>
      <c r="J16" s="135">
        <f t="shared" si="4"/>
        <v>-1.9070092437940143</v>
      </c>
      <c r="K16" s="135">
        <f t="shared" si="2"/>
        <v>-6.48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71.400000000000006</v>
      </c>
      <c r="E17" s="133">
        <f t="shared" si="3"/>
        <v>30.26</v>
      </c>
      <c r="F17" s="135">
        <f t="shared" si="1"/>
        <v>29.9133021784438</v>
      </c>
      <c r="G17" s="133">
        <f t="shared" si="3"/>
        <v>1.36</v>
      </c>
      <c r="H17" s="133">
        <f t="shared" si="3"/>
        <v>2.08</v>
      </c>
      <c r="I17" s="133">
        <v>-35.799999999999997</v>
      </c>
      <c r="J17" s="135">
        <f t="shared" si="4"/>
        <v>-2.4466978215561968</v>
      </c>
      <c r="K17" s="135">
        <f t="shared" si="2"/>
        <v>-8.32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73.040000000000006</v>
      </c>
      <c r="E18" s="133">
        <f t="shared" si="3"/>
        <v>30.96</v>
      </c>
      <c r="F18" s="135">
        <f t="shared" si="1"/>
        <v>30.601843660812065</v>
      </c>
      <c r="G18" s="133">
        <f t="shared" si="3"/>
        <v>1.39</v>
      </c>
      <c r="H18" s="133">
        <f t="shared" si="3"/>
        <v>2.13</v>
      </c>
      <c r="I18" s="133">
        <v>-35.799999999999997</v>
      </c>
      <c r="J18" s="135">
        <f t="shared" si="4"/>
        <v>-1.6781563391879324</v>
      </c>
      <c r="K18" s="135">
        <f t="shared" si="2"/>
        <v>-5.7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74.72</v>
      </c>
      <c r="E19" s="133">
        <f t="shared" si="3"/>
        <v>31.67</v>
      </c>
      <c r="F19" s="135">
        <f t="shared" si="1"/>
        <v>31.305097568017267</v>
      </c>
      <c r="G19" s="133">
        <f t="shared" si="3"/>
        <v>1.42</v>
      </c>
      <c r="H19" s="133">
        <f t="shared" si="3"/>
        <v>2.1800000000000002</v>
      </c>
      <c r="I19" s="133">
        <v>-37.130000000000003</v>
      </c>
      <c r="J19" s="135">
        <f t="shared" si="4"/>
        <v>-2.2249024319827355</v>
      </c>
      <c r="K19" s="135">
        <f t="shared" si="2"/>
        <v>-7.56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76.36</v>
      </c>
      <c r="E20" s="133">
        <f>ROUND(E19*(1+$G66),2)</f>
        <v>32.369999999999997</v>
      </c>
      <c r="F20" s="135">
        <f t="shared" si="1"/>
        <v>31.993639050385536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4"/>
        <v>-1.4563609496144667</v>
      </c>
      <c r="K20" s="135">
        <f t="shared" si="2"/>
        <v>-4.95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78.040000000000006</v>
      </c>
      <c r="E21" s="133">
        <f t="shared" si="6"/>
        <v>33.08</v>
      </c>
      <c r="F21" s="135">
        <f t="shared" si="1"/>
        <v>32.696892957590741</v>
      </c>
      <c r="G21" s="133">
        <f t="shared" si="6"/>
        <v>1.48</v>
      </c>
      <c r="H21" s="133">
        <f t="shared" si="6"/>
        <v>2.2799999999999998</v>
      </c>
      <c r="I21" s="133">
        <v>-38.450000000000003</v>
      </c>
      <c r="J21" s="135">
        <f t="shared" si="4"/>
        <v>-1.9931070424092616</v>
      </c>
      <c r="K21" s="135">
        <f t="shared" si="2"/>
        <v>-6.77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79.760000000000005</v>
      </c>
      <c r="E22" s="133">
        <f t="shared" si="6"/>
        <v>33.81</v>
      </c>
      <c r="F22" s="135">
        <f t="shared" si="1"/>
        <v>33.417801774600257</v>
      </c>
      <c r="G22" s="133">
        <f t="shared" si="6"/>
        <v>1.51</v>
      </c>
      <c r="H22" s="133">
        <f t="shared" si="6"/>
        <v>2.33</v>
      </c>
      <c r="I22" s="133">
        <v>-38.450000000000003</v>
      </c>
      <c r="J22" s="135">
        <f t="shared" si="4"/>
        <v>-1.1921982253997463</v>
      </c>
      <c r="K22" s="135">
        <f t="shared" si="2"/>
        <v>-4.05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81.430000000000007</v>
      </c>
      <c r="E23" s="133">
        <f t="shared" si="6"/>
        <v>34.520000000000003</v>
      </c>
      <c r="F23" s="135">
        <f t="shared" si="1"/>
        <v>34.118113196838074</v>
      </c>
      <c r="G23" s="133">
        <f t="shared" si="6"/>
        <v>1.54</v>
      </c>
      <c r="H23" s="133">
        <f t="shared" si="6"/>
        <v>2.38</v>
      </c>
      <c r="I23" s="133">
        <v>-39.78</v>
      </c>
      <c r="J23" s="135">
        <f t="shared" si="4"/>
        <v>-1.7418868031619272</v>
      </c>
      <c r="K23" s="135">
        <f t="shared" si="2"/>
        <v>-5.92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83.06</v>
      </c>
      <c r="E24" s="133">
        <f t="shared" si="6"/>
        <v>35.21</v>
      </c>
      <c r="F24" s="135">
        <f t="shared" si="1"/>
        <v>34.80076970927157</v>
      </c>
      <c r="G24" s="133">
        <f t="shared" si="6"/>
        <v>1.57</v>
      </c>
      <c r="H24" s="133">
        <f t="shared" si="6"/>
        <v>2.4300000000000002</v>
      </c>
      <c r="I24" s="133">
        <v>-41.11</v>
      </c>
      <c r="J24" s="135">
        <f t="shared" si="4"/>
        <v>-2.3092302907284288</v>
      </c>
      <c r="K24" s="135">
        <f t="shared" si="2"/>
        <v>-7.85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84.72</v>
      </c>
      <c r="E25" s="133">
        <f t="shared" si="6"/>
        <v>35.909999999999997</v>
      </c>
      <c r="F25" s="135">
        <f t="shared" si="1"/>
        <v>35.495196161574611</v>
      </c>
      <c r="G25" s="133">
        <f t="shared" si="6"/>
        <v>1.6</v>
      </c>
      <c r="H25" s="133">
        <f t="shared" si="6"/>
        <v>2.48</v>
      </c>
      <c r="I25" s="133"/>
      <c r="J25" s="135">
        <f t="shared" si="4"/>
        <v>39.57519616157461</v>
      </c>
      <c r="K25" s="135">
        <f t="shared" si="2"/>
        <v>134.5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86.41</v>
      </c>
      <c r="E26" s="133">
        <f t="shared" si="6"/>
        <v>36.630000000000003</v>
      </c>
      <c r="F26" s="135">
        <f t="shared" si="1"/>
        <v>36.204335038714582</v>
      </c>
      <c r="G26" s="133">
        <f t="shared" si="6"/>
        <v>1.63</v>
      </c>
      <c r="H26" s="133">
        <f t="shared" si="6"/>
        <v>2.5299999999999998</v>
      </c>
      <c r="I26" s="133"/>
      <c r="J26" s="135">
        <f t="shared" si="4"/>
        <v>40.364335038714586</v>
      </c>
      <c r="K26" s="135">
        <f t="shared" si="2"/>
        <v>137.18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88.14</v>
      </c>
      <c r="E27" s="133">
        <f t="shared" si="6"/>
        <v>37.36</v>
      </c>
      <c r="F27" s="135">
        <f t="shared" si="1"/>
        <v>36.928186340691482</v>
      </c>
      <c r="G27" s="133">
        <f t="shared" si="6"/>
        <v>1.66</v>
      </c>
      <c r="H27" s="133">
        <f t="shared" si="6"/>
        <v>2.58</v>
      </c>
      <c r="I27" s="133"/>
      <c r="J27" s="135">
        <f t="shared" si="4"/>
        <v>41.168186340691477</v>
      </c>
      <c r="K27" s="135">
        <f t="shared" si="2"/>
        <v>139.91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89.9</v>
      </c>
      <c r="E28" s="133">
        <f t="shared" si="6"/>
        <v>38.11</v>
      </c>
      <c r="F28" s="135">
        <f t="shared" si="1"/>
        <v>37.666750067505312</v>
      </c>
      <c r="G28" s="133">
        <f t="shared" si="6"/>
        <v>1.69</v>
      </c>
      <c r="H28" s="133">
        <f t="shared" si="6"/>
        <v>2.63</v>
      </c>
      <c r="I28" s="133"/>
      <c r="J28" s="135">
        <f t="shared" si="4"/>
        <v>41.986750067505312</v>
      </c>
      <c r="K28" s="135">
        <f t="shared" si="2"/>
        <v>142.69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91.7</v>
      </c>
      <c r="E29" s="133">
        <f>ROUND(E28*(1+$L66),2)</f>
        <v>38.869999999999997</v>
      </c>
      <c r="F29" s="135">
        <f t="shared" si="1"/>
        <v>38.420026219156071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4"/>
        <v>42.82002621915607</v>
      </c>
      <c r="K29" s="135">
        <f t="shared" si="2"/>
        <v>145.52000000000001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93.53</v>
      </c>
      <c r="E30" s="133">
        <f t="shared" si="8"/>
        <v>39.65</v>
      </c>
      <c r="F30" s="135">
        <f t="shared" si="1"/>
        <v>39.18801479564376</v>
      </c>
      <c r="G30" s="133">
        <f t="shared" si="8"/>
        <v>1.75</v>
      </c>
      <c r="H30" s="133">
        <f t="shared" si="8"/>
        <v>2.73</v>
      </c>
      <c r="I30" s="133"/>
      <c r="J30" s="135">
        <f t="shared" si="4"/>
        <v>43.668014795643757</v>
      </c>
      <c r="K30" s="135">
        <f t="shared" si="2"/>
        <v>148.41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95.49</v>
      </c>
      <c r="E31" s="133">
        <f t="shared" si="8"/>
        <v>40.479999999999997</v>
      </c>
      <c r="F31" s="135">
        <f t="shared" si="1"/>
        <v>40.00896810154439</v>
      </c>
      <c r="G31" s="133">
        <f t="shared" si="8"/>
        <v>1.79</v>
      </c>
      <c r="H31" s="133">
        <f t="shared" si="8"/>
        <v>2.79</v>
      </c>
      <c r="I31" s="133"/>
      <c r="J31" s="135">
        <f t="shared" si="4"/>
        <v>44.588968101544388</v>
      </c>
      <c r="K31" s="135">
        <f t="shared" si="2"/>
        <v>151.54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97.5</v>
      </c>
      <c r="E32" s="133">
        <f t="shared" si="8"/>
        <v>41.33</v>
      </c>
      <c r="F32" s="135">
        <f t="shared" si="1"/>
        <v>40.850518802216719</v>
      </c>
      <c r="G32" s="133">
        <f t="shared" si="8"/>
        <v>1.83</v>
      </c>
      <c r="H32" s="133">
        <f t="shared" si="8"/>
        <v>2.85</v>
      </c>
      <c r="I32" s="133"/>
      <c r="J32" s="135">
        <f t="shared" si="4"/>
        <v>45.530518802216719</v>
      </c>
      <c r="K32" s="135">
        <f t="shared" si="2"/>
        <v>154.72999999999999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99.55</v>
      </c>
      <c r="E33" s="133">
        <f t="shared" si="8"/>
        <v>42.2</v>
      </c>
      <c r="F33" s="135">
        <f t="shared" si="1"/>
        <v>41.709724412693369</v>
      </c>
      <c r="G33" s="133">
        <f t="shared" si="8"/>
        <v>1.87</v>
      </c>
      <c r="H33" s="133">
        <f t="shared" si="8"/>
        <v>2.91</v>
      </c>
      <c r="I33" s="133"/>
      <c r="J33" s="135">
        <f t="shared" si="4"/>
        <v>46.489724412693363</v>
      </c>
      <c r="K33" s="135">
        <f t="shared" si="2"/>
        <v>157.99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101.64</v>
      </c>
      <c r="E34" s="133">
        <f t="shared" si="8"/>
        <v>43.09</v>
      </c>
      <c r="F34" s="135">
        <f t="shared" si="1"/>
        <v>42.58658493297434</v>
      </c>
      <c r="G34" s="133">
        <f t="shared" si="8"/>
        <v>1.91</v>
      </c>
      <c r="H34" s="133">
        <f t="shared" si="8"/>
        <v>2.97</v>
      </c>
      <c r="I34" s="133"/>
      <c r="J34" s="135">
        <f t="shared" si="4"/>
        <v>47.466584932974335</v>
      </c>
      <c r="K34" s="135">
        <f t="shared" si="2"/>
        <v>161.31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103.88</v>
      </c>
      <c r="E35" s="133">
        <f t="shared" si="8"/>
        <v>44.04</v>
      </c>
      <c r="F35" s="135">
        <f t="shared" si="1"/>
        <v>43.525237637570392</v>
      </c>
      <c r="G35" s="133">
        <f t="shared" si="8"/>
        <v>1.95</v>
      </c>
      <c r="H35" s="133">
        <f t="shared" si="8"/>
        <v>3.04</v>
      </c>
      <c r="I35" s="133"/>
      <c r="J35" s="135">
        <f t="shared" si="4"/>
        <v>48.515237637570394</v>
      </c>
      <c r="K35" s="135">
        <f t="shared" si="2"/>
        <v>164.88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106.17</v>
      </c>
      <c r="E36" s="133">
        <f t="shared" si="8"/>
        <v>45.01</v>
      </c>
      <c r="F36" s="135">
        <f t="shared" si="1"/>
        <v>44.484487736938156</v>
      </c>
      <c r="G36" s="133">
        <f t="shared" si="8"/>
        <v>1.99</v>
      </c>
      <c r="H36" s="133">
        <f t="shared" si="8"/>
        <v>3.11</v>
      </c>
      <c r="I36" s="133"/>
      <c r="J36" s="135">
        <f t="shared" si="4"/>
        <v>49.584487736938158</v>
      </c>
      <c r="K36" s="135">
        <f t="shared" si="2"/>
        <v>168.51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119</v>
      </c>
      <c r="C55" s="186">
        <v>1288.7722600288894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10">C66+1</f>
        <v>2018</v>
      </c>
      <c r="D67" s="41">
        <v>2.3E-2</v>
      </c>
      <c r="E67" s="86"/>
      <c r="F67" s="88">
        <f t="shared" ref="F67:F74" si="11">F66+1</f>
        <v>2027</v>
      </c>
      <c r="G67" s="41">
        <v>2.1999999999999999E-2</v>
      </c>
      <c r="H67" s="41"/>
      <c r="I67" s="86"/>
      <c r="J67" s="88">
        <f t="shared" ref="J67:J74" si="12">J66+1</f>
        <v>2036</v>
      </c>
      <c r="K67" s="88"/>
      <c r="L67" s="41">
        <v>0.02</v>
      </c>
    </row>
    <row r="68" spans="3:15">
      <c r="C68" s="88">
        <f t="shared" si="10"/>
        <v>2019</v>
      </c>
      <c r="D68" s="41">
        <v>2.1999999999999999E-2</v>
      </c>
      <c r="E68" s="86"/>
      <c r="F68" s="88">
        <f t="shared" si="11"/>
        <v>2028</v>
      </c>
      <c r="G68" s="41">
        <v>2.1999999999999999E-2</v>
      </c>
      <c r="H68" s="41"/>
      <c r="I68" s="86"/>
      <c r="J68" s="88">
        <f t="shared" si="12"/>
        <v>2037</v>
      </c>
      <c r="K68" s="88"/>
      <c r="L68" s="41">
        <v>2.1000000000000001E-2</v>
      </c>
    </row>
    <row r="69" spans="3:15">
      <c r="C69" s="88">
        <f t="shared" si="10"/>
        <v>2020</v>
      </c>
      <c r="D69" s="41">
        <v>2.5000000000000001E-2</v>
      </c>
      <c r="E69" s="86"/>
      <c r="F69" s="88">
        <f t="shared" si="11"/>
        <v>2029</v>
      </c>
      <c r="G69" s="41">
        <v>2.1000000000000001E-2</v>
      </c>
      <c r="H69" s="41"/>
      <c r="I69" s="86"/>
      <c r="J69" s="88">
        <f t="shared" si="12"/>
        <v>2038</v>
      </c>
      <c r="K69" s="88"/>
      <c r="L69" s="41">
        <v>2.1000000000000001E-2</v>
      </c>
    </row>
    <row r="70" spans="3:15">
      <c r="C70" s="88">
        <f t="shared" si="10"/>
        <v>2021</v>
      </c>
      <c r="D70" s="41">
        <v>2.4E-2</v>
      </c>
      <c r="E70" s="86"/>
      <c r="F70" s="88">
        <f t="shared" si="11"/>
        <v>2030</v>
      </c>
      <c r="G70" s="41">
        <v>0.02</v>
      </c>
      <c r="H70" s="41"/>
      <c r="I70" s="86"/>
      <c r="J70" s="88">
        <f t="shared" si="12"/>
        <v>2039</v>
      </c>
      <c r="K70" s="88"/>
      <c r="L70" s="41">
        <v>2.1000000000000001E-2</v>
      </c>
    </row>
    <row r="71" spans="3:15">
      <c r="C71" s="88">
        <f t="shared" si="10"/>
        <v>2022</v>
      </c>
      <c r="D71" s="41">
        <v>2.4E-2</v>
      </c>
      <c r="E71" s="86"/>
      <c r="F71" s="88">
        <f t="shared" si="11"/>
        <v>2031</v>
      </c>
      <c r="G71" s="41">
        <v>0.02</v>
      </c>
      <c r="H71" s="41"/>
      <c r="I71" s="86"/>
      <c r="J71" s="88">
        <f t="shared" si="12"/>
        <v>2040</v>
      </c>
      <c r="K71" s="88"/>
      <c r="L71" s="41">
        <v>2.1000000000000001E-2</v>
      </c>
    </row>
    <row r="72" spans="3:15" s="124" customFormat="1">
      <c r="C72" s="88">
        <f t="shared" si="10"/>
        <v>2023</v>
      </c>
      <c r="D72" s="41">
        <v>2.4E-2</v>
      </c>
      <c r="E72" s="87"/>
      <c r="F72" s="88">
        <f t="shared" si="11"/>
        <v>2032</v>
      </c>
      <c r="G72" s="41">
        <v>0.02</v>
      </c>
      <c r="H72" s="41"/>
      <c r="I72" s="87"/>
      <c r="J72" s="88">
        <f t="shared" si="12"/>
        <v>2041</v>
      </c>
      <c r="K72" s="88"/>
      <c r="L72" s="41">
        <v>2.1999999999999999E-2</v>
      </c>
      <c r="O72" s="176"/>
    </row>
    <row r="73" spans="3:15" s="124" customFormat="1">
      <c r="C73" s="88">
        <f t="shared" si="10"/>
        <v>2024</v>
      </c>
      <c r="D73" s="41">
        <v>2.3E-2</v>
      </c>
      <c r="E73" s="87"/>
      <c r="F73" s="88">
        <f t="shared" si="11"/>
        <v>2033</v>
      </c>
      <c r="G73" s="41">
        <v>0.02</v>
      </c>
      <c r="H73" s="41"/>
      <c r="I73" s="87"/>
      <c r="J73" s="88">
        <f t="shared" si="12"/>
        <v>2042</v>
      </c>
      <c r="K73" s="88"/>
      <c r="L73" s="41">
        <v>2.1999999999999999E-2</v>
      </c>
      <c r="O73" s="176"/>
    </row>
    <row r="74" spans="3:15" s="124" customFormat="1">
      <c r="C74" s="88">
        <f t="shared" si="10"/>
        <v>2025</v>
      </c>
      <c r="D74" s="41">
        <v>2.3E-2</v>
      </c>
      <c r="E74" s="87"/>
      <c r="F74" s="88">
        <f t="shared" si="11"/>
        <v>2034</v>
      </c>
      <c r="G74" s="41">
        <v>0.02</v>
      </c>
      <c r="H74" s="41"/>
      <c r="I74" s="87"/>
      <c r="J74" s="88">
        <f t="shared" si="12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C28" sqref="C28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88" customFormat="1" ht="15.75" hidden="1">
      <c r="B1" s="1" t="s">
        <v>37</v>
      </c>
      <c r="C1" s="1"/>
      <c r="D1" s="1"/>
      <c r="E1" s="1"/>
      <c r="F1" s="1"/>
      <c r="G1" s="285"/>
      <c r="H1" s="1"/>
      <c r="I1" s="1"/>
      <c r="J1" s="1"/>
      <c r="K1" s="1"/>
      <c r="L1" s="286"/>
      <c r="M1" s="287"/>
      <c r="N1" s="287"/>
      <c r="O1" s="287"/>
      <c r="P1" s="287"/>
    </row>
    <row r="2" spans="2:16" s="288" customFormat="1" ht="5.25" customHeight="1">
      <c r="B2" s="1"/>
      <c r="C2" s="1"/>
      <c r="D2" s="1"/>
      <c r="E2" s="1"/>
      <c r="F2" s="1"/>
      <c r="G2" s="285"/>
      <c r="H2" s="1"/>
      <c r="I2" s="1"/>
      <c r="J2" s="1"/>
      <c r="K2" s="1"/>
      <c r="L2" s="286"/>
      <c r="M2" s="287"/>
      <c r="N2" s="287"/>
      <c r="O2" s="287"/>
      <c r="P2" s="287"/>
    </row>
    <row r="3" spans="2:16" s="288" customFormat="1" ht="15.75">
      <c r="B3" s="1" t="s">
        <v>185</v>
      </c>
      <c r="C3" s="1"/>
      <c r="D3" s="1"/>
      <c r="E3" s="1"/>
      <c r="F3" s="1"/>
      <c r="G3" s="285"/>
      <c r="H3" s="1"/>
      <c r="I3" s="1"/>
      <c r="J3" s="1"/>
      <c r="K3" s="1"/>
      <c r="L3" s="286"/>
      <c r="M3" s="287"/>
      <c r="N3" s="287"/>
      <c r="O3" s="287"/>
      <c r="P3" s="287"/>
    </row>
    <row r="4" spans="2:16" s="290" customFormat="1" ht="1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289"/>
      <c r="N4" s="289"/>
      <c r="O4" s="289"/>
      <c r="P4" s="289"/>
    </row>
    <row r="5" spans="2:16" s="290" customFormat="1" ht="15">
      <c r="B5" s="4" t="str">
        <f ca="1">'Table 1'!B5</f>
        <v>Utah 2018.Q2_Solar - 80.0 MW and 31.0%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90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89"/>
      <c r="N6" s="289"/>
      <c r="O6" s="289"/>
      <c r="P6" s="289"/>
    </row>
    <row r="7" spans="2:16">
      <c r="D7" s="291"/>
      <c r="E7" s="291"/>
      <c r="F7" s="291"/>
      <c r="G7" s="292"/>
      <c r="H7" s="292"/>
      <c r="I7" s="292"/>
      <c r="J7" s="292"/>
      <c r="K7" s="292"/>
      <c r="L7" s="292"/>
      <c r="M7" s="293"/>
    </row>
    <row r="8" spans="2:16">
      <c r="B8" s="294" t="s">
        <v>0</v>
      </c>
      <c r="C8" s="294"/>
      <c r="D8" s="295" t="s">
        <v>187</v>
      </c>
      <c r="E8" s="296"/>
      <c r="F8" s="296"/>
      <c r="G8" s="295"/>
      <c r="H8" s="295"/>
      <c r="I8" s="297" t="s">
        <v>188</v>
      </c>
      <c r="J8" s="298"/>
      <c r="K8" s="298"/>
      <c r="L8" s="299"/>
      <c r="M8" s="300" t="s">
        <v>187</v>
      </c>
      <c r="N8" s="301"/>
      <c r="O8" s="302"/>
    </row>
    <row r="9" spans="2:16">
      <c r="B9" s="303"/>
      <c r="C9" s="303" t="s">
        <v>189</v>
      </c>
      <c r="D9" s="304" t="s">
        <v>190</v>
      </c>
      <c r="E9" s="305" t="s">
        <v>191</v>
      </c>
      <c r="F9" s="305" t="s">
        <v>192</v>
      </c>
      <c r="G9" s="305" t="s">
        <v>193</v>
      </c>
      <c r="H9" s="306" t="s">
        <v>194</v>
      </c>
      <c r="I9" s="189" t="s">
        <v>195</v>
      </c>
      <c r="J9" s="189" t="s">
        <v>196</v>
      </c>
      <c r="K9" s="189" t="s">
        <v>197</v>
      </c>
      <c r="L9" s="189" t="s">
        <v>198</v>
      </c>
      <c r="M9" s="304" t="s">
        <v>199</v>
      </c>
      <c r="N9" s="305" t="s">
        <v>200</v>
      </c>
      <c r="O9" s="306" t="s">
        <v>201</v>
      </c>
    </row>
    <row r="10" spans="2:16" ht="12.75" customHeight="1">
      <c r="B10" s="284"/>
      <c r="C10" s="284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5"/>
    </row>
    <row r="11" spans="2:16" ht="12.75" customHeight="1">
      <c r="B11" s="308" t="s">
        <v>202</v>
      </c>
      <c r="C11" s="308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5"/>
    </row>
    <row r="12" spans="2:16" ht="12.75" hidden="1" customHeight="1">
      <c r="B12" s="309">
        <v>2017</v>
      </c>
      <c r="C12" s="310"/>
      <c r="D12" s="8"/>
      <c r="E12" s="8"/>
      <c r="F12" s="8"/>
      <c r="G12" s="8"/>
      <c r="H12" s="13"/>
      <c r="I12" s="311"/>
      <c r="J12" s="312"/>
      <c r="K12" s="312"/>
      <c r="L12" s="313"/>
      <c r="M12" s="311"/>
      <c r="N12" s="312"/>
      <c r="O12" s="313"/>
    </row>
    <row r="13" spans="2:16" ht="12.75" customHeight="1">
      <c r="B13" s="15">
        <f>YEAR('Table 5'!B13)</f>
        <v>2018</v>
      </c>
      <c r="C13" s="314">
        <v>22.778713360497356</v>
      </c>
      <c r="D13" s="315">
        <v>15.907280445354921</v>
      </c>
      <c r="E13" s="315">
        <v>12.316998093006749</v>
      </c>
      <c r="F13" s="315">
        <v>12.820620004885297</v>
      </c>
      <c r="G13" s="315">
        <v>10.759642732532871</v>
      </c>
      <c r="H13" s="316">
        <v>12.134646205037276</v>
      </c>
      <c r="I13" s="317">
        <v>15.486013587157434</v>
      </c>
      <c r="J13" s="315">
        <v>76.012108396235732</v>
      </c>
      <c r="K13" s="315">
        <v>30.294350617293791</v>
      </c>
      <c r="L13" s="316">
        <v>19.665969896026017</v>
      </c>
      <c r="M13" s="317">
        <v>12.223061108594521</v>
      </c>
      <c r="N13" s="315">
        <v>15.58031895431089</v>
      </c>
      <c r="O13" s="316">
        <v>19.872005639276804</v>
      </c>
    </row>
    <row r="14" spans="2:16" ht="12.75" customHeight="1">
      <c r="B14" s="15">
        <f>B13+1</f>
        <v>2019</v>
      </c>
      <c r="C14" s="314">
        <v>17.472365650341512</v>
      </c>
      <c r="D14" s="315">
        <v>16.649819470720086</v>
      </c>
      <c r="E14" s="315">
        <v>13.563193934515224</v>
      </c>
      <c r="F14" s="315">
        <v>12.81507954889787</v>
      </c>
      <c r="G14" s="315">
        <v>10.089327085653006</v>
      </c>
      <c r="H14" s="316">
        <v>10.902058827471587</v>
      </c>
      <c r="I14" s="317">
        <v>13.590748696275211</v>
      </c>
      <c r="J14" s="315">
        <v>39.318929030158124</v>
      </c>
      <c r="K14" s="315">
        <v>24.063530585743806</v>
      </c>
      <c r="L14" s="316">
        <v>17.491161763055661</v>
      </c>
      <c r="M14" s="317">
        <v>13.218342533315704</v>
      </c>
      <c r="N14" s="315">
        <v>14.229130291229572</v>
      </c>
      <c r="O14" s="316">
        <v>16.977561320512425</v>
      </c>
    </row>
    <row r="15" spans="2:16" ht="12.75" customHeight="1">
      <c r="B15" s="15">
        <f t="shared" ref="B15:B32" si="0">B14+1</f>
        <v>2020</v>
      </c>
      <c r="C15" s="314">
        <v>14.313074570410974</v>
      </c>
      <c r="D15" s="315">
        <v>15.392694143013504</v>
      </c>
      <c r="E15" s="315">
        <v>10.975275116392876</v>
      </c>
      <c r="F15" s="315">
        <v>11.650282715644252</v>
      </c>
      <c r="G15" s="315">
        <v>7.6610735734405688</v>
      </c>
      <c r="H15" s="316">
        <v>10.719080477670095</v>
      </c>
      <c r="I15" s="317">
        <v>13.854361023384058</v>
      </c>
      <c r="J15" s="315">
        <v>20.745014186686827</v>
      </c>
      <c r="K15" s="315">
        <v>20.912114280598107</v>
      </c>
      <c r="L15" s="316">
        <v>15.739636969110657</v>
      </c>
      <c r="M15" s="317">
        <v>13.23887378290282</v>
      </c>
      <c r="N15" s="315">
        <v>12.880436875606135</v>
      </c>
      <c r="O15" s="316">
        <v>16.266437470636458</v>
      </c>
    </row>
    <row r="16" spans="2:16" ht="12.75" customHeight="1">
      <c r="B16" s="15">
        <f t="shared" si="0"/>
        <v>2021</v>
      </c>
      <c r="C16" s="314">
        <v>10.727790574077936</v>
      </c>
      <c r="D16" s="315">
        <v>11.136091869700895</v>
      </c>
      <c r="E16" s="315">
        <v>10.800791429222633</v>
      </c>
      <c r="F16" s="315">
        <v>9.1118317808427332</v>
      </c>
      <c r="G16" s="315">
        <v>6.2739503907972676</v>
      </c>
      <c r="H16" s="316">
        <v>8.9928597398906174</v>
      </c>
      <c r="I16" s="317">
        <v>10.479875834604018</v>
      </c>
      <c r="J16" s="315">
        <v>15.442536846805728</v>
      </c>
      <c r="K16" s="315">
        <v>15.994372062818453</v>
      </c>
      <c r="L16" s="316">
        <v>8.7178079178501058</v>
      </c>
      <c r="M16" s="317">
        <v>8.6518711799082464</v>
      </c>
      <c r="N16" s="315">
        <v>9.7454661825978945</v>
      </c>
      <c r="O16" s="316">
        <v>13.036057660616528</v>
      </c>
    </row>
    <row r="17" spans="2:15" ht="12.75" customHeight="1">
      <c r="B17" s="15">
        <f t="shared" si="0"/>
        <v>2022</v>
      </c>
      <c r="C17" s="314">
        <v>8.3523849474956631</v>
      </c>
      <c r="D17" s="315">
        <v>11.785888691723768</v>
      </c>
      <c r="E17" s="315">
        <v>10.689146932106896</v>
      </c>
      <c r="F17" s="315">
        <v>8.7198637940265709</v>
      </c>
      <c r="G17" s="315">
        <v>5.0425723012448627</v>
      </c>
      <c r="H17" s="316">
        <v>5.2681789992585406</v>
      </c>
      <c r="I17" s="317">
        <v>9.9641384345489268</v>
      </c>
      <c r="J17" s="315">
        <v>11.945432490239082</v>
      </c>
      <c r="K17" s="315">
        <v>12.127130824707228</v>
      </c>
      <c r="L17" s="316">
        <v>6.697323555314437</v>
      </c>
      <c r="M17" s="317">
        <v>-0.29275704737397135</v>
      </c>
      <c r="N17" s="315">
        <v>7.7776919780671001</v>
      </c>
      <c r="O17" s="316">
        <v>13.674991965122103</v>
      </c>
    </row>
    <row r="18" spans="2:15" ht="12.75" customHeight="1">
      <c r="B18" s="15">
        <f t="shared" si="0"/>
        <v>2023</v>
      </c>
      <c r="C18" s="314">
        <v>9.4183593270498029</v>
      </c>
      <c r="D18" s="315">
        <v>10.940080195206438</v>
      </c>
      <c r="E18" s="315">
        <v>10.248678559442961</v>
      </c>
      <c r="F18" s="315">
        <v>8.071426860574558</v>
      </c>
      <c r="G18" s="315">
        <v>5.4724734858091768</v>
      </c>
      <c r="H18" s="316">
        <v>7.1555444111955042</v>
      </c>
      <c r="I18" s="317">
        <v>9.7972130730567475</v>
      </c>
      <c r="J18" s="315">
        <v>12.435085960067818</v>
      </c>
      <c r="K18" s="315">
        <v>12.204516668300068</v>
      </c>
      <c r="L18" s="316">
        <v>6.9385281985490321</v>
      </c>
      <c r="M18" s="317">
        <v>8.0713172083447713</v>
      </c>
      <c r="N18" s="315">
        <v>11.582779702468416</v>
      </c>
      <c r="O18" s="316">
        <v>14.093569185841712</v>
      </c>
    </row>
    <row r="19" spans="2:15" ht="12.75" customHeight="1">
      <c r="B19" s="15">
        <f t="shared" si="0"/>
        <v>2024</v>
      </c>
      <c r="C19" s="314">
        <v>10.24749293648839</v>
      </c>
      <c r="D19" s="315">
        <v>11.630436507212234</v>
      </c>
      <c r="E19" s="315">
        <v>12.181552319082147</v>
      </c>
      <c r="F19" s="315">
        <v>7.3192095524126648</v>
      </c>
      <c r="G19" s="315">
        <v>5.0281776107417206</v>
      </c>
      <c r="H19" s="316">
        <v>6.5837107766875853</v>
      </c>
      <c r="I19" s="317">
        <v>8.8755721616654473</v>
      </c>
      <c r="J19" s="315">
        <v>13.581303914888585</v>
      </c>
      <c r="K19" s="315">
        <v>14.065264456733436</v>
      </c>
      <c r="L19" s="316">
        <v>10.701834156405896</v>
      </c>
      <c r="M19" s="317">
        <v>12.678120531557395</v>
      </c>
      <c r="N19" s="315">
        <v>12.191306136229425</v>
      </c>
      <c r="O19" s="316">
        <v>11.333693794918664</v>
      </c>
    </row>
    <row r="20" spans="2:15" ht="12.75" customHeight="1">
      <c r="B20" s="15">
        <f t="shared" si="0"/>
        <v>2025</v>
      </c>
      <c r="C20" s="314">
        <v>12.769930046511519</v>
      </c>
      <c r="D20" s="315">
        <v>13.697052335545786</v>
      </c>
      <c r="E20" s="315">
        <v>10.741849777392325</v>
      </c>
      <c r="F20" s="315">
        <v>7.0704390720738477</v>
      </c>
      <c r="G20" s="315">
        <v>9.8295165085373775</v>
      </c>
      <c r="H20" s="316">
        <v>9.383118657481333</v>
      </c>
      <c r="I20" s="317">
        <v>11.772622829452821</v>
      </c>
      <c r="J20" s="315">
        <v>17.535166384884857</v>
      </c>
      <c r="K20" s="315">
        <v>16.884868962708644</v>
      </c>
      <c r="L20" s="316">
        <v>13.555518503968756</v>
      </c>
      <c r="M20" s="317">
        <v>10.659326718134039</v>
      </c>
      <c r="N20" s="315">
        <v>16.553828865998518</v>
      </c>
      <c r="O20" s="316">
        <v>19.192597549349934</v>
      </c>
    </row>
    <row r="21" spans="2:15" ht="12.75" customHeight="1">
      <c r="B21" s="15">
        <f t="shared" si="0"/>
        <v>2026</v>
      </c>
      <c r="C21" s="314">
        <v>11.913168629575125</v>
      </c>
      <c r="D21" s="315">
        <v>15.869623742073605</v>
      </c>
      <c r="E21" s="315">
        <v>14.241661893501705</v>
      </c>
      <c r="F21" s="315">
        <v>9.6470763674062976</v>
      </c>
      <c r="G21" s="315">
        <v>1.6875416089668762</v>
      </c>
      <c r="H21" s="316">
        <v>9.2579558965859743</v>
      </c>
      <c r="I21" s="317">
        <v>14.827833892348581</v>
      </c>
      <c r="J21" s="315">
        <v>15.339871848966355</v>
      </c>
      <c r="K21" s="315">
        <v>16.610541191263312</v>
      </c>
      <c r="L21" s="316">
        <v>9.823127070833122</v>
      </c>
      <c r="M21" s="317">
        <v>6.5241910711117619</v>
      </c>
      <c r="N21" s="315">
        <v>16.827154041292516</v>
      </c>
      <c r="O21" s="316">
        <v>19.353372810104339</v>
      </c>
    </row>
    <row r="22" spans="2:15" ht="12.75" customHeight="1">
      <c r="B22" s="15">
        <f t="shared" si="0"/>
        <v>2027</v>
      </c>
      <c r="C22" s="314">
        <v>13.766152911019082</v>
      </c>
      <c r="D22" s="315">
        <v>15.622588671579644</v>
      </c>
      <c r="E22" s="315">
        <v>13.980987548394969</v>
      </c>
      <c r="F22" s="315">
        <v>9.8067459216138175</v>
      </c>
      <c r="G22" s="315">
        <v>10.553568283765593</v>
      </c>
      <c r="H22" s="316">
        <v>8.6245882849868618</v>
      </c>
      <c r="I22" s="317">
        <v>15.657591088310165</v>
      </c>
      <c r="J22" s="315">
        <v>18.345170876257033</v>
      </c>
      <c r="K22" s="315">
        <v>17.319761670325686</v>
      </c>
      <c r="L22" s="316">
        <v>10.245844747297747</v>
      </c>
      <c r="M22" s="317">
        <v>13.370164561946709</v>
      </c>
      <c r="N22" s="315">
        <v>16.295432553023794</v>
      </c>
      <c r="O22" s="316">
        <v>19.987702727290429</v>
      </c>
    </row>
    <row r="23" spans="2:15" ht="12.75" customHeight="1">
      <c r="B23" s="15">
        <f t="shared" si="0"/>
        <v>2028</v>
      </c>
      <c r="C23" s="314">
        <v>16.716479402454148</v>
      </c>
      <c r="D23" s="315">
        <v>16.565680721663931</v>
      </c>
      <c r="E23" s="315">
        <v>14.496150818633177</v>
      </c>
      <c r="F23" s="315">
        <v>9.5218755130829997</v>
      </c>
      <c r="G23" s="315">
        <v>12.116632492948947</v>
      </c>
      <c r="H23" s="316">
        <v>9.6138753857649046</v>
      </c>
      <c r="I23" s="317">
        <v>16.257584280226911</v>
      </c>
      <c r="J23" s="315">
        <v>23.774000110014537</v>
      </c>
      <c r="K23" s="315">
        <v>24.168796807578193</v>
      </c>
      <c r="L23" s="316">
        <v>19.331047642396843</v>
      </c>
      <c r="M23" s="317">
        <v>13.88987174509124</v>
      </c>
      <c r="N23" s="315">
        <v>21.540394086352372</v>
      </c>
      <c r="O23" s="316">
        <v>21.304293757196842</v>
      </c>
    </row>
    <row r="24" spans="2:15" ht="12.75" customHeight="1">
      <c r="B24" s="15">
        <f t="shared" si="0"/>
        <v>2029</v>
      </c>
      <c r="C24" s="314">
        <v>19.222737155950803</v>
      </c>
      <c r="D24" s="315">
        <v>19.40046690986307</v>
      </c>
      <c r="E24" s="315">
        <v>17.154668775616553</v>
      </c>
      <c r="F24" s="315">
        <v>10.679802390890298</v>
      </c>
      <c r="G24" s="315">
        <v>11.000863492768563</v>
      </c>
      <c r="H24" s="316">
        <v>15.091956722551283</v>
      </c>
      <c r="I24" s="317">
        <v>18.172551840103171</v>
      </c>
      <c r="J24" s="315">
        <v>29.336221550265726</v>
      </c>
      <c r="K24" s="315">
        <v>28.890382041320557</v>
      </c>
      <c r="L24" s="316">
        <v>16.31530501449938</v>
      </c>
      <c r="M24" s="317">
        <v>17.699782603727957</v>
      </c>
      <c r="N24" s="315">
        <v>22.986281727046851</v>
      </c>
      <c r="O24" s="316">
        <v>25.831560456196783</v>
      </c>
    </row>
    <row r="25" spans="2:15" ht="12.75" customHeight="1">
      <c r="B25" s="15">
        <f t="shared" si="0"/>
        <v>2030</v>
      </c>
      <c r="C25" s="314">
        <v>25.010403841813311</v>
      </c>
      <c r="D25" s="315">
        <v>23.146089190700206</v>
      </c>
      <c r="E25" s="315">
        <v>18.250351301127573</v>
      </c>
      <c r="F25" s="315">
        <v>18.015695470012808</v>
      </c>
      <c r="G25" s="315">
        <v>14.205963843126872</v>
      </c>
      <c r="H25" s="316">
        <v>17.569922486791825</v>
      </c>
      <c r="I25" s="317">
        <v>22.254941609278497</v>
      </c>
      <c r="J25" s="315">
        <v>50.404265565226225</v>
      </c>
      <c r="K25" s="315">
        <v>35.194830335329584</v>
      </c>
      <c r="L25" s="316">
        <v>21.051667472335819</v>
      </c>
      <c r="M25" s="317">
        <v>20.754306809283484</v>
      </c>
      <c r="N25" s="315">
        <v>23.705113626127716</v>
      </c>
      <c r="O25" s="316">
        <v>29.54841768271698</v>
      </c>
    </row>
    <row r="26" spans="2:15" ht="12.75" customHeight="1">
      <c r="B26" s="15">
        <f t="shared" si="0"/>
        <v>2031</v>
      </c>
      <c r="C26" s="314">
        <v>28.398906000791033</v>
      </c>
      <c r="D26" s="315">
        <v>22.585939080223959</v>
      </c>
      <c r="E26" s="315">
        <v>20.378602934331454</v>
      </c>
      <c r="F26" s="315">
        <v>18.047554775268775</v>
      </c>
      <c r="G26" s="315">
        <v>14.858909881522994</v>
      </c>
      <c r="H26" s="316">
        <v>15.003706230059297</v>
      </c>
      <c r="I26" s="317">
        <v>22.632655511161946</v>
      </c>
      <c r="J26" s="315">
        <v>77.999852274236531</v>
      </c>
      <c r="K26" s="315">
        <v>36.578025118384126</v>
      </c>
      <c r="L26" s="316">
        <v>23.110884328807082</v>
      </c>
      <c r="M26" s="317">
        <v>22.365858483949573</v>
      </c>
      <c r="N26" s="315">
        <v>23.635873045042477</v>
      </c>
      <c r="O26" s="316">
        <v>29.899801389722011</v>
      </c>
    </row>
    <row r="27" spans="2:15" ht="12.75" customHeight="1">
      <c r="B27" s="15">
        <f t="shared" si="0"/>
        <v>2032</v>
      </c>
      <c r="C27" s="314">
        <v>28.009015808555986</v>
      </c>
      <c r="D27" s="315">
        <v>22.983662984337204</v>
      </c>
      <c r="E27" s="315">
        <v>18.662665905769206</v>
      </c>
      <c r="F27" s="315">
        <v>16.074186676563976</v>
      </c>
      <c r="G27" s="315">
        <v>15.280864963028355</v>
      </c>
      <c r="H27" s="316">
        <v>18.165425726554847</v>
      </c>
      <c r="I27" s="317">
        <v>23.928082741377043</v>
      </c>
      <c r="J27" s="315">
        <v>65.721263786430882</v>
      </c>
      <c r="K27" s="315">
        <v>38.959082029214038</v>
      </c>
      <c r="L27" s="316">
        <v>23.757135089814852</v>
      </c>
      <c r="M27" s="317">
        <v>24.73835523363438</v>
      </c>
      <c r="N27" s="315">
        <v>25.45497781775186</v>
      </c>
      <c r="O27" s="316">
        <v>31.366781315210339</v>
      </c>
    </row>
    <row r="28" spans="2:15" ht="12.75" customHeight="1">
      <c r="B28" s="15">
        <f t="shared" si="0"/>
        <v>2033</v>
      </c>
      <c r="C28" s="314">
        <v>29.077872254498576</v>
      </c>
      <c r="D28" s="315">
        <v>23.799493850100514</v>
      </c>
      <c r="E28" s="315">
        <v>22.634636230812792</v>
      </c>
      <c r="F28" s="315">
        <v>19.217913426866783</v>
      </c>
      <c r="G28" s="315">
        <v>14.984494017757045</v>
      </c>
      <c r="H28" s="316">
        <v>17.260510882349688</v>
      </c>
      <c r="I28" s="317">
        <v>25.356655664020355</v>
      </c>
      <c r="J28" s="315">
        <v>59.63979202450286</v>
      </c>
      <c r="K28" s="315">
        <v>46.773132745353053</v>
      </c>
      <c r="L28" s="316">
        <v>25.984250690649379</v>
      </c>
      <c r="M28" s="317">
        <v>23.406397101582101</v>
      </c>
      <c r="N28" s="315">
        <v>25.346090959697843</v>
      </c>
      <c r="O28" s="316">
        <v>35.998670813052584</v>
      </c>
    </row>
    <row r="29" spans="2:15" ht="12.75" customHeight="1">
      <c r="B29" s="15">
        <f t="shared" si="0"/>
        <v>2034</v>
      </c>
      <c r="C29" s="314">
        <v>29.37677013698168</v>
      </c>
      <c r="D29" s="315">
        <v>26.345607263052234</v>
      </c>
      <c r="E29" s="315">
        <v>25.483508834782757</v>
      </c>
      <c r="F29" s="315">
        <v>18.260752713906612</v>
      </c>
      <c r="G29" s="315">
        <v>16.207778960789938</v>
      </c>
      <c r="H29" s="316">
        <v>15.320744521773879</v>
      </c>
      <c r="I29" s="317">
        <v>25.792965005960482</v>
      </c>
      <c r="J29" s="315">
        <v>60.857153645232209</v>
      </c>
      <c r="K29" s="315">
        <v>46.79524650229498</v>
      </c>
      <c r="L29" s="316">
        <v>25.561998271894218</v>
      </c>
      <c r="M29" s="317">
        <v>23.550026618408364</v>
      </c>
      <c r="N29" s="315">
        <v>26.264292361876578</v>
      </c>
      <c r="O29" s="316">
        <v>35.888548608461775</v>
      </c>
    </row>
    <row r="30" spans="2:15" ht="12.75" customHeight="1">
      <c r="B30" s="15">
        <f t="shared" si="0"/>
        <v>2035</v>
      </c>
      <c r="C30" s="314">
        <v>32.853535978077275</v>
      </c>
      <c r="D30" s="315">
        <v>27.234808856748774</v>
      </c>
      <c r="E30" s="315">
        <v>25.388275069156403</v>
      </c>
      <c r="F30" s="315">
        <v>18.437235442205612</v>
      </c>
      <c r="G30" s="315">
        <v>14.853388530869033</v>
      </c>
      <c r="H30" s="316">
        <v>19.2312248975587</v>
      </c>
      <c r="I30" s="317">
        <v>28.227772626031662</v>
      </c>
      <c r="J30" s="315">
        <v>64.780909498676394</v>
      </c>
      <c r="K30" s="315">
        <v>52.507039251129832</v>
      </c>
      <c r="L30" s="316">
        <v>30.651213213312971</v>
      </c>
      <c r="M30" s="317">
        <v>25.615736749240657</v>
      </c>
      <c r="N30" s="315">
        <v>29.898117849616536</v>
      </c>
      <c r="O30" s="316">
        <v>59.242535228495164</v>
      </c>
    </row>
    <row r="31" spans="2:15" ht="12.75" customHeight="1">
      <c r="B31" s="15">
        <f t="shared" si="0"/>
        <v>2036</v>
      </c>
      <c r="C31" s="314">
        <v>36.531876383330967</v>
      </c>
      <c r="D31" s="315">
        <v>29.300798513703192</v>
      </c>
      <c r="E31" s="315">
        <v>24.651858892123183</v>
      </c>
      <c r="F31" s="315">
        <v>20.758181640586969</v>
      </c>
      <c r="G31" s="315">
        <v>19.382787833451559</v>
      </c>
      <c r="H31" s="316">
        <v>19.337002192450402</v>
      </c>
      <c r="I31" s="317">
        <v>30.048996768515899</v>
      </c>
      <c r="J31" s="315">
        <v>66.732399663812615</v>
      </c>
      <c r="K31" s="315">
        <v>55.173389171985413</v>
      </c>
      <c r="L31" s="316">
        <v>45.010959052044335</v>
      </c>
      <c r="M31" s="317">
        <v>32.834820565756871</v>
      </c>
      <c r="N31" s="315">
        <v>33.655871745023077</v>
      </c>
      <c r="O31" s="316">
        <v>63.112203002462124</v>
      </c>
    </row>
    <row r="32" spans="2:15" ht="12.75" customHeight="1">
      <c r="B32" s="318">
        <f t="shared" si="0"/>
        <v>2037</v>
      </c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1">
        <v>0</v>
      </c>
      <c r="I32" s="322">
        <v>0</v>
      </c>
      <c r="J32" s="320">
        <v>0</v>
      </c>
      <c r="K32" s="320">
        <v>0</v>
      </c>
      <c r="L32" s="321">
        <v>0</v>
      </c>
      <c r="M32" s="322">
        <v>0</v>
      </c>
      <c r="N32" s="320">
        <v>0</v>
      </c>
      <c r="O32" s="321">
        <v>0</v>
      </c>
    </row>
    <row r="33" spans="2:16" ht="12.75" customHeight="1">
      <c r="D33" s="10"/>
      <c r="E33" s="10"/>
      <c r="F33" s="10"/>
      <c r="M33" s="323"/>
    </row>
    <row r="34" spans="2:16">
      <c r="B34" s="324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8" spans="2:16" hidden="1">
      <c r="C38" s="32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25"/>
    </row>
    <row r="40" spans="2:16">
      <c r="C40" s="325"/>
    </row>
    <row r="41" spans="2:16">
      <c r="C41" s="32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P345"/>
  <sheetViews>
    <sheetView topLeftCell="A2" workbookViewId="0">
      <selection activeCell="A30" sqref="A30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7" width="0" style="3" hidden="1" customWidth="1"/>
    <col min="18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Utah 2018.Q2_Solar - 80.0 MW and 31.0% CF</v>
      </c>
      <c r="C5" s="1"/>
      <c r="G5" s="97">
        <v>43280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2:15" ht="13.5" thickBot="1">
      <c r="B16" s="26">
        <f t="shared" si="0"/>
        <v>2018</v>
      </c>
      <c r="C16" s="27">
        <f t="shared" si="1"/>
        <v>2.2799999999999998</v>
      </c>
      <c r="D16" s="27">
        <f t="shared" si="2"/>
        <v>2.16</v>
      </c>
      <c r="E16" s="27">
        <f t="shared" si="3"/>
        <v>2.2799999999999998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114</v>
      </c>
      <c r="O16" s="104" t="s">
        <v>69</v>
      </c>
    </row>
    <row r="17" spans="2:15" ht="13.5" thickBot="1">
      <c r="B17" s="26">
        <f t="shared" si="0"/>
        <v>2019</v>
      </c>
      <c r="C17" s="27">
        <f t="shared" si="1"/>
        <v>2.09</v>
      </c>
      <c r="D17" s="27">
        <f t="shared" si="2"/>
        <v>1.99</v>
      </c>
      <c r="E17" s="27">
        <f t="shared" si="3"/>
        <v>2.02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1.97</v>
      </c>
      <c r="D18" s="27">
        <f t="shared" si="2"/>
        <v>1.88</v>
      </c>
      <c r="E18" s="27">
        <f t="shared" si="3"/>
        <v>1.9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1.94</v>
      </c>
      <c r="D19" s="27">
        <f t="shared" si="2"/>
        <v>1.9</v>
      </c>
      <c r="E19" s="27">
        <f t="shared" si="3"/>
        <v>1.94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2.0099999999999998</v>
      </c>
      <c r="D20" s="27">
        <f t="shared" si="2"/>
        <v>2</v>
      </c>
      <c r="E20" s="27">
        <f t="shared" si="3"/>
        <v>2.0099999999999998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2.16</v>
      </c>
      <c r="D21" s="27">
        <f t="shared" si="2"/>
        <v>2.11</v>
      </c>
      <c r="E21" s="27">
        <f t="shared" si="3"/>
        <v>2.12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2.5499999999999998</v>
      </c>
      <c r="D22" s="27">
        <f t="shared" si="2"/>
        <v>2.5</v>
      </c>
      <c r="E22" s="27">
        <f t="shared" si="3"/>
        <v>2.5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3.34</v>
      </c>
      <c r="D23" s="27">
        <f t="shared" si="2"/>
        <v>3.3</v>
      </c>
      <c r="E23" s="27">
        <f t="shared" si="3"/>
        <v>3.28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3.81</v>
      </c>
      <c r="D24" s="27">
        <f t="shared" si="2"/>
        <v>3.79</v>
      </c>
      <c r="E24" s="27">
        <f t="shared" si="3"/>
        <v>3.74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3.93</v>
      </c>
      <c r="D25" s="27">
        <f t="shared" si="2"/>
        <v>3.92</v>
      </c>
      <c r="E25" s="27">
        <f t="shared" si="3"/>
        <v>3.86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4.1399999999999997</v>
      </c>
      <c r="D26" s="27">
        <f t="shared" si="2"/>
        <v>4.18</v>
      </c>
      <c r="E26" s="27">
        <f t="shared" si="3"/>
        <v>4.08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4.62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4.96</v>
      </c>
      <c r="D28" s="27">
        <f t="shared" si="2"/>
        <v>5.07</v>
      </c>
      <c r="E28" s="27">
        <f t="shared" si="3"/>
        <v>4.88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4.9800000000000004</v>
      </c>
      <c r="D29" s="27">
        <f t="shared" si="2"/>
        <v>5.0599999999999996</v>
      </c>
      <c r="E29" s="27">
        <f t="shared" si="3"/>
        <v>4.9000000000000004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5.36</v>
      </c>
      <c r="D30" s="27">
        <f t="shared" si="2"/>
        <v>5.44</v>
      </c>
      <c r="E30" s="27">
        <f t="shared" si="3"/>
        <v>5.27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5.63</v>
      </c>
      <c r="D31" s="27">
        <f t="shared" si="2"/>
        <v>5.73</v>
      </c>
      <c r="E31" s="27">
        <f t="shared" si="3"/>
        <v>5.54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5.56</v>
      </c>
      <c r="D32" s="27">
        <f t="shared" si="2"/>
        <v>5.62</v>
      </c>
      <c r="E32" s="27">
        <f t="shared" si="3"/>
        <v>5.48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5.75</v>
      </c>
      <c r="D33" s="27">
        <f t="shared" si="2"/>
        <v>5.76</v>
      </c>
      <c r="E33" s="27">
        <f t="shared" si="3"/>
        <v>5.66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5.69</v>
      </c>
      <c r="D34" s="27">
        <f t="shared" si="2"/>
        <v>5.71</v>
      </c>
      <c r="E34" s="27">
        <f t="shared" si="3"/>
        <v>5.61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6.03</v>
      </c>
      <c r="D35" s="27">
        <f t="shared" si="2"/>
        <v>6.09</v>
      </c>
      <c r="E35" s="27">
        <f t="shared" si="3"/>
        <v>5.94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6.44</v>
      </c>
      <c r="D36" s="27">
        <f t="shared" si="2"/>
        <v>6.53</v>
      </c>
      <c r="E36" s="27">
        <f t="shared" si="3"/>
        <v>6.35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6.68</v>
      </c>
      <c r="D37" s="27">
        <f t="shared" si="2"/>
        <v>6.81</v>
      </c>
      <c r="E37" s="27">
        <f t="shared" si="3"/>
        <v>6.59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7.08</v>
      </c>
      <c r="D38" s="27">
        <f t="shared" si="2"/>
        <v>7.22</v>
      </c>
      <c r="E38" s="27">
        <f t="shared" si="3"/>
        <v>6.98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7.23</v>
      </c>
      <c r="D39" s="27">
        <f t="shared" si="2"/>
        <v>7.38</v>
      </c>
      <c r="E39" s="27">
        <f t="shared" si="3"/>
        <v>7.13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4.84</v>
      </c>
      <c r="D40" s="27">
        <f t="shared" si="2"/>
        <v>4.91</v>
      </c>
      <c r="E40" s="27">
        <f t="shared" si="3"/>
        <v>4.7699999999999996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Jun 29,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5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5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5">
        <f t="shared" si="4"/>
        <v>2018</v>
      </c>
    </row>
    <row r="47" spans="2:11">
      <c r="G47" s="31">
        <v>43282</v>
      </c>
      <c r="H47" s="35">
        <v>2.2284597959183672</v>
      </c>
      <c r="I47" s="35">
        <v>1.8469966731988667</v>
      </c>
      <c r="J47" s="35">
        <v>2.2294467117890697</v>
      </c>
      <c r="K47" s="105">
        <f t="shared" si="4"/>
        <v>2018</v>
      </c>
    </row>
    <row r="48" spans="2:11">
      <c r="G48" s="31">
        <v>43313</v>
      </c>
      <c r="H48" s="35">
        <v>2.3753985714285712</v>
      </c>
      <c r="I48" s="35">
        <v>2.1321520399218703</v>
      </c>
      <c r="J48" s="35">
        <v>2.3016762299222142</v>
      </c>
      <c r="K48" s="105">
        <f t="shared" si="4"/>
        <v>2018</v>
      </c>
    </row>
    <row r="49" spans="7:13">
      <c r="G49" s="31">
        <v>43344</v>
      </c>
      <c r="H49" s="35">
        <v>2.3417251020408161</v>
      </c>
      <c r="I49" s="35">
        <v>1.9949886989665016</v>
      </c>
      <c r="J49" s="35">
        <v>2.2683395292453783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2.2264189795918363</v>
      </c>
      <c r="I50" s="35">
        <v>2.0524838588030563</v>
      </c>
      <c r="J50" s="35">
        <v>2.1541865845034853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2.28866387755102</v>
      </c>
      <c r="I51" s="35">
        <v>2.3164975075592551</v>
      </c>
      <c r="J51" s="35">
        <v>2.1880283867057275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2.6289699999999998</v>
      </c>
      <c r="I52" s="35">
        <v>2.7480979450767133</v>
      </c>
      <c r="J52" s="35">
        <v>2.5299821194060006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2.7539699999999998</v>
      </c>
      <c r="I53" s="35">
        <v>2.710094417902237</v>
      </c>
      <c r="J53" s="35">
        <v>2.663834023638751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2.6371332653061219</v>
      </c>
      <c r="I54" s="35">
        <v>2.4714508307062037</v>
      </c>
      <c r="J54" s="35">
        <v>2.5481657743206383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2.204990408163265</v>
      </c>
      <c r="I55" s="35">
        <v>2.1932567613625138</v>
      </c>
      <c r="J55" s="35">
        <v>2.1354978280634409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1.7876434693877552</v>
      </c>
      <c r="I56" s="35">
        <v>1.576176422560672</v>
      </c>
      <c r="J56" s="35">
        <v>1.7400033336700675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1.7651944897959184</v>
      </c>
      <c r="I57" s="35">
        <v>1.545752974754782</v>
      </c>
      <c r="J57" s="35">
        <v>1.7177788665521767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1.7963169387755102</v>
      </c>
      <c r="I58" s="35">
        <v>1.5758670315660361</v>
      </c>
      <c r="J58" s="35">
        <v>1.7662686129912111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1.9606026530612246</v>
      </c>
      <c r="I59" s="35">
        <v>1.7709380536841417</v>
      </c>
      <c r="J59" s="35">
        <v>1.8607225982422464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1.9738679591836736</v>
      </c>
      <c r="I60" s="35">
        <v>1.7920797716509465</v>
      </c>
      <c r="J60" s="35">
        <v>1.8789062531568843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1.9478475510204083</v>
      </c>
      <c r="I61" s="35">
        <v>1.7767133522506833</v>
      </c>
      <c r="J61" s="35">
        <v>1.8859776745125769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1.9488679591836735</v>
      </c>
      <c r="I62" s="35">
        <v>1.8518953639472726</v>
      </c>
      <c r="J62" s="35">
        <v>1.9299215072229516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2.0621332653061222</v>
      </c>
      <c r="I63" s="35">
        <v>2.1023989392710254</v>
      </c>
      <c r="J63" s="35">
        <v>1.9763908475603593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2.2958067346938775</v>
      </c>
      <c r="I64" s="35">
        <v>2.469388224075296</v>
      </c>
      <c r="J64" s="35">
        <v>2.1950998080614204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2.3774393877551021</v>
      </c>
      <c r="I65" s="35">
        <v>2.4004455974372028</v>
      </c>
      <c r="J65" s="35">
        <v>2.3163241741590057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2.2723373469387753</v>
      </c>
      <c r="I66" s="35">
        <v>2.2974183962233576</v>
      </c>
      <c r="J66" s="35">
        <v>2.2350028285685419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2.1060108163265303</v>
      </c>
      <c r="I67" s="35">
        <v>2.1042037200730692</v>
      </c>
      <c r="J67" s="35">
        <v>2.0046765329831295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1.7386638775510204</v>
      </c>
      <c r="I68" s="35">
        <v>1.5498266228508251</v>
      </c>
      <c r="J68" s="35">
        <v>1.6814115567229011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1.7075414285714285</v>
      </c>
      <c r="I69" s="35">
        <v>1.5087291857299872</v>
      </c>
      <c r="J69" s="35">
        <v>1.6556513789271641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1.7350924489795918</v>
      </c>
      <c r="I70" s="35">
        <v>1.5423496738137845</v>
      </c>
      <c r="J70" s="35">
        <v>1.6829268612991208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1.8677455102040816</v>
      </c>
      <c r="I71" s="35">
        <v>1.6745111936892019</v>
      </c>
      <c r="J71" s="35">
        <v>1.7662686129912111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1.8774393877551021</v>
      </c>
      <c r="I72" s="35">
        <v>1.6952403903298252</v>
      </c>
      <c r="J72" s="35">
        <v>1.7733400343469035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1.8503985714285716</v>
      </c>
      <c r="I73" s="35">
        <v>1.6975608227895964</v>
      </c>
      <c r="J73" s="35">
        <v>1.7566716840084855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1.8162148979591837</v>
      </c>
      <c r="I74" s="35">
        <v>1.7184962800933108</v>
      </c>
      <c r="J74" s="35">
        <v>1.811222648752399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2.0611128571428572</v>
      </c>
      <c r="I75" s="35">
        <v>2.067798713037547</v>
      </c>
      <c r="J75" s="35">
        <v>1.965278614001414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2.2733577551020407</v>
      </c>
      <c r="I76" s="35">
        <v>2.3345453155796982</v>
      </c>
      <c r="J76" s="35">
        <v>2.1602478028083643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2.3452965306122451</v>
      </c>
      <c r="I77" s="35">
        <v>2.3279449743607934</v>
      </c>
      <c r="J77" s="35">
        <v>2.2617732094150926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2.3039700000000001</v>
      </c>
      <c r="I78" s="35">
        <v>2.2378606297558949</v>
      </c>
      <c r="J78" s="35">
        <v>2.2612681078896859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2.1850924489795918</v>
      </c>
      <c r="I79" s="35">
        <v>2.0635703694441858</v>
      </c>
      <c r="J79" s="35">
        <v>2.1536814829780786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1.657031224489796</v>
      </c>
      <c r="I80" s="35">
        <v>1.6065483052007896</v>
      </c>
      <c r="J80" s="35">
        <v>1.7647533084149911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1.6299904081632652</v>
      </c>
      <c r="I81" s="35">
        <v>1.5631304356201803</v>
      </c>
      <c r="J81" s="35">
        <v>1.6622176987574502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1.6575414285714287</v>
      </c>
      <c r="I82" s="35">
        <v>1.5928835362710256</v>
      </c>
      <c r="J82" s="35">
        <v>1.702120719264572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1.7901944897959183</v>
      </c>
      <c r="I83" s="35">
        <v>1.7057081189816823</v>
      </c>
      <c r="J83" s="35">
        <v>1.7753604404485299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1.8039700000000001</v>
      </c>
      <c r="I84" s="35">
        <v>1.7331407871727562</v>
      </c>
      <c r="J84" s="35">
        <v>1.7864726740074752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1.7901944897959183</v>
      </c>
      <c r="I85" s="35">
        <v>1.7437116461561586</v>
      </c>
      <c r="J85" s="35">
        <v>1.798090009091827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1.7692761224489797</v>
      </c>
      <c r="I86" s="35">
        <v>1.7754242231063659</v>
      </c>
      <c r="J86" s="35">
        <v>1.8379930295989491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2.0958067346938773</v>
      </c>
      <c r="I87" s="35">
        <v>2.0829073066089467</v>
      </c>
      <c r="J87" s="35">
        <v>2.0147785634912618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2.3106026530612245</v>
      </c>
      <c r="I88" s="35">
        <v>2.3535212965840504</v>
      </c>
      <c r="J88" s="35">
        <v>2.2147987675522782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2.393255714285714</v>
      </c>
      <c r="I89" s="35">
        <v>2.3506336473007794</v>
      </c>
      <c r="J89" s="35">
        <v>2.337033336700677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2.3575414285714285</v>
      </c>
      <c r="I90" s="35">
        <v>2.2720483346631921</v>
      </c>
      <c r="J90" s="35">
        <v>2.3294568138195775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2.255500612244898</v>
      </c>
      <c r="I91" s="35">
        <v>2.1173012721793341</v>
      </c>
      <c r="J91" s="35">
        <v>2.2612681078896859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1.7146842857142859</v>
      </c>
      <c r="I92" s="35">
        <v>1.723498101173262</v>
      </c>
      <c r="J92" s="35">
        <v>1.826880796040004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1.7228475510204084</v>
      </c>
      <c r="I93" s="35">
        <v>1.6834319673678779</v>
      </c>
      <c r="J93" s="35">
        <v>1.7743502373977167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1.7151944897959184</v>
      </c>
      <c r="I94" s="35">
        <v>1.7104521142327704</v>
      </c>
      <c r="J94" s="35">
        <v>1.7591971916355185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1.8422353061224492</v>
      </c>
      <c r="I95" s="35">
        <v>1.8182233106977028</v>
      </c>
      <c r="J95" s="35">
        <v>1.836982826548136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1.8606026530612245</v>
      </c>
      <c r="I96" s="35">
        <v>1.8458106743860949</v>
      </c>
      <c r="J96" s="35">
        <v>1.8501154662087078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1.8488679591836736</v>
      </c>
      <c r="I97" s="35">
        <v>1.8578253580111328</v>
      </c>
      <c r="J97" s="35">
        <v>1.8435491463784219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1.8253985714285714</v>
      </c>
      <c r="I98" s="35">
        <v>1.8908270641056577</v>
      </c>
      <c r="J98" s="35">
        <v>1.9011307202747749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2.1799904081632651</v>
      </c>
      <c r="I99" s="35">
        <v>2.2034150990197348</v>
      </c>
      <c r="J99" s="35">
        <v>2.1183243761996158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2.4003985714285712</v>
      </c>
      <c r="I100" s="35">
        <v>2.4680990949309787</v>
      </c>
      <c r="J100" s="35">
        <v>2.3062221436508734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2.4901944897959183</v>
      </c>
      <c r="I101" s="35">
        <v>2.4770198686096552</v>
      </c>
      <c r="J101" s="35">
        <v>2.4077475502576018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2.4549904081632654</v>
      </c>
      <c r="I102" s="35">
        <v>2.3976095133197046</v>
      </c>
      <c r="J102" s="35">
        <v>2.4107781594100417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2.3606026530612243</v>
      </c>
      <c r="I103" s="35">
        <v>2.2525567020011139</v>
      </c>
      <c r="J103" s="35">
        <v>2.3274364077179515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1.9065210204081633</v>
      </c>
      <c r="I104" s="35">
        <v>1.8238954789326995</v>
      </c>
      <c r="J104" s="35">
        <v>1.9486102636629958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1.8856026530612247</v>
      </c>
      <c r="I105" s="35">
        <v>1.787954558389131</v>
      </c>
      <c r="J105" s="35">
        <v>1.8672889180725323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1.9111128571428573</v>
      </c>
      <c r="I106" s="35">
        <v>1.8169341815533857</v>
      </c>
      <c r="J106" s="35">
        <v>1.8950695019698958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2.033051632653061</v>
      </c>
      <c r="I107" s="35">
        <v>1.9163518211631416</v>
      </c>
      <c r="J107" s="35">
        <v>1.9374980301040508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2.0519291836734692</v>
      </c>
      <c r="I108" s="35">
        <v>1.9464143128086226</v>
      </c>
      <c r="J108" s="35">
        <v>1.9536612789170622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2.0412148979591835</v>
      </c>
      <c r="I109" s="35">
        <v>1.961316645716932</v>
      </c>
      <c r="J109" s="35">
        <v>1.9582071926457216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2.0238679591836735</v>
      </c>
      <c r="I110" s="35">
        <v>1.991533832859731</v>
      </c>
      <c r="J110" s="35">
        <v>2.019324477219921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2.3003985714285715</v>
      </c>
      <c r="I111" s="35">
        <v>2.3109800348215765</v>
      </c>
      <c r="J111" s="35">
        <v>2.2602579048388729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2.518255714285714</v>
      </c>
      <c r="I112" s="35">
        <v>2.5813877641335896</v>
      </c>
      <c r="J112" s="35">
        <v>2.4229005960198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2.5405006122448976</v>
      </c>
      <c r="I113" s="35">
        <v>2.5708684703159599</v>
      </c>
      <c r="J113" s="35">
        <v>2.4895739973734718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2.623561836734694</v>
      </c>
      <c r="I114" s="35">
        <v>2.4914581150260098</v>
      </c>
      <c r="J114" s="35">
        <v>2.4926046065259118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2.4007046938775511</v>
      </c>
      <c r="I115" s="35">
        <v>2.3464053037074182</v>
      </c>
      <c r="J115" s="35">
        <v>2.4092628548338215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1.968357755102041</v>
      </c>
      <c r="I116" s="35">
        <v>1.902274530907196</v>
      </c>
      <c r="J116" s="35">
        <v>2.0152836650166681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1.9448883673469388</v>
      </c>
      <c r="I117" s="35">
        <v>1.8663336103636274</v>
      </c>
      <c r="J117" s="35">
        <v>1.9339623194262043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1.9735618367346939</v>
      </c>
      <c r="I118" s="35">
        <v>1.8953647986936546</v>
      </c>
      <c r="J118" s="35">
        <v>1.9617429033235678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2.1313169387755102</v>
      </c>
      <c r="I119" s="35">
        <v>2.0199978043662585</v>
      </c>
      <c r="J119" s="35">
        <v>2.0061918375593493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2.8661128571428569</v>
      </c>
      <c r="I120" s="35">
        <v>2.7780573063906489</v>
      </c>
      <c r="J120" s="35">
        <v>2.7597022931609252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2.8608067346938775</v>
      </c>
      <c r="I121" s="35">
        <v>2.7921861618123676</v>
      </c>
      <c r="J121" s="35">
        <v>2.7696022830588949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2.8323373469387754</v>
      </c>
      <c r="I122" s="35">
        <v>2.8106464911589928</v>
      </c>
      <c r="J122" s="35">
        <v>2.8197083543792303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3.1353985714285715</v>
      </c>
      <c r="I123" s="35">
        <v>3.1469545023285095</v>
      </c>
      <c r="J123" s="35">
        <v>3.0869070613193248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3.3168271428571425</v>
      </c>
      <c r="I124" s="35">
        <v>3.4254063975010629</v>
      </c>
      <c r="J124" s="35">
        <v>3.2134855035862206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3.3666230612244896</v>
      </c>
      <c r="I125" s="35">
        <v>3.4326770858750129</v>
      </c>
      <c r="J125" s="35">
        <v>3.3074343873118495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3.3879495918367346</v>
      </c>
      <c r="I126" s="35">
        <v>3.3317124912920759</v>
      </c>
      <c r="J126" s="35">
        <v>3.2493477118900898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3.0744802040816328</v>
      </c>
      <c r="I127" s="35">
        <v>3.0310875748372639</v>
      </c>
      <c r="J127" s="35">
        <v>3.0761989089807047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2.7167251020408161</v>
      </c>
      <c r="I128" s="35">
        <v>2.6115533861106166</v>
      </c>
      <c r="J128" s="35">
        <v>2.756166582483079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2.7251944897959182</v>
      </c>
      <c r="I129" s="35">
        <v>2.6174318150087039</v>
      </c>
      <c r="J129" s="35">
        <v>2.7064645923830692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2.7530516326530612</v>
      </c>
      <c r="I130" s="35">
        <v>2.6659546360008095</v>
      </c>
      <c r="J130" s="35">
        <v>2.7334370138397817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2.9194802040816326</v>
      </c>
      <c r="I131" s="35">
        <v>2.8440607185796987</v>
      </c>
      <c r="J131" s="35">
        <v>2.7864726740074754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3.6803985714285714</v>
      </c>
      <c r="I132" s="35">
        <v>3.6097518651384477</v>
      </c>
      <c r="J132" s="35">
        <v>3.5658443277098693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3.6803985714285714</v>
      </c>
      <c r="I133" s="35">
        <v>3.6231072430735756</v>
      </c>
      <c r="J133" s="35">
        <v>3.5809973734720679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3.6408067346938773</v>
      </c>
      <c r="I134" s="35">
        <v>3.6297591494582528</v>
      </c>
      <c r="J134" s="35">
        <v>3.6200922315385391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3.9703985714285714</v>
      </c>
      <c r="I135" s="35">
        <v>3.9828774046696691</v>
      </c>
      <c r="J135" s="35">
        <v>3.9135562177997776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4.1155006122448983</v>
      </c>
      <c r="I136" s="35">
        <v>4.2694250308685353</v>
      </c>
      <c r="J136" s="35">
        <v>4.0041714314577224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4.192745510204082</v>
      </c>
      <c r="I137" s="35">
        <v>4.2945372665998383</v>
      </c>
      <c r="J137" s="35">
        <v>4.1252947772502262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4.1523373469387757</v>
      </c>
      <c r="I138" s="35">
        <v>4.1719668675581421</v>
      </c>
      <c r="J138" s="35">
        <v>4.0061918375593493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3.7481536734693872</v>
      </c>
      <c r="I139" s="35">
        <v>3.7157698459671087</v>
      </c>
      <c r="J139" s="35">
        <v>3.7431349631275883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3.4651944897959179</v>
      </c>
      <c r="I140" s="35">
        <v>3.3207806761482646</v>
      </c>
      <c r="J140" s="35">
        <v>3.497150520254571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3.5056026530612243</v>
      </c>
      <c r="I141" s="35">
        <v>3.3684784544880073</v>
      </c>
      <c r="J141" s="35">
        <v>3.4790678856450143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3.5325414285714287</v>
      </c>
      <c r="I142" s="35">
        <v>3.4365960384737377</v>
      </c>
      <c r="J142" s="35">
        <v>3.5051311243559957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3.7077455102040817</v>
      </c>
      <c r="I143" s="35">
        <v>3.6680720676273655</v>
      </c>
      <c r="J143" s="35">
        <v>3.5667535104556016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3.7212148979591837</v>
      </c>
      <c r="I144" s="35">
        <v>3.66126546574537</v>
      </c>
      <c r="J144" s="35">
        <v>3.606252449742398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3.7212148979591837</v>
      </c>
      <c r="I145" s="35">
        <v>3.6476522619813787</v>
      </c>
      <c r="J145" s="35">
        <v>3.6214054955045962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3.6807046938775509</v>
      </c>
      <c r="I146" s="35">
        <v>3.6748786695093614</v>
      </c>
      <c r="J146" s="35">
        <v>3.6595911708253355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4.0445822448979589</v>
      </c>
      <c r="I147" s="35">
        <v>4.0766228760444285</v>
      </c>
      <c r="J147" s="35">
        <v>3.9869979795938981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4.2332557142857148</v>
      </c>
      <c r="I148" s="35">
        <v>4.4443856383352909</v>
      </c>
      <c r="J148" s="35">
        <v>4.120748863521567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4.2852965306122455</v>
      </c>
      <c r="I149" s="35">
        <v>4.4370118196297952</v>
      </c>
      <c r="J149" s="35">
        <v>4.2168191736539038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4.2301944897959185</v>
      </c>
      <c r="I150" s="35">
        <v>4.2908761398299768</v>
      </c>
      <c r="J150" s="35">
        <v>4.083169310031316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3.8445822448979587</v>
      </c>
      <c r="I151" s="35">
        <v>3.8524691004305236</v>
      </c>
      <c r="J151" s="35">
        <v>3.8387001717345184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3.5967251020408164</v>
      </c>
      <c r="I152" s="35">
        <v>3.5045073617963771</v>
      </c>
      <c r="J152" s="35">
        <v>3.6273656935043945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3.638051632653061</v>
      </c>
      <c r="I153" s="35">
        <v>3.5253912539343188</v>
      </c>
      <c r="J153" s="35">
        <v>3.6101922416405698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3.6656026530612245</v>
      </c>
      <c r="I154" s="35">
        <v>3.4975460644170635</v>
      </c>
      <c r="J154" s="35">
        <v>3.6368616021820386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3.8583577551020407</v>
      </c>
      <c r="I155" s="35">
        <v>3.7759463944238436</v>
      </c>
      <c r="J155" s="35">
        <v>3.7159605010607129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3.8721332653061222</v>
      </c>
      <c r="I156" s="35">
        <v>3.7898689891824713</v>
      </c>
      <c r="J156" s="35">
        <v>3.7556614809576723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3.8445822448979587</v>
      </c>
      <c r="I157" s="35">
        <v>3.7619722344994435</v>
      </c>
      <c r="J157" s="35">
        <v>3.7435390443479135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3.8170312244897961</v>
      </c>
      <c r="I158" s="35">
        <v>3.7898689891824713</v>
      </c>
      <c r="J158" s="35">
        <v>3.7945542984139808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4.1475414285714285</v>
      </c>
      <c r="I159" s="35">
        <v>4.2421470581747807</v>
      </c>
      <c r="J159" s="35">
        <v>4.0889274674209508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4.3817251020408161</v>
      </c>
      <c r="I160" s="35">
        <v>4.6318765810848088</v>
      </c>
      <c r="J160" s="35">
        <v>4.2677334074148892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4.4361128571428567</v>
      </c>
      <c r="I161" s="35">
        <v>4.6406426592661685</v>
      </c>
      <c r="J161" s="35">
        <v>4.3662282048691781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4.3516230612244895</v>
      </c>
      <c r="I162" s="35">
        <v>4.4414464238862461</v>
      </c>
      <c r="J162" s="35">
        <v>4.2034844933831694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4.0701944897959184</v>
      </c>
      <c r="I163" s="35">
        <v>4.1285489979775329</v>
      </c>
      <c r="J163" s="35">
        <v>4.0619550459642388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3.8027455102040815</v>
      </c>
      <c r="I164" s="35">
        <v>3.7017956860427086</v>
      </c>
      <c r="J164" s="35">
        <v>3.8313256894635819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3.8027455102040815</v>
      </c>
      <c r="I165" s="35">
        <v>3.7089116789193404</v>
      </c>
      <c r="J165" s="35">
        <v>3.7732390140418226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3.830908775510204</v>
      </c>
      <c r="I166" s="35">
        <v>3.7373756504258684</v>
      </c>
      <c r="J166" s="35">
        <v>3.8005144964137787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3.9997863265306122</v>
      </c>
      <c r="I167" s="35">
        <v>4.0503246415003549</v>
      </c>
      <c r="J167" s="35">
        <v>3.8559746439034241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4.0701944897959184</v>
      </c>
      <c r="I168" s="35">
        <v>4.0859046058835133</v>
      </c>
      <c r="J168" s="35">
        <v>3.9517418931205173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4.0561128571428569</v>
      </c>
      <c r="I169" s="35">
        <v>4.0218606699938269</v>
      </c>
      <c r="J169" s="35">
        <v>3.9529541367814929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4.1405006122448977</v>
      </c>
      <c r="I170" s="35">
        <v>4.1285489979775329</v>
      </c>
      <c r="J170" s="35">
        <v>4.1147886655217691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4.3797863265306116</v>
      </c>
      <c r="I171" s="35">
        <v>4.4983743668993021</v>
      </c>
      <c r="J171" s="35">
        <v>4.3188496817860385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4.7879495918367345</v>
      </c>
      <c r="I172" s="35">
        <v>5.0104680281879368</v>
      </c>
      <c r="J172" s="35">
        <v>4.6698952419436299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4.6588679591836728</v>
      </c>
      <c r="I173" s="35">
        <v>4.9697831123932801</v>
      </c>
      <c r="J173" s="35">
        <v>4.5866545105566212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4.6444802040816322</v>
      </c>
      <c r="I174" s="35">
        <v>4.8027635404555209</v>
      </c>
      <c r="J174" s="35">
        <v>4.4933117486614798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4.4001944897959184</v>
      </c>
      <c r="I175" s="35">
        <v>4.5268383384058302</v>
      </c>
      <c r="J175" s="35">
        <v>4.3886547125972308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4.112745510204082</v>
      </c>
      <c r="I176" s="35">
        <v>4.0911126876265564</v>
      </c>
      <c r="J176" s="35">
        <v>4.1382253763006362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4.112745510204082</v>
      </c>
      <c r="I177" s="35">
        <v>4.1056540643744555</v>
      </c>
      <c r="J177" s="35">
        <v>4.0801387008788756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4.2277455102040822</v>
      </c>
      <c r="I178" s="35">
        <v>4.1927991945303109</v>
      </c>
      <c r="J178" s="35">
        <v>4.1933824628750367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4.500806734693878</v>
      </c>
      <c r="I179" s="35">
        <v>4.5849007150658849</v>
      </c>
      <c r="J179" s="35">
        <v>4.3518833215476302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4.5869291836734689</v>
      </c>
      <c r="I180" s="35">
        <v>4.6284732801438118</v>
      </c>
      <c r="J180" s="35">
        <v>4.4633087180523274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4.4432557142857148</v>
      </c>
      <c r="I181" s="35">
        <v>4.4759950849539525</v>
      </c>
      <c r="J181" s="35">
        <v>4.3362251742600257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4.5150924489795914</v>
      </c>
      <c r="I182" s="35">
        <v>4.5776300266919341</v>
      </c>
      <c r="J182" s="35">
        <v>4.4856342054753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4.8025414285714287</v>
      </c>
      <c r="I183" s="35">
        <v>5.0060849890972579</v>
      </c>
      <c r="J183" s="35">
        <v>4.7373768057379522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5.1905006122448976</v>
      </c>
      <c r="I184" s="35">
        <v>5.4998730165365854</v>
      </c>
      <c r="J184" s="35">
        <v>5.068420345489443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5.1039700000000003</v>
      </c>
      <c r="I185" s="35">
        <v>5.4684698305810144</v>
      </c>
      <c r="J185" s="35">
        <v>5.0274061016264255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5.030704693877551</v>
      </c>
      <c r="I186" s="35">
        <v>5.2537009151377392</v>
      </c>
      <c r="J186" s="35">
        <v>4.8756736033942811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4.7815210204081637</v>
      </c>
      <c r="I187" s="35">
        <v>4.9055844810062741</v>
      </c>
      <c r="J187" s="35">
        <v>4.76626861299121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4.5030516326530607</v>
      </c>
      <c r="I188" s="35">
        <v>4.5130188739787469</v>
      </c>
      <c r="J188" s="35">
        <v>4.5246280432366905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4.5177455102040813</v>
      </c>
      <c r="I189" s="35">
        <v>4.5352434604267788</v>
      </c>
      <c r="J189" s="35">
        <v>4.4810882917466399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4.5910108163265306</v>
      </c>
      <c r="I190" s="35">
        <v>4.5944918358996061</v>
      </c>
      <c r="J190" s="35">
        <v>4.5530147489645412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4.9721332653061223</v>
      </c>
      <c r="I191" s="35">
        <v>5.0759042235534872</v>
      </c>
      <c r="J191" s="35">
        <v>4.8184961107182538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5.0160108163265313</v>
      </c>
      <c r="I192" s="35">
        <v>5.1203533964495502</v>
      </c>
      <c r="J192" s="35">
        <v>4.888099100919284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4.9574393877551017</v>
      </c>
      <c r="I193" s="35">
        <v>5.0018566455038966</v>
      </c>
      <c r="J193" s="35">
        <v>4.8452664915648036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4.9867251020408156</v>
      </c>
      <c r="I194" s="35">
        <v>5.0389319996944639</v>
      </c>
      <c r="J194" s="35">
        <v>4.9525500555611668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5.3824393877551024</v>
      </c>
      <c r="I195" s="35">
        <v>5.498119800900314</v>
      </c>
      <c r="J195" s="35">
        <v>5.3114751995151011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5.6463169387755094</v>
      </c>
      <c r="I196" s="35">
        <v>5.8906854079278421</v>
      </c>
      <c r="J196" s="35">
        <v>5.5196780482877053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5.654786326530612</v>
      </c>
      <c r="I197" s="35">
        <v>5.8945012301950213</v>
      </c>
      <c r="J197" s="35">
        <v>5.5727137084553986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5.490398571428571</v>
      </c>
      <c r="I198" s="35">
        <v>5.6754524059926119</v>
      </c>
      <c r="J198" s="35">
        <v>5.3307700777856342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4.8026434693877551</v>
      </c>
      <c r="I199" s="35">
        <v>4.9123910828882709</v>
      </c>
      <c r="J199" s="35">
        <v>4.7871798161430448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4.5185618367346931</v>
      </c>
      <c r="I200" s="35">
        <v>4.4590817105805085</v>
      </c>
      <c r="J200" s="35">
        <v>4.53998312960905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4.5185618367346931</v>
      </c>
      <c r="I201" s="35">
        <v>4.4666617899490948</v>
      </c>
      <c r="J201" s="35">
        <v>4.4818964541872912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4.5783577551020409</v>
      </c>
      <c r="I202" s="35">
        <v>4.4892988977233079</v>
      </c>
      <c r="J202" s="35">
        <v>4.5404882311344572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4.7727455102040812</v>
      </c>
      <c r="I203" s="35">
        <v>4.8293196008284589</v>
      </c>
      <c r="J203" s="35">
        <v>4.6212034548944327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4.8923373469387759</v>
      </c>
      <c r="I204" s="35">
        <v>4.9048625686854574</v>
      </c>
      <c r="J204" s="35">
        <v>4.7656624911607226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4.8774393877551017</v>
      </c>
      <c r="I205" s="35">
        <v>4.8821738957454714</v>
      </c>
      <c r="J205" s="35">
        <v>4.7660665723810478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4.9372353061224485</v>
      </c>
      <c r="I206" s="35">
        <v>4.9501883493996557</v>
      </c>
      <c r="J206" s="35">
        <v>4.9035552075967264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5.1764189795918369</v>
      </c>
      <c r="I207" s="35">
        <v>5.3354832680532329</v>
      </c>
      <c r="J207" s="35">
        <v>5.1075152035559146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5.5650924489795921</v>
      </c>
      <c r="I208" s="35">
        <v>5.8718641224208081</v>
      </c>
      <c r="J208" s="35">
        <v>5.439265885442973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5.524174081632653</v>
      </c>
      <c r="I209" s="35">
        <v>5.7883285538690421</v>
      </c>
      <c r="J209" s="35">
        <v>5.4433066976462268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5.3564189795918367</v>
      </c>
      <c r="I210" s="35">
        <v>5.5494271408441449</v>
      </c>
      <c r="J210" s="35">
        <v>5.1981304172138589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5.1886638775510203</v>
      </c>
      <c r="I211" s="35">
        <v>5.2951077432532134</v>
      </c>
      <c r="J211" s="35">
        <v>5.1693396302656822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4.9141740816326536</v>
      </c>
      <c r="I212" s="35">
        <v>4.8789768554675641</v>
      </c>
      <c r="J212" s="35">
        <v>4.9316388524093338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4.9141740816326536</v>
      </c>
      <c r="I213" s="35">
        <v>4.8867116303334699</v>
      </c>
      <c r="J213" s="35">
        <v>4.873552176987574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4.9903985714285719</v>
      </c>
      <c r="I214" s="35">
        <v>4.9560152131319715</v>
      </c>
      <c r="J214" s="35">
        <v>4.9484082230528328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5.2801944897959183</v>
      </c>
      <c r="I215" s="35">
        <v>5.3567796815173567</v>
      </c>
      <c r="J215" s="35">
        <v>5.1234764117587623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5.4174393877551017</v>
      </c>
      <c r="I216" s="35">
        <v>5.4492360237477993</v>
      </c>
      <c r="J216" s="35">
        <v>5.2855129811092025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5.402133265306122</v>
      </c>
      <c r="I217" s="35">
        <v>5.410716844915596</v>
      </c>
      <c r="J217" s="35">
        <v>5.2855129811092025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5.4479495918367347</v>
      </c>
      <c r="I218" s="35">
        <v>5.5031731871460376</v>
      </c>
      <c r="J218" s="35">
        <v>5.4091618345287396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5.6919291836734693</v>
      </c>
      <c r="I219" s="35">
        <v>5.8576837018333174</v>
      </c>
      <c r="J219" s="35">
        <v>5.6178697848267491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6.134072040816327</v>
      </c>
      <c r="I220" s="35">
        <v>6.3893721261155765</v>
      </c>
      <c r="J220" s="35">
        <v>6.0025551065764207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6.1015210204081631</v>
      </c>
      <c r="I221" s="35">
        <v>6.3593611996358668</v>
      </c>
      <c r="J221" s="35">
        <v>6.0148795837963416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6.0081536734693879</v>
      </c>
      <c r="I222" s="35">
        <v>6.1785221632710261</v>
      </c>
      <c r="J222" s="35">
        <v>5.8433471057682587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5.463765918367347</v>
      </c>
      <c r="I223" s="35">
        <v>5.6047565637182464</v>
      </c>
      <c r="J223" s="35">
        <v>5.4416903727649251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5.1371332653061224</v>
      </c>
      <c r="I224" s="35">
        <v>5.1410310279244005</v>
      </c>
      <c r="J224" s="35">
        <v>5.152368219012021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5.1060108163265303</v>
      </c>
      <c r="I225" s="35">
        <v>5.1095762768030566</v>
      </c>
      <c r="J225" s="35">
        <v>5.0634703505404577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5.1837659183673468</v>
      </c>
      <c r="I226" s="35">
        <v>5.1724342138799706</v>
      </c>
      <c r="J226" s="35">
        <v>5.1398417011819371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5.5103985714285715</v>
      </c>
      <c r="I227" s="35">
        <v>5.6204839392789196</v>
      </c>
      <c r="J227" s="35">
        <v>5.351479240327305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5.6348883673469388</v>
      </c>
      <c r="I228" s="35">
        <v>5.7069071571139567</v>
      </c>
      <c r="J228" s="35">
        <v>5.5007872512374982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5.5571332653061223</v>
      </c>
      <c r="I229" s="35">
        <v>5.5890291881575758</v>
      </c>
      <c r="J229" s="35">
        <v>5.4389628245277297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5.588153673469388</v>
      </c>
      <c r="I230" s="35">
        <v>5.6362113148395911</v>
      </c>
      <c r="J230" s="35">
        <v>5.5479637337104757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5.9303985714285714</v>
      </c>
      <c r="I231" s="35">
        <v>6.0763715698753167</v>
      </c>
      <c r="J231" s="35">
        <v>5.8539542378017968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6.3036638775510205</v>
      </c>
      <c r="I232" s="35">
        <v>6.5872792323511788</v>
      </c>
      <c r="J232" s="35">
        <v>6.1704508536215776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6.255500612244898</v>
      </c>
      <c r="I233" s="35">
        <v>6.5420050168027526</v>
      </c>
      <c r="J233" s="35">
        <v>6.1673192241640562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6.1920312244897957</v>
      </c>
      <c r="I234" s="35">
        <v>6.3656521498601366</v>
      </c>
      <c r="J234" s="35">
        <v>6.0253856955247995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5.3670312244897955</v>
      </c>
      <c r="I235" s="35">
        <v>5.4676963530944249</v>
      </c>
      <c r="J235" s="35">
        <v>5.3458221032427513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5.0338679591836728</v>
      </c>
      <c r="I236" s="35">
        <v>4.9626155543508759</v>
      </c>
      <c r="J236" s="35">
        <v>5.0501356702697242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5.0179495918367349</v>
      </c>
      <c r="I237" s="35">
        <v>4.9706081550456442</v>
      </c>
      <c r="J237" s="35">
        <v>4.976289827255278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5.0814189795918372</v>
      </c>
      <c r="I238" s="35">
        <v>5.0186668895457949</v>
      </c>
      <c r="J238" s="35">
        <v>5.0385183351853708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5.3987659183673467</v>
      </c>
      <c r="I239" s="35">
        <v>5.4356228199838075</v>
      </c>
      <c r="J239" s="35">
        <v>5.2408620062632583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5.5257046938775511</v>
      </c>
      <c r="I240" s="35">
        <v>5.5237992534551168</v>
      </c>
      <c r="J240" s="35">
        <v>5.3926955248004838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5.4463169387755102</v>
      </c>
      <c r="I241" s="35">
        <v>5.4034977217074189</v>
      </c>
      <c r="J241" s="35">
        <v>5.3292547732094144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5.4780516326530613</v>
      </c>
      <c r="I242" s="35">
        <v>5.4355712548180355</v>
      </c>
      <c r="J242" s="35">
        <v>5.4389628245277297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5.8112148979591831</v>
      </c>
      <c r="I243" s="35">
        <v>5.90863008561674</v>
      </c>
      <c r="J243" s="35">
        <v>5.7359625214668144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6.1602965306122446</v>
      </c>
      <c r="I244" s="35">
        <v>6.4297992160813688</v>
      </c>
      <c r="J244" s="35">
        <v>6.028517324982321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6.1380516326530614</v>
      </c>
      <c r="I245" s="35">
        <v>6.3696226676246335</v>
      </c>
      <c r="J245" s="35">
        <v>6.0511458733205368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6.1219291836734691</v>
      </c>
      <c r="I246" s="35">
        <v>6.2551479996092505</v>
      </c>
      <c r="J246" s="35">
        <v>5.9559847459339315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5.6525414285714284</v>
      </c>
      <c r="I247" s="35">
        <v>5.715415409466452</v>
      </c>
      <c r="J247" s="35">
        <v>5.6285779371653692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5.3613169387755102</v>
      </c>
      <c r="I248" s="35">
        <v>5.3147025062468378</v>
      </c>
      <c r="J248" s="35">
        <v>5.3743098292756839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5.3774393877551017</v>
      </c>
      <c r="I249" s="35">
        <v>5.2738113297890905</v>
      </c>
      <c r="J249" s="35">
        <v>5.3322853823618539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5.3774393877551017</v>
      </c>
      <c r="I250" s="35">
        <v>5.2738113297890905</v>
      </c>
      <c r="J250" s="35">
        <v>5.3315782402262855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5.587847551020408</v>
      </c>
      <c r="I251" s="35">
        <v>5.6254341951930975</v>
      </c>
      <c r="J251" s="35">
        <v>5.4281536518840277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5.7496842857142854</v>
      </c>
      <c r="I252" s="35">
        <v>5.7072165481085921</v>
      </c>
      <c r="J252" s="35">
        <v>5.6144350944539845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5.6525414285714284</v>
      </c>
      <c r="I253" s="35">
        <v>5.5682484263511798</v>
      </c>
      <c r="J253" s="35">
        <v>5.5334168097787648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5.7011128571428564</v>
      </c>
      <c r="I254" s="35">
        <v>5.5763957225432659</v>
      </c>
      <c r="J254" s="35">
        <v>5.6597932114354981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5.9600924489795917</v>
      </c>
      <c r="I255" s="35">
        <v>6.0016536446706823</v>
      </c>
      <c r="J255" s="35">
        <v>5.8833511465804618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6.2675414285714286</v>
      </c>
      <c r="I256" s="35">
        <v>6.4759500394479304</v>
      </c>
      <c r="J256" s="35">
        <v>6.1346896656227896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6.1785618367346942</v>
      </c>
      <c r="I257" s="35">
        <v>6.3712727529293591</v>
      </c>
      <c r="J257" s="35">
        <v>6.0911499141327399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6.1785618367346942</v>
      </c>
      <c r="I258" s="35">
        <v>6.2961938715643155</v>
      </c>
      <c r="J258" s="35">
        <v>6.0120510152540652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5.4687659183673469</v>
      </c>
      <c r="I259" s="35">
        <v>5.4703777417146044</v>
      </c>
      <c r="J259" s="35">
        <v>5.4466403677139095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5.2046842857142854</v>
      </c>
      <c r="I260" s="35">
        <v>5.1283975623100906</v>
      </c>
      <c r="J260" s="35">
        <v>5.2192436609758559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5.1881536734693876</v>
      </c>
      <c r="I261" s="35">
        <v>5.0783793515105762</v>
      </c>
      <c r="J261" s="35">
        <v>5.1447916961309215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5.2046842857142854</v>
      </c>
      <c r="I262" s="35">
        <v>5.1117420137655092</v>
      </c>
      <c r="J262" s="35">
        <v>5.1605508637236071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5.6008067346938768</v>
      </c>
      <c r="I263" s="35">
        <v>5.5872244073555315</v>
      </c>
      <c r="J263" s="35">
        <v>5.4409832306293557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5.6998883673469383</v>
      </c>
      <c r="I264" s="35">
        <v>5.6789588372651547</v>
      </c>
      <c r="J264" s="35">
        <v>5.565137185574299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5.5842761224489799</v>
      </c>
      <c r="I265" s="35">
        <v>5.5621637367900014</v>
      </c>
      <c r="J265" s="35">
        <v>5.4658342256793606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5.6502965306122448</v>
      </c>
      <c r="I266" s="35">
        <v>5.6205355044446916</v>
      </c>
      <c r="J266" s="35">
        <v>5.6094850995049992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5.9969291836734691</v>
      </c>
      <c r="I267" s="35">
        <v>6.0626036706140063</v>
      </c>
      <c r="J267" s="35">
        <v>5.9198194767148191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6.3271332653061219</v>
      </c>
      <c r="I268" s="35">
        <v>6.554793177914382</v>
      </c>
      <c r="J268" s="35">
        <v>6.1936855237902808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6.3590720408163266</v>
      </c>
      <c r="I269" s="35">
        <v>6.5640233425876939</v>
      </c>
      <c r="J269" s="35">
        <v>6.2699558541266782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6.3422353061224488</v>
      </c>
      <c r="I270" s="35">
        <v>6.4703294363787069</v>
      </c>
      <c r="J270" s="35">
        <v>6.1740875846045045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5.8029495918367342</v>
      </c>
      <c r="I271" s="35">
        <v>5.8315917279523326</v>
      </c>
      <c r="J271" s="35">
        <v>5.7773808465501562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5.6007046938775504</v>
      </c>
      <c r="I272" s="35">
        <v>5.5420533221386501</v>
      </c>
      <c r="J272" s="35">
        <v>5.611303464996463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5.5838679591836735</v>
      </c>
      <c r="I273" s="35">
        <v>5.5335450697861548</v>
      </c>
      <c r="J273" s="35">
        <v>5.5365484392362854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5.634378163265306</v>
      </c>
      <c r="I274" s="35">
        <v>5.5760863315486286</v>
      </c>
      <c r="J274" s="35">
        <v>5.5859473684210519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5.9377455102040821</v>
      </c>
      <c r="I275" s="35">
        <v>6.0019630356653186</v>
      </c>
      <c r="J275" s="35">
        <v>5.7745522780078788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6.0725414285714283</v>
      </c>
      <c r="I276" s="35">
        <v>6.121130133766016</v>
      </c>
      <c r="J276" s="35">
        <v>5.9340633397312859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5.9377455102040821</v>
      </c>
      <c r="I277" s="35">
        <v>5.9848949657945552</v>
      </c>
      <c r="J277" s="35">
        <v>5.8157685624810576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6.005194489795918</v>
      </c>
      <c r="I278" s="35">
        <v>6.001911470499544</v>
      </c>
      <c r="J278" s="35">
        <v>5.9608337205778357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6.3422353061224488</v>
      </c>
      <c r="I279" s="35">
        <v>6.4362448618029546</v>
      </c>
      <c r="J279" s="35">
        <v>6.2616721891100102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6.7297863265306122</v>
      </c>
      <c r="I280" s="35">
        <v>7.0409495608193504</v>
      </c>
      <c r="J280" s="35">
        <v>6.5923116476411749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6.6993781632653056</v>
      </c>
      <c r="I281" s="35">
        <v>6.9707693702027127</v>
      </c>
      <c r="J281" s="35">
        <v>6.6067575512678038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6.6993781632653056</v>
      </c>
      <c r="I282" s="35">
        <v>6.8403095007977948</v>
      </c>
      <c r="J282" s="35">
        <v>6.5276586523891291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6.1831536734693877</v>
      </c>
      <c r="I283" s="35">
        <v>6.2316342840169021</v>
      </c>
      <c r="J283" s="35">
        <v>6.1537825032831588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6.0110108163265306</v>
      </c>
      <c r="I284" s="35">
        <v>5.9794806233884223</v>
      </c>
      <c r="J284" s="35">
        <v>6.0176071320335387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5.9766230612244895</v>
      </c>
      <c r="I285" s="35">
        <v>5.9533886495074384</v>
      </c>
      <c r="J285" s="35">
        <v>5.9253755934942918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6.0282557142857147</v>
      </c>
      <c r="I286" s="35">
        <v>6.0229500581348052</v>
      </c>
      <c r="J286" s="35">
        <v>5.9758857460349519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6.4240720408163261</v>
      </c>
      <c r="I287" s="35">
        <v>6.5011654055107782</v>
      </c>
      <c r="J287" s="35">
        <v>6.2559140317203754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6.4756026530612241</v>
      </c>
      <c r="I288" s="35">
        <v>6.5707783793039169</v>
      </c>
      <c r="J288" s="35">
        <v>6.3330935448025043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6.3551944897959176</v>
      </c>
      <c r="I289" s="35">
        <v>6.431655562049186</v>
      </c>
      <c r="J289" s="35">
        <v>6.2290426305687436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6.4412148979591839</v>
      </c>
      <c r="I290" s="35">
        <v>6.4576959707643971</v>
      </c>
      <c r="J290" s="35">
        <v>6.3924934841903216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6.8025414285714287</v>
      </c>
      <c r="I291" s="35">
        <v>6.9272483702905587</v>
      </c>
      <c r="J291" s="35">
        <v>6.7173747853318506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7.198357755102041</v>
      </c>
      <c r="I292" s="35">
        <v>7.5098316131904674</v>
      </c>
      <c r="J292" s="35">
        <v>7.0561968885746023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7.1565210204081637</v>
      </c>
      <c r="I293" s="35">
        <v>7.4715702601871286</v>
      </c>
      <c r="J293" s="35">
        <v>7.0593285180321228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7.1740720408163261</v>
      </c>
      <c r="I294" s="35">
        <v>7.3029006029446419</v>
      </c>
      <c r="J294" s="35">
        <v>6.9976051116274363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6.3308067346938781</v>
      </c>
      <c r="I295" s="35">
        <v>6.3973131616445702</v>
      </c>
      <c r="J295" s="35">
        <v>6.2999588847358314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6.1024393877551013</v>
      </c>
      <c r="I296" s="35">
        <v>6.122109871915697</v>
      </c>
      <c r="J296" s="35">
        <v>6.10802030508132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6.1199904081632646</v>
      </c>
      <c r="I297" s="35">
        <v>6.1842458966717953</v>
      </c>
      <c r="J297" s="35">
        <v>6.0673091221335484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6.1901944897959185</v>
      </c>
      <c r="I298" s="35">
        <v>6.2197742958891826</v>
      </c>
      <c r="J298" s="35">
        <v>6.1362049701990093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6.6470312244897958</v>
      </c>
      <c r="I299" s="35">
        <v>6.6903064335650235</v>
      </c>
      <c r="J299" s="35">
        <v>6.4766433983230618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6.7699904081632649</v>
      </c>
      <c r="I300" s="35">
        <v>6.8767145078333174</v>
      </c>
      <c r="J300" s="35">
        <v>6.6245371249621163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6.5591740816326531</v>
      </c>
      <c r="I301" s="35">
        <v>6.7080964157566036</v>
      </c>
      <c r="J301" s="35">
        <v>6.430982220426305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6.6294802040816325</v>
      </c>
      <c r="I302" s="35">
        <v>6.7435732498082182</v>
      </c>
      <c r="J302" s="35">
        <v>6.5788759470653586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7.0686638775510202</v>
      </c>
      <c r="I303" s="35">
        <v>7.1963669704582536</v>
      </c>
      <c r="J303" s="35">
        <v>6.9808357409839372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7.4550924489795918</v>
      </c>
      <c r="I304" s="35">
        <v>7.7734327406204846</v>
      </c>
      <c r="J304" s="35">
        <v>7.3103639761592065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7.3967251020408167</v>
      </c>
      <c r="I305" s="35">
        <v>7.7275397430827866</v>
      </c>
      <c r="J305" s="35">
        <v>7.2971303161935541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7.4325414285714286</v>
      </c>
      <c r="I306" s="35">
        <v>7.5824353665984212</v>
      </c>
      <c r="J306" s="35">
        <v>7.2535905647035044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6.8227455102040819</v>
      </c>
      <c r="I307" s="35">
        <v>6.9479775669311818</v>
      </c>
      <c r="J307" s="35">
        <v>6.7869777755328808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6.5177455102040813</v>
      </c>
      <c r="I308" s="35">
        <v>6.5672719480313724</v>
      </c>
      <c r="J308" s="35">
        <v>6.5191729467622981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6.5177455102040813</v>
      </c>
      <c r="I309" s="35">
        <v>6.5672719480313724</v>
      </c>
      <c r="J309" s="35">
        <v>6.4610862713405384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6.5894802040816325</v>
      </c>
      <c r="I310" s="35">
        <v>6.5581964788553799</v>
      </c>
      <c r="J310" s="35">
        <v>6.531497423982219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7.1096842857142857</v>
      </c>
      <c r="I311" s="35">
        <v>7.2108567820403815</v>
      </c>
      <c r="J311" s="35">
        <v>6.9347704818668543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7.1635618367346936</v>
      </c>
      <c r="I312" s="35">
        <v>7.3015083434687789</v>
      </c>
      <c r="J312" s="35">
        <v>7.0141724416607731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7.0199904081632658</v>
      </c>
      <c r="I313" s="35">
        <v>7.1746064705021766</v>
      </c>
      <c r="J313" s="35">
        <v>6.8871899181735516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7.0020312244897962</v>
      </c>
      <c r="I314" s="35">
        <v>7.1292806897879775</v>
      </c>
      <c r="J314" s="35">
        <v>6.9477010809172635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7.540194489795919</v>
      </c>
      <c r="I315" s="35">
        <v>7.6822139623685866</v>
      </c>
      <c r="J315" s="35">
        <v>7.4476505707647229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7.8092761224489804</v>
      </c>
      <c r="I316" s="35">
        <v>8.2079208274212139</v>
      </c>
      <c r="J316" s="35">
        <v>7.6610054550964728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7.5596842857142859</v>
      </c>
      <c r="I317" s="35">
        <v>7.8967766171487712</v>
      </c>
      <c r="J317" s="35">
        <v>7.4585607637135052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7.5963169387755105</v>
      </c>
      <c r="I318" s="35">
        <v>7.7486298958838171</v>
      </c>
      <c r="J318" s="35">
        <v>7.4156271340539437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6.9730516326530614</v>
      </c>
      <c r="I319" s="35">
        <v>7.1001463711264048</v>
      </c>
      <c r="J319" s="35">
        <v>6.9358817052227488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6.6614189795918373</v>
      </c>
      <c r="I320" s="35">
        <v>6.7110356302056475</v>
      </c>
      <c r="J320" s="35">
        <v>6.6614095363167989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6.6614189795918373</v>
      </c>
      <c r="I321" s="35">
        <v>6.7110871953714204</v>
      </c>
      <c r="J321" s="35">
        <v>6.6033228608950392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6.734786326530612</v>
      </c>
      <c r="I322" s="35">
        <v>6.7018054655323365</v>
      </c>
      <c r="J322" s="35">
        <v>6.6752493181129404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7.2663169387755095</v>
      </c>
      <c r="I323" s="35">
        <v>7.3688008848021465</v>
      </c>
      <c r="J323" s="35">
        <v>7.0898366501666832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7.3213169387755102</v>
      </c>
      <c r="I324" s="35">
        <v>7.4614119225299058</v>
      </c>
      <c r="J324" s="35">
        <v>7.1703498333164957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7.1746842857142861</v>
      </c>
      <c r="I325" s="35">
        <v>7.3317255306115783</v>
      </c>
      <c r="J325" s="35">
        <v>7.0403367006768347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7.1564189795918374</v>
      </c>
      <c r="I326" s="35">
        <v>7.2854200117476982</v>
      </c>
      <c r="J326" s="35">
        <v>7.1005448025053024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7.7063169387755108</v>
      </c>
      <c r="I327" s="35">
        <v>7.8504710982848902</v>
      </c>
      <c r="J327" s="35">
        <v>7.6121116274371134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7.9813169387755103</v>
      </c>
      <c r="I328" s="35">
        <v>8.3877801256363735</v>
      </c>
      <c r="J328" s="35">
        <v>7.8313256894635819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7.726214897959184</v>
      </c>
      <c r="I329" s="35">
        <v>8.0698293134819359</v>
      </c>
      <c r="J329" s="35">
        <v>7.6234259016062218</v>
      </c>
      <c r="K329" s="105">
        <f t="shared" ref="K329:K340" si="12">YEAR(G329)</f>
        <v>2042</v>
      </c>
    </row>
    <row r="330" spans="7:13">
      <c r="G330" s="31">
        <v>51898</v>
      </c>
      <c r="H330" s="35">
        <v>7.7636638775510205</v>
      </c>
      <c r="I330" s="35">
        <v>7.9183824216075305</v>
      </c>
      <c r="J330" s="35">
        <v>7.5814014546923918</v>
      </c>
      <c r="K330" s="105">
        <f t="shared" si="12"/>
        <v>2042</v>
      </c>
    </row>
    <row r="331" spans="7:13">
      <c r="G331" s="31">
        <v>51926</v>
      </c>
      <c r="H331" s="35">
        <v>7.1267251020408162</v>
      </c>
      <c r="I331" s="35">
        <v>7.2556153459310799</v>
      </c>
      <c r="J331" s="35">
        <v>7.0880182846752193</v>
      </c>
      <c r="K331" s="105">
        <f t="shared" si="12"/>
        <v>2042</v>
      </c>
    </row>
    <row r="332" spans="7:13">
      <c r="G332" s="31">
        <v>51957</v>
      </c>
      <c r="H332" s="35">
        <v>6.8082557142857141</v>
      </c>
      <c r="I332" s="35">
        <v>6.8579963526578283</v>
      </c>
      <c r="J332" s="35">
        <v>6.8067777553288202</v>
      </c>
      <c r="K332" s="105">
        <f t="shared" si="12"/>
        <v>2042</v>
      </c>
    </row>
    <row r="333" spans="7:13">
      <c r="G333" s="31">
        <v>51987</v>
      </c>
      <c r="H333" s="35">
        <v>6.8082557142857141</v>
      </c>
      <c r="I333" s="35">
        <v>6.8579963526578283</v>
      </c>
      <c r="J333" s="35">
        <v>6.7486910799070605</v>
      </c>
      <c r="K333" s="105">
        <f t="shared" si="12"/>
        <v>2042</v>
      </c>
    </row>
    <row r="334" spans="7:13">
      <c r="G334" s="31">
        <v>52018</v>
      </c>
      <c r="H334" s="35">
        <v>6.8831536734693879</v>
      </c>
      <c r="I334" s="35">
        <v>6.848508362155652</v>
      </c>
      <c r="J334" s="35">
        <v>6.8222338620062626</v>
      </c>
      <c r="K334" s="105">
        <f t="shared" si="12"/>
        <v>2042</v>
      </c>
    </row>
    <row r="335" spans="7:13">
      <c r="G335" s="31">
        <v>52048</v>
      </c>
      <c r="H335" s="35">
        <v>7.4265210204081633</v>
      </c>
      <c r="I335" s="35">
        <v>7.5301998536706822</v>
      </c>
      <c r="J335" s="35">
        <v>7.2483375088392759</v>
      </c>
      <c r="K335" s="105">
        <f t="shared" si="12"/>
        <v>2042</v>
      </c>
    </row>
    <row r="336" spans="7:13">
      <c r="G336" s="31">
        <v>52079</v>
      </c>
      <c r="H336" s="35">
        <v>7.4826434693877557</v>
      </c>
      <c r="I336" s="35">
        <v>7.6248734980293502</v>
      </c>
      <c r="J336" s="35">
        <v>7.3300629356500648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topLeftCell="A2" zoomScale="80" zoomScaleNormal="80" workbookViewId="0">
      <selection activeCell="F49" sqref="F49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Utah 2018.Q2_Solar - 80.0 MW and 31.0% CF</v>
      </c>
      <c r="C4" s="84"/>
      <c r="D4" s="84"/>
      <c r="E4" s="84"/>
      <c r="F4" s="84"/>
      <c r="G4" s="84"/>
      <c r="K4" s="56">
        <f>MIN(K13:K24)</f>
        <v>43101</v>
      </c>
      <c r="M4" s="57" t="s">
        <v>182</v>
      </c>
      <c r="P4" s="108" t="s">
        <v>170</v>
      </c>
      <c r="Q4" s="108" t="s">
        <v>171</v>
      </c>
      <c r="R4" s="108" t="s">
        <v>172</v>
      </c>
    </row>
    <row r="5" spans="1:18">
      <c r="B5" s="84" t="str">
        <f>TEXT($K$5,"MMMM YYYY")&amp;"  through  "&amp;TEXT($K$6,"MMMM YYYY")</f>
        <v>January 2018  through  December 2037</v>
      </c>
      <c r="C5" s="84"/>
      <c r="D5" s="84"/>
      <c r="E5" s="84"/>
      <c r="F5" s="84"/>
      <c r="G5" s="84"/>
      <c r="J5" s="56" t="s">
        <v>40</v>
      </c>
      <c r="K5" s="211">
        <f>MIN(K13:K24)</f>
        <v>43101</v>
      </c>
      <c r="M5" s="56" t="s">
        <v>41</v>
      </c>
      <c r="O5" s="3" t="s">
        <v>100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EDATE(K5,20*12-1)</f>
        <v>50375</v>
      </c>
      <c r="M6" s="57">
        <v>80</v>
      </c>
      <c r="N6" s="56" t="s">
        <v>34</v>
      </c>
      <c r="O6" s="5" t="s">
        <v>101</v>
      </c>
      <c r="P6">
        <f>P5+179</f>
        <v>192</v>
      </c>
      <c r="Q6" s="56">
        <f>P6+12</f>
        <v>204</v>
      </c>
      <c r="R6" s="56">
        <f>Q6+5*12</f>
        <v>264</v>
      </c>
    </row>
    <row r="7" spans="1:18">
      <c r="A7" s="108" t="str">
        <f>"15 Year Starting "&amp;YEAR($K$5)+1</f>
        <v>15 Year Starting 2019</v>
      </c>
      <c r="B7" s="191"/>
      <c r="C7" s="58">
        <f ca="1">NPV($K$9,INDIRECT("C"&amp;$Q$5&amp;":C"&amp;$Q$6))</f>
        <v>30756483.47462938</v>
      </c>
      <c r="D7" s="58">
        <f ca="1">NPV($K$9,INDIRECT("d"&amp;$Q$5&amp;":d"&amp;$Q$6))</f>
        <v>0</v>
      </c>
      <c r="E7" s="58">
        <f ca="1">NPV($K$9,INDIRECT("e"&amp;$Q$5&amp;":e"&amp;$Q$6))</f>
        <v>30756483.47462938</v>
      </c>
      <c r="F7" s="58">
        <f ca="1">NPV($K$9,INDIRECT("f"&amp;$Q$5&amp;":f"&amp;$Q$6))</f>
        <v>1989409.4432186366</v>
      </c>
      <c r="G7" s="92">
        <f ca="1">($C7+D7)/$F7</f>
        <v>15.460107309468137</v>
      </c>
      <c r="M7" s="112">
        <f ca="1">SUM(OFFSET(F12,MATCH(K5,B13:B24,0),0,12))/(EDATE(K5,12)-K5)/24/Study_MW</f>
        <v>0.31039792055994153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8" t="str">
        <f>"15 Year Starting "&amp;YEAR($K$5)</f>
        <v>15 Year Starting 2018</v>
      </c>
      <c r="C9" s="58">
        <f ca="1">NPV($K$9,INDIRECT("C"&amp;$P$5&amp;":C"&amp;$P$6))</f>
        <v>31465364.161845937</v>
      </c>
      <c r="D9" s="58">
        <f ca="1">NPV($K$9,INDIRECT("d"&amp;$P$5&amp;":d"&amp;$P$6))</f>
        <v>0</v>
      </c>
      <c r="E9" s="58">
        <f ca="1">NPV($K$9,INDIRECT("e"&amp;$P$5&amp;":e"&amp;$P$6))</f>
        <v>31465364.161845937</v>
      </c>
      <c r="F9" s="58">
        <f ca="1">NPV($K$9,INDIRECT("f"&amp;$P$5&amp;":f"&amp;$P$6))</f>
        <v>1999282.6748792238</v>
      </c>
      <c r="G9" s="92">
        <f ca="1">($C9+D9)/$F9</f>
        <v>15.738326829519869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 t="str">
        <f>"20 Year Starting "&amp;YEAR($K$5)+1</f>
        <v>20 Year Starting 2019</v>
      </c>
      <c r="C10" s="58">
        <f ca="1">NPV($K$9,INDIRECT("C"&amp;$R$5&amp;":C"&amp;$R$6))</f>
        <v>41308656.183963194</v>
      </c>
      <c r="D10" s="58">
        <f ca="1">NPV($K$9,INDIRECT("d"&amp;$R$5&amp;":d"&amp;$R$6))</f>
        <v>0</v>
      </c>
      <c r="E10" s="58">
        <f ca="1">NPV($K$9,INDIRECT("e"&amp;$R$5&amp;":e"&amp;$R$6))</f>
        <v>41308656.183963194</v>
      </c>
      <c r="F10" s="58">
        <f ca="1">NPV($K$9,INDIRECT("f"&amp;$R$5&amp;":f"&amp;$R$6))</f>
        <v>2298079.3087397963</v>
      </c>
      <c r="G10" s="92">
        <f ca="1">($C10+D10)/$F10</f>
        <v>17.975296164437307</v>
      </c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30.7% CF</v>
      </c>
      <c r="E12" s="66" t="s">
        <v>52</v>
      </c>
      <c r="F12" s="67" t="s">
        <v>48</v>
      </c>
      <c r="G12" s="65" t="str">
        <f>D12</f>
        <v>30.7%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43101</v>
      </c>
      <c r="C13" s="69">
        <v>167566.01010277867</v>
      </c>
      <c r="D13" s="70">
        <f>IF(ISNUMBER($F13),VLOOKUP($J13,'Table 1'!$B$13:$C$33,2,FALSE)/12*1000*Study_MW,"")</f>
        <v>0</v>
      </c>
      <c r="E13" s="71">
        <f>IF(ISNUMBER(C13+D13),C13+D13,"")</f>
        <v>167566.01010277867</v>
      </c>
      <c r="F13" s="69">
        <v>10533.919401145</v>
      </c>
      <c r="G13" s="72">
        <f>IF(ISNUMBER($F13),E13/$F13,"")</f>
        <v>15.907280445354921</v>
      </c>
      <c r="I13" s="60">
        <v>1</v>
      </c>
      <c r="J13" s="73">
        <f>YEAR(B13)</f>
        <v>2018</v>
      </c>
      <c r="K13" s="74">
        <f t="shared" ref="K13:K24" si="0">IF(ISNUMBER(F13),B13,"")</f>
        <v>43101</v>
      </c>
      <c r="L13" s="56">
        <v>283</v>
      </c>
      <c r="M13" s="56" t="s">
        <v>51</v>
      </c>
    </row>
    <row r="14" spans="1:18">
      <c r="B14" s="78">
        <f t="shared" ref="B14:B77" si="1">EDATE(B13,1)</f>
        <v>43132</v>
      </c>
      <c r="C14" s="75">
        <v>145211.39126063883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145211.39126063883</v>
      </c>
      <c r="F14" s="75">
        <v>11789.511548523</v>
      </c>
      <c r="G14" s="76">
        <f t="shared" ref="G14:G77" si="3">IF(ISNUMBER($F14),E14/$F14,"")</f>
        <v>12.316998093006749</v>
      </c>
      <c r="I14" s="77">
        <f>I13+1</f>
        <v>2</v>
      </c>
      <c r="J14" s="73">
        <f t="shared" ref="J14:J77" si="4">YEAR(B14)</f>
        <v>2018</v>
      </c>
      <c r="K14" s="78">
        <f t="shared" si="0"/>
        <v>43132</v>
      </c>
      <c r="L14" s="56">
        <v>379</v>
      </c>
      <c r="M14" s="91" t="s">
        <v>183</v>
      </c>
    </row>
    <row r="15" spans="1:18">
      <c r="B15" s="78">
        <f t="shared" si="1"/>
        <v>43160</v>
      </c>
      <c r="C15" s="75">
        <v>233941.60543784499</v>
      </c>
      <c r="D15" s="71">
        <f>IF(ISNUMBER($F15),VLOOKUP($J15,'Table 1'!$B$13:$C$33,2,FALSE)/12*1000*Study_MW,"")</f>
        <v>0</v>
      </c>
      <c r="E15" s="71">
        <f t="shared" si="2"/>
        <v>233941.60543784499</v>
      </c>
      <c r="F15" s="75">
        <v>18247.292669832001</v>
      </c>
      <c r="G15" s="76">
        <f t="shared" si="3"/>
        <v>12.820620004885297</v>
      </c>
      <c r="I15" s="77">
        <f t="shared" ref="I15:I24" si="5">I14+1</f>
        <v>3</v>
      </c>
      <c r="J15" s="73">
        <f t="shared" si="4"/>
        <v>2018</v>
      </c>
      <c r="K15" s="78">
        <f t="shared" si="0"/>
        <v>43160</v>
      </c>
    </row>
    <row r="16" spans="1:18">
      <c r="B16" s="78">
        <f t="shared" si="1"/>
        <v>43191</v>
      </c>
      <c r="C16" s="75">
        <v>228206.05328536034</v>
      </c>
      <c r="D16" s="71">
        <f>IF(ISNUMBER($F16),VLOOKUP($J16,'Table 1'!$B$13:$C$33,2,FALSE)/12*1000*Study_MW,"")</f>
        <v>0</v>
      </c>
      <c r="E16" s="71">
        <f t="shared" si="2"/>
        <v>228206.05328536034</v>
      </c>
      <c r="F16" s="75">
        <v>21209.445235143001</v>
      </c>
      <c r="G16" s="76">
        <f t="shared" si="3"/>
        <v>10.759642732532871</v>
      </c>
      <c r="I16" s="77">
        <f t="shared" si="5"/>
        <v>4</v>
      </c>
      <c r="J16" s="73">
        <f t="shared" si="4"/>
        <v>2018</v>
      </c>
      <c r="K16" s="78">
        <f t="shared" si="0"/>
        <v>43191</v>
      </c>
      <c r="L16" s="73">
        <f>YEAR(B13)</f>
        <v>2018</v>
      </c>
      <c r="M16" s="56">
        <f>SUMIF($J$13:$J$264,L16,$C$13:$C$264)</f>
        <v>4954982.0542987436</v>
      </c>
      <c r="N16" s="56">
        <f>SUMIF($J$13:$J$264,L16,$D$13:$D$264)</f>
        <v>0</v>
      </c>
      <c r="O16" s="56">
        <f t="shared" ref="O16:O25" si="6">SUMIF($J$13:$J$264,L16,$F$13:$F$264)</f>
        <v>217526.86272840702</v>
      </c>
      <c r="P16" s="118">
        <f t="shared" ref="P16:P25" si="7">(M16+N16)/O16</f>
        <v>22.778713360497836</v>
      </c>
      <c r="Q16" s="181">
        <f>M16/O16</f>
        <v>22.778713360497836</v>
      </c>
      <c r="R16" s="181">
        <f>IFERROR(N16/O16,0)</f>
        <v>0</v>
      </c>
    </row>
    <row r="17" spans="2:18">
      <c r="B17" s="78">
        <f t="shared" si="1"/>
        <v>43221</v>
      </c>
      <c r="C17" s="75">
        <v>297936.19287145138</v>
      </c>
      <c r="D17" s="71">
        <f>IF(ISNUMBER($F17),VLOOKUP($J17,'Table 1'!$B$13:$C$33,2,FALSE)/12*1000*Study_MW,"")</f>
        <v>0</v>
      </c>
      <c r="E17" s="71">
        <f t="shared" si="2"/>
        <v>297936.19287145138</v>
      </c>
      <c r="F17" s="75">
        <v>24552.524056925002</v>
      </c>
      <c r="G17" s="76">
        <f t="shared" si="3"/>
        <v>12.134646205037276</v>
      </c>
      <c r="I17" s="77">
        <f t="shared" si="5"/>
        <v>5</v>
      </c>
      <c r="J17" s="73">
        <f t="shared" si="4"/>
        <v>2018</v>
      </c>
      <c r="K17" s="78">
        <f t="shared" si="0"/>
        <v>43221</v>
      </c>
      <c r="L17" s="73">
        <f>L16+1</f>
        <v>2019</v>
      </c>
      <c r="M17" s="56">
        <f>SUMIF($J$13:$J$264,L17,$C$13:$C$264)</f>
        <v>3781705.3387065083</v>
      </c>
      <c r="N17" s="56">
        <f t="shared" ref="N17:N36" si="8">SUMIF($J$13:$J$264,L17,$D$13:$D$264)</f>
        <v>0</v>
      </c>
      <c r="O17" s="56">
        <f t="shared" si="6"/>
        <v>216439.22834414899</v>
      </c>
      <c r="P17" s="118">
        <f t="shared" si="7"/>
        <v>17.472365650340478</v>
      </c>
      <c r="Q17" s="181">
        <f t="shared" ref="Q17:Q33" si="9">M17/O17</f>
        <v>17.472365650340478</v>
      </c>
      <c r="R17" s="181">
        <f t="shared" ref="R17:R33" si="10">IFERROR(N17/O17,0)</f>
        <v>0</v>
      </c>
    </row>
    <row r="18" spans="2:18">
      <c r="B18" s="78">
        <f t="shared" si="1"/>
        <v>43252</v>
      </c>
      <c r="C18" s="75">
        <v>403938.75600939989</v>
      </c>
      <c r="D18" s="71">
        <f>IF(ISNUMBER($F18),VLOOKUP($J18,'Table 1'!$B$13:$C$33,2,FALSE)/12*1000*Study_MW,"")</f>
        <v>0</v>
      </c>
      <c r="E18" s="71">
        <f t="shared" si="2"/>
        <v>403938.75600939989</v>
      </c>
      <c r="F18" s="75">
        <v>26084.101872698</v>
      </c>
      <c r="G18" s="76">
        <f t="shared" si="3"/>
        <v>15.486013587157434</v>
      </c>
      <c r="I18" s="77">
        <f t="shared" si="5"/>
        <v>6</v>
      </c>
      <c r="J18" s="73">
        <f t="shared" si="4"/>
        <v>2018</v>
      </c>
      <c r="K18" s="78">
        <f t="shared" si="0"/>
        <v>43252</v>
      </c>
      <c r="L18" s="73">
        <f t="shared" ref="L18:L36" si="11">L17+1</f>
        <v>2020</v>
      </c>
      <c r="M18" s="56">
        <f t="shared" ref="M18:M36" si="12">SUMIF($J$13:$J$264,L18,$C$13:$C$264)</f>
        <v>3092474.1868853271</v>
      </c>
      <c r="N18" s="56">
        <f t="shared" si="8"/>
        <v>0</v>
      </c>
      <c r="O18" s="56">
        <f t="shared" si="6"/>
        <v>216059.39182893001</v>
      </c>
      <c r="P18" s="118">
        <f t="shared" si="7"/>
        <v>14.313074570411938</v>
      </c>
      <c r="Q18" s="181">
        <f t="shared" si="9"/>
        <v>14.313074570411938</v>
      </c>
      <c r="R18" s="181">
        <f t="shared" si="10"/>
        <v>0</v>
      </c>
    </row>
    <row r="19" spans="2:18">
      <c r="B19" s="78">
        <f t="shared" si="1"/>
        <v>43282</v>
      </c>
      <c r="C19" s="75">
        <v>1794519.8662791252</v>
      </c>
      <c r="D19" s="71">
        <f>IF(ISNUMBER($F19),VLOOKUP($J19,'Table 1'!$B$13:$C$33,2,FALSE)/12*1000*Study_MW,"")</f>
        <v>0</v>
      </c>
      <c r="E19" s="71">
        <f t="shared" si="2"/>
        <v>1794519.8662791252</v>
      </c>
      <c r="F19" s="75">
        <v>23608.342198912</v>
      </c>
      <c r="G19" s="76">
        <f t="shared" si="3"/>
        <v>76.012108396235732</v>
      </c>
      <c r="I19" s="77">
        <f t="shared" si="5"/>
        <v>7</v>
      </c>
      <c r="J19" s="73">
        <f t="shared" si="4"/>
        <v>2018</v>
      </c>
      <c r="K19" s="78">
        <f t="shared" si="0"/>
        <v>43282</v>
      </c>
      <c r="L19" s="73">
        <f t="shared" si="11"/>
        <v>2021</v>
      </c>
      <c r="M19" s="56">
        <f t="shared" si="12"/>
        <v>2298753.6129701883</v>
      </c>
      <c r="N19" s="56">
        <f t="shared" si="8"/>
        <v>0</v>
      </c>
      <c r="O19" s="56">
        <f t="shared" si="6"/>
        <v>214280.24690609999</v>
      </c>
      <c r="P19" s="118">
        <f t="shared" si="7"/>
        <v>10.72779057407717</v>
      </c>
      <c r="Q19" s="181">
        <f t="shared" si="9"/>
        <v>10.72779057407717</v>
      </c>
      <c r="R19" s="181">
        <f t="shared" si="10"/>
        <v>0</v>
      </c>
    </row>
    <row r="20" spans="2:18">
      <c r="B20" s="78">
        <f t="shared" si="1"/>
        <v>43313</v>
      </c>
      <c r="C20" s="75">
        <v>716331.30816090107</v>
      </c>
      <c r="D20" s="71">
        <f>IF(ISNUMBER($F20),VLOOKUP($J20,'Table 1'!$B$13:$C$33,2,FALSE)/12*1000*Study_MW,"")</f>
        <v>0</v>
      </c>
      <c r="E20" s="71">
        <f t="shared" si="2"/>
        <v>716331.30816090107</v>
      </c>
      <c r="F20" s="75">
        <v>23645.706000114002</v>
      </c>
      <c r="G20" s="76">
        <f t="shared" si="3"/>
        <v>30.294350617293791</v>
      </c>
      <c r="I20" s="77">
        <f t="shared" si="5"/>
        <v>8</v>
      </c>
      <c r="J20" s="73">
        <f t="shared" si="4"/>
        <v>2018</v>
      </c>
      <c r="K20" s="78">
        <f t="shared" si="0"/>
        <v>43313</v>
      </c>
      <c r="L20" s="73">
        <f t="shared" si="11"/>
        <v>2022</v>
      </c>
      <c r="M20" s="56">
        <f t="shared" si="12"/>
        <v>1780802.3526442349</v>
      </c>
      <c r="N20" s="56">
        <f t="shared" si="8"/>
        <v>0</v>
      </c>
      <c r="O20" s="56">
        <f t="shared" si="6"/>
        <v>213208.84559779702</v>
      </c>
      <c r="P20" s="118">
        <f t="shared" si="7"/>
        <v>8.3523849474969207</v>
      </c>
      <c r="Q20" s="181">
        <f t="shared" si="9"/>
        <v>8.3523849474969207</v>
      </c>
      <c r="R20" s="181">
        <f t="shared" si="10"/>
        <v>0</v>
      </c>
    </row>
    <row r="21" spans="2:18">
      <c r="B21" s="78">
        <f t="shared" si="1"/>
        <v>43344</v>
      </c>
      <c r="C21" s="75">
        <v>409889.61721052229</v>
      </c>
      <c r="D21" s="71">
        <f>IF(ISNUMBER($F21),VLOOKUP($J21,'Table 1'!$B$13:$C$33,2,FALSE)/12*1000*Study_MW,"")</f>
        <v>0</v>
      </c>
      <c r="E21" s="71">
        <f t="shared" si="2"/>
        <v>409889.61721052229</v>
      </c>
      <c r="F21" s="75">
        <v>20842.583375120001</v>
      </c>
      <c r="G21" s="76">
        <f t="shared" si="3"/>
        <v>19.665969896026017</v>
      </c>
      <c r="I21" s="77">
        <f t="shared" si="5"/>
        <v>9</v>
      </c>
      <c r="J21" s="73">
        <f t="shared" si="4"/>
        <v>2018</v>
      </c>
      <c r="K21" s="78">
        <f t="shared" si="0"/>
        <v>43344</v>
      </c>
      <c r="L21" s="73">
        <f t="shared" si="11"/>
        <v>2023</v>
      </c>
      <c r="M21" s="56">
        <f t="shared" si="12"/>
        <v>1998037.1309006512</v>
      </c>
      <c r="N21" s="56">
        <f t="shared" si="8"/>
        <v>0</v>
      </c>
      <c r="O21" s="56">
        <f t="shared" si="6"/>
        <v>212142.80125857203</v>
      </c>
      <c r="P21" s="118">
        <f t="shared" si="7"/>
        <v>9.4183593270521921</v>
      </c>
      <c r="Q21" s="181">
        <f t="shared" si="9"/>
        <v>9.4183593270521921</v>
      </c>
      <c r="R21" s="181">
        <f t="shared" si="10"/>
        <v>0</v>
      </c>
    </row>
    <row r="22" spans="2:18">
      <c r="B22" s="78">
        <f t="shared" si="1"/>
        <v>43374</v>
      </c>
      <c r="C22" s="75">
        <v>206538.1229326576</v>
      </c>
      <c r="D22" s="71">
        <f>IF(ISNUMBER($F22),VLOOKUP($J22,'Table 1'!$B$13:$C$33,2,FALSE)/12*1000*Study_MW,"")</f>
        <v>0</v>
      </c>
      <c r="E22" s="71">
        <f t="shared" si="2"/>
        <v>206538.1229326576</v>
      </c>
      <c r="F22" s="75">
        <v>16897.413920923002</v>
      </c>
      <c r="G22" s="76">
        <f t="shared" si="3"/>
        <v>12.223061108594521</v>
      </c>
      <c r="I22" s="77">
        <f t="shared" si="5"/>
        <v>10</v>
      </c>
      <c r="J22" s="73">
        <f t="shared" si="4"/>
        <v>2018</v>
      </c>
      <c r="K22" s="78">
        <f t="shared" si="0"/>
        <v>43374</v>
      </c>
      <c r="L22" s="73">
        <f t="shared" si="11"/>
        <v>2024</v>
      </c>
      <c r="M22" s="56">
        <f t="shared" si="12"/>
        <v>2170116.7515885383</v>
      </c>
      <c r="N22" s="56">
        <f t="shared" si="8"/>
        <v>0</v>
      </c>
      <c r="O22" s="56">
        <f t="shared" si="6"/>
        <v>211770.50475059904</v>
      </c>
      <c r="P22" s="118">
        <f t="shared" si="7"/>
        <v>10.247492936489305</v>
      </c>
      <c r="Q22" s="181">
        <f t="shared" si="9"/>
        <v>10.247492936489305</v>
      </c>
      <c r="R22" s="181">
        <f t="shared" si="10"/>
        <v>0</v>
      </c>
    </row>
    <row r="23" spans="2:18">
      <c r="B23" s="78">
        <f t="shared" si="1"/>
        <v>43405</v>
      </c>
      <c r="C23" s="75">
        <v>177315.59716999531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177315.59716999531</v>
      </c>
      <c r="F23" s="75">
        <v>11380.742441151</v>
      </c>
      <c r="G23" s="76">
        <f t="shared" ref="G23" si="14">IF(ISNUMBER($F23),E23/$F23,"")</f>
        <v>15.58031895431089</v>
      </c>
      <c r="I23" s="77">
        <f t="shared" si="5"/>
        <v>11</v>
      </c>
      <c r="J23" s="73">
        <f t="shared" si="4"/>
        <v>2018</v>
      </c>
      <c r="K23" s="78">
        <f t="shared" si="0"/>
        <v>43405</v>
      </c>
      <c r="L23" s="73">
        <f t="shared" si="11"/>
        <v>2025</v>
      </c>
      <c r="M23" s="56">
        <f t="shared" si="12"/>
        <v>2682025.9632909298</v>
      </c>
      <c r="N23" s="56">
        <f t="shared" si="8"/>
        <v>0</v>
      </c>
      <c r="O23" s="56">
        <f t="shared" si="6"/>
        <v>210026.67622469596</v>
      </c>
      <c r="P23" s="118">
        <f t="shared" si="7"/>
        <v>12.769930046512654</v>
      </c>
      <c r="Q23" s="181">
        <f t="shared" si="9"/>
        <v>12.769930046512654</v>
      </c>
      <c r="R23" s="181">
        <f t="shared" si="10"/>
        <v>0</v>
      </c>
    </row>
    <row r="24" spans="2:18">
      <c r="B24" s="82">
        <f t="shared" si="1"/>
        <v>43435</v>
      </c>
      <c r="C24" s="79">
        <v>173587.53357806802</v>
      </c>
      <c r="D24" s="80">
        <f>IF(F24&lt;&gt;0,VLOOKUP($J24,'Table 1'!$B$13:$C$33,2,FALSE)/12*1000*Study_MW,0)</f>
        <v>0</v>
      </c>
      <c r="E24" s="80">
        <f t="shared" ref="E24" si="15">IF(ISNUMBER(C24+D24),C24+D24,"")</f>
        <v>173587.53357806802</v>
      </c>
      <c r="F24" s="79">
        <v>8735.2800079209992</v>
      </c>
      <c r="G24" s="81">
        <f t="shared" ref="G24" si="16">IF(ISNUMBER($F24),E24/$F24,"")</f>
        <v>19.872005639276804</v>
      </c>
      <c r="I24" s="64">
        <f t="shared" si="5"/>
        <v>12</v>
      </c>
      <c r="J24" s="73">
        <f t="shared" si="4"/>
        <v>2018</v>
      </c>
      <c r="K24" s="82">
        <f t="shared" si="0"/>
        <v>43435</v>
      </c>
      <c r="L24" s="73">
        <f t="shared" si="11"/>
        <v>2026</v>
      </c>
      <c r="M24" s="56">
        <f t="shared" si="12"/>
        <v>2489572.8218599707</v>
      </c>
      <c r="N24" s="56">
        <f t="shared" si="8"/>
        <v>0</v>
      </c>
      <c r="O24" s="56">
        <f t="shared" si="6"/>
        <v>208976.545138405</v>
      </c>
      <c r="P24" s="118">
        <f t="shared" si="7"/>
        <v>11.913168629575766</v>
      </c>
      <c r="Q24" s="181">
        <f t="shared" si="9"/>
        <v>11.913168629575766</v>
      </c>
      <c r="R24" s="181">
        <f t="shared" si="10"/>
        <v>0</v>
      </c>
    </row>
    <row r="25" spans="2:18">
      <c r="B25" s="74">
        <f t="shared" si="1"/>
        <v>43466</v>
      </c>
      <c r="C25" s="69">
        <v>174510.91752164066</v>
      </c>
      <c r="D25" s="70">
        <f>IF(F25&lt;&gt;0,VLOOKUP($J25,'Table 1'!$B$13:$C$33,2,FALSE)/12*1000*Study_MW,0)</f>
        <v>0</v>
      </c>
      <c r="E25" s="70">
        <f t="shared" ref="E25:E77" si="17">C25+D25</f>
        <v>174510.91752164066</v>
      </c>
      <c r="F25" s="69">
        <v>10481.249831478999</v>
      </c>
      <c r="G25" s="72">
        <f t="shared" si="3"/>
        <v>16.649819470720086</v>
      </c>
      <c r="I25" s="60">
        <f>I13+13</f>
        <v>14</v>
      </c>
      <c r="J25" s="73">
        <f t="shared" si="4"/>
        <v>2019</v>
      </c>
      <c r="K25" s="74">
        <f>IF(ISNUMBER(F25),IF(F25&lt;&gt;0,B25,""),"")</f>
        <v>43466</v>
      </c>
      <c r="L25" s="73">
        <f t="shared" si="11"/>
        <v>2027</v>
      </c>
      <c r="M25" s="56">
        <f t="shared" si="12"/>
        <v>2862419.0665170997</v>
      </c>
      <c r="N25" s="56">
        <f t="shared" si="8"/>
        <v>0</v>
      </c>
      <c r="O25" s="56">
        <f t="shared" si="6"/>
        <v>207931.66289950901</v>
      </c>
      <c r="P25" s="118">
        <f t="shared" si="7"/>
        <v>13.766152911019011</v>
      </c>
      <c r="Q25" s="181">
        <f t="shared" si="9"/>
        <v>13.766152911019011</v>
      </c>
      <c r="R25" s="181">
        <f t="shared" si="10"/>
        <v>0</v>
      </c>
    </row>
    <row r="26" spans="2:18">
      <c r="B26" s="78">
        <f t="shared" si="1"/>
        <v>43497</v>
      </c>
      <c r="C26" s="75">
        <v>159103.91355589032</v>
      </c>
      <c r="D26" s="71">
        <f>IF(F26&lt;&gt;0,VLOOKUP($J26,'Table 1'!$B$13:$C$33,2,FALSE)/12*1000*Study_MW,0)</f>
        <v>0</v>
      </c>
      <c r="E26" s="71">
        <f t="shared" si="17"/>
        <v>159103.91355589032</v>
      </c>
      <c r="F26" s="75">
        <v>11730.563930890001</v>
      </c>
      <c r="G26" s="76">
        <f t="shared" si="3"/>
        <v>13.563193934515224</v>
      </c>
      <c r="I26" s="77">
        <f t="shared" ref="I26:I89" si="18">I14+13</f>
        <v>15</v>
      </c>
      <c r="J26" s="73">
        <f t="shared" si="4"/>
        <v>2019</v>
      </c>
      <c r="K26" s="78">
        <f t="shared" ref="K26:K89" si="19">IF(ISNUMBER(F26),IF(F26&lt;&gt;0,B26,""),"")</f>
        <v>43497</v>
      </c>
      <c r="L26" s="73">
        <f t="shared" si="11"/>
        <v>2028</v>
      </c>
      <c r="M26" s="56">
        <f t="shared" si="12"/>
        <v>3469785.3791542202</v>
      </c>
      <c r="N26" s="56">
        <f t="shared" si="8"/>
        <v>0</v>
      </c>
      <c r="O26" s="56">
        <f>SUMIF($J$13:$J$264,L26,$F$13:$F$264)</f>
        <v>207566.75467473397</v>
      </c>
      <c r="P26" s="118">
        <f>(M26+N26)/O26</f>
        <v>16.716479402453071</v>
      </c>
      <c r="Q26" s="181">
        <f t="shared" si="9"/>
        <v>16.716479402453071</v>
      </c>
      <c r="R26" s="181">
        <f t="shared" si="10"/>
        <v>0</v>
      </c>
    </row>
    <row r="27" spans="2:18">
      <c r="B27" s="78">
        <f t="shared" si="1"/>
        <v>43525</v>
      </c>
      <c r="C27" s="75">
        <v>232671.30554440618</v>
      </c>
      <c r="D27" s="71">
        <f>IF(F27&lt;&gt;0,VLOOKUP($J27,'Table 1'!$B$13:$C$33,2,FALSE)/12*1000*Study_MW,0)</f>
        <v>0</v>
      </c>
      <c r="E27" s="71">
        <f t="shared" si="17"/>
        <v>232671.30554440618</v>
      </c>
      <c r="F27" s="75">
        <v>18156.056281712001</v>
      </c>
      <c r="G27" s="76">
        <f t="shared" si="3"/>
        <v>12.81507954889787</v>
      </c>
      <c r="I27" s="77">
        <f t="shared" si="18"/>
        <v>16</v>
      </c>
      <c r="J27" s="73">
        <f t="shared" si="4"/>
        <v>2019</v>
      </c>
      <c r="K27" s="78">
        <f t="shared" si="19"/>
        <v>43525</v>
      </c>
      <c r="L27" s="73">
        <f t="shared" si="11"/>
        <v>2029</v>
      </c>
      <c r="M27" s="56">
        <f t="shared" si="12"/>
        <v>3957145.4735826254</v>
      </c>
      <c r="N27" s="56">
        <f t="shared" si="8"/>
        <v>0</v>
      </c>
      <c r="O27" s="56">
        <f t="shared" ref="O27:O31" si="20">SUMIF($J$13:$J$264,L27,$F$13:$F$264)</f>
        <v>205857.54471274599</v>
      </c>
      <c r="P27" s="118">
        <f t="shared" ref="P27:P31" si="21">(M27+N27)/O27</f>
        <v>19.222737155951382</v>
      </c>
      <c r="Q27" s="181">
        <f t="shared" si="9"/>
        <v>19.222737155951382</v>
      </c>
      <c r="R27" s="181">
        <f t="shared" si="10"/>
        <v>0</v>
      </c>
    </row>
    <row r="28" spans="2:18">
      <c r="B28" s="78">
        <f t="shared" si="1"/>
        <v>43556</v>
      </c>
      <c r="C28" s="75">
        <v>212919.08445878327</v>
      </c>
      <c r="D28" s="71">
        <f>IF(F28&lt;&gt;0,VLOOKUP($J28,'Table 1'!$B$13:$C$33,2,FALSE)/12*1000*Study_MW,0)</f>
        <v>0</v>
      </c>
      <c r="E28" s="71">
        <f t="shared" si="17"/>
        <v>212919.08445878327</v>
      </c>
      <c r="F28" s="75">
        <v>21103.397942322001</v>
      </c>
      <c r="G28" s="76">
        <f t="shared" si="3"/>
        <v>10.089327085653006</v>
      </c>
      <c r="I28" s="77">
        <f t="shared" si="18"/>
        <v>17</v>
      </c>
      <c r="J28" s="73">
        <f t="shared" si="4"/>
        <v>2019</v>
      </c>
      <c r="K28" s="78">
        <f t="shared" si="19"/>
        <v>43556</v>
      </c>
      <c r="L28" s="73">
        <f t="shared" si="11"/>
        <v>2030</v>
      </c>
      <c r="M28" s="56">
        <f t="shared" si="12"/>
        <v>5122837.4456572086</v>
      </c>
      <c r="N28" s="56">
        <f t="shared" si="8"/>
        <v>0</v>
      </c>
      <c r="O28" s="56">
        <f t="shared" si="20"/>
        <v>204828.25779456098</v>
      </c>
      <c r="P28" s="118">
        <f t="shared" si="21"/>
        <v>25.010403841814256</v>
      </c>
      <c r="Q28" s="181">
        <f t="shared" si="9"/>
        <v>25.010403841814256</v>
      </c>
      <c r="R28" s="181">
        <f t="shared" si="10"/>
        <v>0</v>
      </c>
    </row>
    <row r="29" spans="2:18">
      <c r="B29" s="78">
        <f t="shared" si="1"/>
        <v>43586</v>
      </c>
      <c r="C29" s="75">
        <v>266334.69549849629</v>
      </c>
      <c r="D29" s="71">
        <f>IF(F29&lt;&gt;0,VLOOKUP($J29,'Table 1'!$B$13:$C$33,2,FALSE)/12*1000*Study_MW,0)</f>
        <v>0</v>
      </c>
      <c r="E29" s="71">
        <f t="shared" si="17"/>
        <v>266334.69549849629</v>
      </c>
      <c r="F29" s="75">
        <v>24429.761360979999</v>
      </c>
      <c r="G29" s="76">
        <f t="shared" si="3"/>
        <v>10.902058827471587</v>
      </c>
      <c r="I29" s="77">
        <f t="shared" si="18"/>
        <v>18</v>
      </c>
      <c r="J29" s="73">
        <f t="shared" si="4"/>
        <v>2019</v>
      </c>
      <c r="K29" s="78">
        <f t="shared" si="19"/>
        <v>43586</v>
      </c>
      <c r="L29" s="73">
        <f t="shared" si="11"/>
        <v>2031</v>
      </c>
      <c r="M29" s="56">
        <f t="shared" si="12"/>
        <v>5787813.9340715706</v>
      </c>
      <c r="N29" s="56">
        <f t="shared" si="8"/>
        <v>0</v>
      </c>
      <c r="O29" s="56">
        <f t="shared" si="20"/>
        <v>203804.11604272097</v>
      </c>
      <c r="P29" s="118">
        <f t="shared" si="21"/>
        <v>28.398906000791179</v>
      </c>
      <c r="Q29" s="181">
        <f t="shared" si="9"/>
        <v>28.398906000791179</v>
      </c>
      <c r="R29" s="181">
        <f t="shared" si="10"/>
        <v>0</v>
      </c>
    </row>
    <row r="30" spans="2:18">
      <c r="B30" s="78">
        <f t="shared" si="1"/>
        <v>43617</v>
      </c>
      <c r="C30" s="75">
        <v>352729.96318380535</v>
      </c>
      <c r="D30" s="71">
        <f>IF(F30&lt;&gt;0,VLOOKUP($J30,'Table 1'!$B$13:$C$33,2,FALSE)/12*1000*Study_MW,0)</f>
        <v>0</v>
      </c>
      <c r="E30" s="71">
        <f t="shared" si="17"/>
        <v>352729.96318380535</v>
      </c>
      <c r="F30" s="75">
        <v>25953.681512813</v>
      </c>
      <c r="G30" s="76">
        <f t="shared" si="3"/>
        <v>13.590748696275211</v>
      </c>
      <c r="I30" s="77">
        <f t="shared" si="18"/>
        <v>19</v>
      </c>
      <c r="J30" s="73">
        <f t="shared" si="4"/>
        <v>2019</v>
      </c>
      <c r="K30" s="78">
        <f t="shared" si="19"/>
        <v>43617</v>
      </c>
      <c r="L30" s="73">
        <f t="shared" si="11"/>
        <v>2032</v>
      </c>
      <c r="M30" s="56">
        <f t="shared" si="12"/>
        <v>5698334.8654278517</v>
      </c>
      <c r="N30" s="56">
        <f t="shared" si="8"/>
        <v>0</v>
      </c>
      <c r="O30" s="56">
        <f t="shared" si="20"/>
        <v>203446.45111332499</v>
      </c>
      <c r="P30" s="118">
        <f t="shared" si="21"/>
        <v>28.009015808556573</v>
      </c>
      <c r="Q30" s="181">
        <f t="shared" si="9"/>
        <v>28.009015808556573</v>
      </c>
      <c r="R30" s="181">
        <f t="shared" si="10"/>
        <v>0</v>
      </c>
    </row>
    <row r="31" spans="2:18">
      <c r="B31" s="78">
        <f t="shared" si="1"/>
        <v>43647</v>
      </c>
      <c r="C31" s="75">
        <v>923613.46016284823</v>
      </c>
      <c r="D31" s="71">
        <f>IF(F31&lt;&gt;0,VLOOKUP($J31,'Table 1'!$B$13:$C$33,2,FALSE)/12*1000*Study_MW,0)</f>
        <v>0</v>
      </c>
      <c r="E31" s="71">
        <f t="shared" si="17"/>
        <v>923613.46016284823</v>
      </c>
      <c r="F31" s="75">
        <v>23490.300548481999</v>
      </c>
      <c r="G31" s="76">
        <f t="shared" si="3"/>
        <v>39.318929030158124</v>
      </c>
      <c r="I31" s="77">
        <f t="shared" si="18"/>
        <v>20</v>
      </c>
      <c r="J31" s="73">
        <f t="shared" si="4"/>
        <v>2019</v>
      </c>
      <c r="K31" s="78">
        <f t="shared" si="19"/>
        <v>43647</v>
      </c>
      <c r="L31" s="73">
        <f t="shared" si="11"/>
        <v>2033</v>
      </c>
      <c r="M31" s="56">
        <f t="shared" si="12"/>
        <v>5867076.2722809762</v>
      </c>
      <c r="N31" s="56">
        <f t="shared" si="8"/>
        <v>0</v>
      </c>
      <c r="O31" s="56">
        <f t="shared" si="20"/>
        <v>201771.16884380998</v>
      </c>
      <c r="P31" s="118">
        <f t="shared" si="21"/>
        <v>29.077872254497617</v>
      </c>
      <c r="Q31" s="181">
        <f t="shared" si="9"/>
        <v>29.077872254497617</v>
      </c>
      <c r="R31" s="181">
        <f t="shared" si="10"/>
        <v>0</v>
      </c>
    </row>
    <row r="32" spans="2:18">
      <c r="B32" s="78">
        <f t="shared" si="1"/>
        <v>43678</v>
      </c>
      <c r="C32" s="75">
        <v>566154.17245921493</v>
      </c>
      <c r="D32" s="71">
        <f>IF(F32&lt;&gt;0,VLOOKUP($J32,'Table 1'!$B$13:$C$33,2,FALSE)/12*1000*Study_MW,0)</f>
        <v>0</v>
      </c>
      <c r="E32" s="71">
        <f t="shared" si="17"/>
        <v>566154.17245921493</v>
      </c>
      <c r="F32" s="75">
        <v>23527.47741824</v>
      </c>
      <c r="G32" s="76">
        <f t="shared" si="3"/>
        <v>24.063530585743806</v>
      </c>
      <c r="I32" s="77">
        <f t="shared" si="18"/>
        <v>21</v>
      </c>
      <c r="J32" s="73">
        <f t="shared" si="4"/>
        <v>2019</v>
      </c>
      <c r="K32" s="78">
        <f t="shared" si="19"/>
        <v>43678</v>
      </c>
      <c r="L32" s="73">
        <f t="shared" si="11"/>
        <v>2034</v>
      </c>
      <c r="M32" s="56">
        <f t="shared" si="12"/>
        <v>5897748.2893129885</v>
      </c>
      <c r="N32" s="56">
        <f t="shared" si="8"/>
        <v>0</v>
      </c>
      <c r="O32" s="56">
        <f t="shared" ref="O32:O35" si="22">SUMIF($J$13:$J$264,L32,$F$13:$F$264)</f>
        <v>200762.31191556601</v>
      </c>
      <c r="P32" s="118">
        <f t="shared" ref="P32:P34" si="23">(M32+N32)/O32</f>
        <v>29.376770136983613</v>
      </c>
      <c r="Q32" s="181">
        <f t="shared" si="9"/>
        <v>29.376770136983613</v>
      </c>
      <c r="R32" s="181">
        <f t="shared" si="10"/>
        <v>0</v>
      </c>
    </row>
    <row r="33" spans="2:20">
      <c r="B33" s="78">
        <f t="shared" si="1"/>
        <v>43709</v>
      </c>
      <c r="C33" s="75">
        <v>362738.19118490815</v>
      </c>
      <c r="D33" s="71">
        <f>IF(F33&lt;&gt;0,VLOOKUP($J33,'Table 1'!$B$13:$C$33,2,FALSE)/12*1000*Study_MW,0)</f>
        <v>0</v>
      </c>
      <c r="E33" s="71">
        <f t="shared" si="17"/>
        <v>362738.19118490815</v>
      </c>
      <c r="F33" s="75">
        <v>20738.3703895</v>
      </c>
      <c r="G33" s="76">
        <f t="shared" si="3"/>
        <v>17.491161763055661</v>
      </c>
      <c r="I33" s="77">
        <f t="shared" si="18"/>
        <v>22</v>
      </c>
      <c r="J33" s="73">
        <f t="shared" si="4"/>
        <v>2019</v>
      </c>
      <c r="K33" s="78">
        <f t="shared" si="19"/>
        <v>43709</v>
      </c>
      <c r="L33" s="73">
        <f t="shared" si="11"/>
        <v>2035</v>
      </c>
      <c r="M33" s="56">
        <f t="shared" si="12"/>
        <v>6562773.1177403927</v>
      </c>
      <c r="N33" s="56">
        <f t="shared" si="8"/>
        <v>0</v>
      </c>
      <c r="O33" s="56">
        <f t="shared" si="22"/>
        <v>199758.501554296</v>
      </c>
      <c r="P33" s="118">
        <f t="shared" si="23"/>
        <v>32.853535978074888</v>
      </c>
      <c r="Q33" s="181">
        <f t="shared" si="9"/>
        <v>32.853535978074888</v>
      </c>
      <c r="R33" s="181">
        <f t="shared" si="10"/>
        <v>0</v>
      </c>
    </row>
    <row r="34" spans="2:20">
      <c r="B34" s="78">
        <f t="shared" si="1"/>
        <v>43739</v>
      </c>
      <c r="C34" s="75">
        <v>222239.02539016306</v>
      </c>
      <c r="D34" s="71">
        <f>IF(F34&lt;&gt;0,VLOOKUP($J34,'Table 1'!$B$13:$C$33,2,FALSE)/12*1000*Study_MW,0)</f>
        <v>0</v>
      </c>
      <c r="E34" s="71">
        <f t="shared" si="17"/>
        <v>222239.02539016306</v>
      </c>
      <c r="F34" s="75">
        <v>16812.926796988999</v>
      </c>
      <c r="G34" s="76">
        <f t="shared" si="3"/>
        <v>13.218342533315704</v>
      </c>
      <c r="I34" s="77">
        <f t="shared" si="18"/>
        <v>23</v>
      </c>
      <c r="J34" s="73">
        <f t="shared" si="4"/>
        <v>2019</v>
      </c>
      <c r="K34" s="78">
        <f t="shared" si="19"/>
        <v>43739</v>
      </c>
      <c r="L34" s="73">
        <f t="shared" si="11"/>
        <v>2036</v>
      </c>
      <c r="M34" s="56">
        <f t="shared" si="12"/>
        <v>7284746.0985501707</v>
      </c>
      <c r="N34" s="56">
        <f t="shared" si="8"/>
        <v>0</v>
      </c>
      <c r="O34" s="56">
        <f t="shared" si="22"/>
        <v>199407.93684153</v>
      </c>
      <c r="P34" s="118">
        <f t="shared" si="23"/>
        <v>36.531876383332609</v>
      </c>
      <c r="Q34" s="181">
        <f t="shared" ref="Q34" si="24">M34/O34</f>
        <v>36.531876383332609</v>
      </c>
      <c r="R34" s="181">
        <f t="shared" ref="R34" si="25">IFERROR(N34/O34,0)</f>
        <v>0</v>
      </c>
    </row>
    <row r="35" spans="2:20">
      <c r="B35" s="78">
        <f t="shared" si="1"/>
        <v>43770</v>
      </c>
      <c r="C35" s="75">
        <v>161128.37691836059</v>
      </c>
      <c r="D35" s="71">
        <f>IF(F35&lt;&gt;0,VLOOKUP($J35,'Table 1'!$B$13:$C$33,2,FALSE)/12*1000*Study_MW,0)</f>
        <v>0</v>
      </c>
      <c r="E35" s="71">
        <f t="shared" si="17"/>
        <v>161128.37691836059</v>
      </c>
      <c r="F35" s="75">
        <v>11323.838746326999</v>
      </c>
      <c r="G35" s="76">
        <f t="shared" si="3"/>
        <v>14.229130291229572</v>
      </c>
      <c r="I35" s="77">
        <f t="shared" si="18"/>
        <v>24</v>
      </c>
      <c r="J35" s="73">
        <f t="shared" si="4"/>
        <v>2019</v>
      </c>
      <c r="K35" s="78">
        <f t="shared" si="19"/>
        <v>43770</v>
      </c>
      <c r="L35" s="73">
        <f t="shared" si="11"/>
        <v>2037</v>
      </c>
      <c r="M35" s="56">
        <f t="shared" si="12"/>
        <v>7427813.6517557474</v>
      </c>
      <c r="N35" s="56">
        <f t="shared" si="8"/>
        <v>0</v>
      </c>
      <c r="O35" s="56">
        <f t="shared" si="22"/>
        <v>199014.12305941552</v>
      </c>
      <c r="P35" s="118">
        <f t="shared" ref="P35" si="26">(M35+N35)/O35</f>
        <v>37.323047920263321</v>
      </c>
      <c r="Q35" s="181">
        <f t="shared" ref="Q35" si="27">M35/O35</f>
        <v>37.323047920263321</v>
      </c>
      <c r="R35" s="181">
        <f t="shared" ref="R35" si="28">IFERROR(N35/O35,0)</f>
        <v>0</v>
      </c>
    </row>
    <row r="36" spans="2:20">
      <c r="B36" s="82">
        <f t="shared" si="1"/>
        <v>43800</v>
      </c>
      <c r="C36" s="79">
        <v>147562.23282799125</v>
      </c>
      <c r="D36" s="80">
        <f>IF(F36&lt;&gt;0,VLOOKUP($J36,'Table 1'!$B$13:$C$33,2,FALSE)/12*1000*Study_MW,0)</f>
        <v>0</v>
      </c>
      <c r="E36" s="80">
        <f t="shared" si="17"/>
        <v>147562.23282799125</v>
      </c>
      <c r="F36" s="79">
        <v>8691.6035844149992</v>
      </c>
      <c r="G36" s="81">
        <f t="shared" si="3"/>
        <v>16.977561320512425</v>
      </c>
      <c r="I36" s="64">
        <f t="shared" si="18"/>
        <v>25</v>
      </c>
      <c r="J36" s="73">
        <f t="shared" si="4"/>
        <v>2019</v>
      </c>
      <c r="K36" s="82">
        <f t="shared" si="19"/>
        <v>43800</v>
      </c>
      <c r="L36" s="73">
        <f t="shared" si="11"/>
        <v>2038</v>
      </c>
      <c r="M36" s="56">
        <f t="shared" si="12"/>
        <v>7058679.4940921078</v>
      </c>
      <c r="N36" s="56">
        <f t="shared" si="8"/>
        <v>0</v>
      </c>
      <c r="O36" s="56">
        <f t="shared" ref="O36" si="29">SUMIF($J$13:$J$264,L36,$F$13:$F$264)</f>
        <v>191032.48034773851</v>
      </c>
      <c r="P36" s="118">
        <f t="shared" ref="P36" si="30">(M36+N36)/O36</f>
        <v>36.95015361389391</v>
      </c>
      <c r="Q36" s="181">
        <f t="shared" ref="Q36" si="31">M36/O36</f>
        <v>36.95015361389391</v>
      </c>
      <c r="R36" s="181">
        <f t="shared" ref="R36" si="32">IFERROR(N36/O36,0)</f>
        <v>0</v>
      </c>
    </row>
    <row r="37" spans="2:20" outlineLevel="1">
      <c r="B37" s="74">
        <f t="shared" si="1"/>
        <v>43831</v>
      </c>
      <c r="C37" s="69">
        <v>160527.99933183193</v>
      </c>
      <c r="D37" s="70">
        <f>IF(F37&lt;&gt;0,VLOOKUP($J37,'Table 1'!$B$13:$C$33,2,FALSE)/12*1000*Study_MW,0)</f>
        <v>0</v>
      </c>
      <c r="E37" s="70">
        <f t="shared" si="17"/>
        <v>160527.99933183193</v>
      </c>
      <c r="F37" s="69">
        <v>10428.843569577</v>
      </c>
      <c r="G37" s="72">
        <f t="shared" si="3"/>
        <v>15.392694143013504</v>
      </c>
      <c r="I37" s="60">
        <f>I25+13</f>
        <v>27</v>
      </c>
      <c r="J37" s="73">
        <f t="shared" si="4"/>
        <v>2020</v>
      </c>
      <c r="K37" s="74">
        <f t="shared" si="19"/>
        <v>43831</v>
      </c>
      <c r="M37" s="192"/>
    </row>
    <row r="38" spans="2:20" outlineLevel="1">
      <c r="B38" s="78">
        <f t="shared" si="1"/>
        <v>43862</v>
      </c>
      <c r="C38" s="75">
        <v>135811.02682480216</v>
      </c>
      <c r="D38" s="71">
        <f>IF(F38&lt;&gt;0,VLOOKUP($J38,'Table 1'!$B$13:$C$33,2,FALSE)/12*1000*Study_MW,0)</f>
        <v>0</v>
      </c>
      <c r="E38" s="71">
        <f t="shared" si="17"/>
        <v>135811.02682480216</v>
      </c>
      <c r="F38" s="75">
        <v>12374.270839184001</v>
      </c>
      <c r="G38" s="76">
        <f t="shared" si="3"/>
        <v>10.975275116392876</v>
      </c>
      <c r="I38" s="77">
        <f t="shared" si="18"/>
        <v>28</v>
      </c>
      <c r="J38" s="73">
        <f t="shared" si="4"/>
        <v>2020</v>
      </c>
      <c r="K38" s="78">
        <f t="shared" si="19"/>
        <v>43862</v>
      </c>
      <c r="M38" s="192"/>
    </row>
    <row r="39" spans="2:20" outlineLevel="1">
      <c r="B39" s="78">
        <f t="shared" si="1"/>
        <v>43891</v>
      </c>
      <c r="C39" s="75">
        <v>210465.57208234072</v>
      </c>
      <c r="D39" s="71">
        <f>IF(F39&lt;&gt;0,VLOOKUP($J39,'Table 1'!$B$13:$C$33,2,FALSE)/12*1000*Study_MW,0)</f>
        <v>0</v>
      </c>
      <c r="E39" s="71">
        <f t="shared" si="17"/>
        <v>210465.57208234072</v>
      </c>
      <c r="F39" s="75">
        <v>18065.275943880999</v>
      </c>
      <c r="G39" s="76">
        <f t="shared" si="3"/>
        <v>11.650282715644252</v>
      </c>
      <c r="I39" s="77">
        <f t="shared" si="18"/>
        <v>29</v>
      </c>
      <c r="J39" s="73">
        <f t="shared" si="4"/>
        <v>2020</v>
      </c>
      <c r="K39" s="78">
        <f t="shared" si="19"/>
        <v>43891</v>
      </c>
    </row>
    <row r="40" spans="2:20" outlineLevel="1">
      <c r="B40" s="78">
        <f t="shared" si="1"/>
        <v>43922</v>
      </c>
      <c r="C40" s="75">
        <v>160866.31070432067</v>
      </c>
      <c r="D40" s="71">
        <f>IF(F40&lt;&gt;0,VLOOKUP($J40,'Table 1'!$B$13:$C$33,2,FALSE)/12*1000*Study_MW,0)</f>
        <v>0</v>
      </c>
      <c r="E40" s="71">
        <f t="shared" si="17"/>
        <v>160866.31070432067</v>
      </c>
      <c r="F40" s="75">
        <v>20997.880931729</v>
      </c>
      <c r="G40" s="76">
        <f t="shared" si="3"/>
        <v>7.6610735734405688</v>
      </c>
      <c r="I40" s="77">
        <f t="shared" si="18"/>
        <v>30</v>
      </c>
      <c r="J40" s="73">
        <f t="shared" si="4"/>
        <v>2020</v>
      </c>
      <c r="K40" s="78">
        <f t="shared" si="19"/>
        <v>43922</v>
      </c>
      <c r="O40" s="219" t="str">
        <f>"15 Year Starting "&amp;YEAR($K$5)+2</f>
        <v>15 Year Starting 2020</v>
      </c>
      <c r="P40" s="58">
        <f ca="1">NPV($K$9,INDIRECT("C"&amp;$P$5+24&amp;":C"&amp;$P$6+24))</f>
        <v>31215113.424998231</v>
      </c>
      <c r="Q40" s="58">
        <f ca="1">NPV($K$9,INDIRECT("D"&amp;$P$5+24&amp;":D"&amp;$P$6+24))</f>
        <v>0</v>
      </c>
      <c r="R40" s="58">
        <f ca="1">NPV($K$9,INDIRECT("E"&amp;$P$5+24&amp;":E"&amp;$P$6+24))</f>
        <v>31215113.424998231</v>
      </c>
      <c r="S40" s="58">
        <f ca="1">NPV($K$9,INDIRECT("F"&amp;$P$5+24&amp;":F"&amp;$P$6+24))</f>
        <v>1979594.0892362273</v>
      </c>
      <c r="T40" s="92">
        <f ca="1">R40/S40</f>
        <v>15.768441416715754</v>
      </c>
    </row>
    <row r="41" spans="2:20" outlineLevel="1">
      <c r="B41" s="78">
        <f t="shared" si="1"/>
        <v>43952</v>
      </c>
      <c r="C41" s="75">
        <v>260555.25578185916</v>
      </c>
      <c r="D41" s="71">
        <f>IF(F41&lt;&gt;0,VLOOKUP($J41,'Table 1'!$B$13:$C$33,2,FALSE)/12*1000*Study_MW,0)</f>
        <v>0</v>
      </c>
      <c r="E41" s="71">
        <f t="shared" si="17"/>
        <v>260555.25578185916</v>
      </c>
      <c r="F41" s="75">
        <v>24307.612609555999</v>
      </c>
      <c r="G41" s="76">
        <f t="shared" si="3"/>
        <v>10.719080477670095</v>
      </c>
      <c r="I41" s="77">
        <f t="shared" si="18"/>
        <v>31</v>
      </c>
      <c r="J41" s="73">
        <f t="shared" si="4"/>
        <v>2020</v>
      </c>
      <c r="K41" s="78">
        <f t="shared" si="19"/>
        <v>43952</v>
      </c>
      <c r="O41" s="219" t="str">
        <f>"15 Year Starting "&amp;YEAR($K$5)+3</f>
        <v>15 Year Starting 2021</v>
      </c>
      <c r="P41" s="58">
        <f ca="1">NPV($K$9,INDIRECT("C"&amp;$P$5+36&amp;":C"&amp;$P$6+36))</f>
        <v>32663609.554634072</v>
      </c>
      <c r="Q41" s="58">
        <f ca="1">NPV($K$9,INDIRECT("D"&amp;$P$5+36&amp;":D"&amp;$P$6+36))</f>
        <v>0</v>
      </c>
      <c r="R41" s="58">
        <f ca="1">NPV($K$9,INDIRECT("E"&amp;$P$5+36&amp;":E"&amp;$P$6+36))</f>
        <v>32663609.554634072</v>
      </c>
      <c r="S41" s="58">
        <f ca="1">NPV($K$9,INDIRECT("F"&amp;$P$5+36&amp;":F"&amp;$P$6+36))</f>
        <v>1969094.3354988566</v>
      </c>
      <c r="T41" s="92">
        <f ca="1">R41/S41</f>
        <v>16.588138498889627</v>
      </c>
    </row>
    <row r="42" spans="2:20" outlineLevel="1">
      <c r="B42" s="78">
        <f t="shared" si="1"/>
        <v>43983</v>
      </c>
      <c r="C42" s="75">
        <v>357773.81488600373</v>
      </c>
      <c r="D42" s="71">
        <f>IF(F42&lt;&gt;0,VLOOKUP($J42,'Table 1'!$B$13:$C$33,2,FALSE)/12*1000*Study_MW,0)</f>
        <v>0</v>
      </c>
      <c r="E42" s="71">
        <f t="shared" si="17"/>
        <v>357773.81488600373</v>
      </c>
      <c r="F42" s="75">
        <v>25823.913082829</v>
      </c>
      <c r="G42" s="76">
        <f t="shared" si="3"/>
        <v>13.854361023384058</v>
      </c>
      <c r="I42" s="77">
        <f t="shared" si="18"/>
        <v>32</v>
      </c>
      <c r="J42" s="73">
        <f t="shared" si="4"/>
        <v>2020</v>
      </c>
      <c r="K42" s="78">
        <f t="shared" si="19"/>
        <v>43983</v>
      </c>
    </row>
    <row r="43" spans="2:20" outlineLevel="1">
      <c r="B43" s="78">
        <f t="shared" si="1"/>
        <v>44013</v>
      </c>
      <c r="C43" s="75">
        <v>484870.08394554257</v>
      </c>
      <c r="D43" s="71">
        <f>IF(F43&lt;&gt;0,VLOOKUP($J43,'Table 1'!$B$13:$C$33,2,FALSE)/12*1000*Study_MW,0)</f>
        <v>0</v>
      </c>
      <c r="E43" s="71">
        <f t="shared" si="17"/>
        <v>484870.08394554257</v>
      </c>
      <c r="F43" s="75">
        <v>23372.848993119002</v>
      </c>
      <c r="G43" s="76">
        <f t="shared" si="3"/>
        <v>20.745014186686827</v>
      </c>
      <c r="I43" s="77">
        <f t="shared" si="18"/>
        <v>33</v>
      </c>
      <c r="J43" s="73">
        <f t="shared" si="4"/>
        <v>2020</v>
      </c>
      <c r="K43" s="78">
        <f t="shared" si="19"/>
        <v>44013</v>
      </c>
    </row>
    <row r="44" spans="2:20" outlineLevel="1">
      <c r="B44" s="78">
        <f t="shared" si="1"/>
        <v>44044</v>
      </c>
      <c r="C44" s="75">
        <v>489549.24958223104</v>
      </c>
      <c r="D44" s="71">
        <f>IF(F44&lt;&gt;0,VLOOKUP($J44,'Table 1'!$B$13:$C$33,2,FALSE)/12*1000*Study_MW,0)</f>
        <v>0</v>
      </c>
      <c r="E44" s="71">
        <f t="shared" si="17"/>
        <v>489549.24958223104</v>
      </c>
      <c r="F44" s="75">
        <v>23409.840010124</v>
      </c>
      <c r="G44" s="76">
        <f t="shared" si="3"/>
        <v>20.912114280598107</v>
      </c>
      <c r="I44" s="77">
        <f t="shared" si="18"/>
        <v>34</v>
      </c>
      <c r="J44" s="73">
        <f t="shared" si="4"/>
        <v>2020</v>
      </c>
      <c r="K44" s="78">
        <f t="shared" si="19"/>
        <v>44044</v>
      </c>
    </row>
    <row r="45" spans="2:20" outlineLevel="1">
      <c r="B45" s="78">
        <f t="shared" si="1"/>
        <v>44075</v>
      </c>
      <c r="C45" s="75">
        <v>324782.34953576326</v>
      </c>
      <c r="D45" s="71">
        <f>IF(F45&lt;&gt;0,VLOOKUP($J45,'Table 1'!$B$13:$C$33,2,FALSE)/12*1000*Study_MW,0)</f>
        <v>0</v>
      </c>
      <c r="E45" s="71">
        <f t="shared" si="17"/>
        <v>324782.34953576326</v>
      </c>
      <c r="F45" s="75">
        <v>20634.67856172</v>
      </c>
      <c r="G45" s="76">
        <f t="shared" si="3"/>
        <v>15.739636969110657</v>
      </c>
      <c r="I45" s="77">
        <f t="shared" si="18"/>
        <v>35</v>
      </c>
      <c r="J45" s="73">
        <f t="shared" si="4"/>
        <v>2020</v>
      </c>
      <c r="K45" s="78">
        <f t="shared" si="19"/>
        <v>44075</v>
      </c>
    </row>
    <row r="46" spans="2:20" outlineLevel="1">
      <c r="B46" s="78">
        <f t="shared" si="1"/>
        <v>44105</v>
      </c>
      <c r="C46" s="75">
        <v>221471.29456938803</v>
      </c>
      <c r="D46" s="71">
        <f>IF(F46&lt;&gt;0,VLOOKUP($J46,'Table 1'!$B$13:$C$33,2,FALSE)/12*1000*Study_MW,0)</f>
        <v>0</v>
      </c>
      <c r="E46" s="71">
        <f t="shared" si="17"/>
        <v>221471.29456938803</v>
      </c>
      <c r="F46" s="75">
        <v>16728.862152565001</v>
      </c>
      <c r="G46" s="76">
        <f t="shared" si="3"/>
        <v>13.23887378290282</v>
      </c>
      <c r="I46" s="77">
        <f t="shared" si="18"/>
        <v>36</v>
      </c>
      <c r="J46" s="73">
        <f t="shared" si="4"/>
        <v>2020</v>
      </c>
      <c r="K46" s="78">
        <f t="shared" si="19"/>
        <v>44105</v>
      </c>
    </row>
    <row r="47" spans="2:20" outlineLevel="1">
      <c r="B47" s="78">
        <f t="shared" si="1"/>
        <v>44136</v>
      </c>
      <c r="C47" s="75">
        <v>145126.70989485085</v>
      </c>
      <c r="D47" s="71">
        <f>IF(F47&lt;&gt;0,VLOOKUP($J47,'Table 1'!$B$13:$C$33,2,FALSE)/12*1000*Study_MW,0)</f>
        <v>0</v>
      </c>
      <c r="E47" s="71">
        <f t="shared" si="17"/>
        <v>145126.70989485085</v>
      </c>
      <c r="F47" s="75">
        <v>11267.219528066</v>
      </c>
      <c r="G47" s="76">
        <f t="shared" si="3"/>
        <v>12.880436875606135</v>
      </c>
      <c r="I47" s="77">
        <f t="shared" si="18"/>
        <v>37</v>
      </c>
      <c r="J47" s="73">
        <f t="shared" si="4"/>
        <v>2020</v>
      </c>
      <c r="K47" s="78">
        <f t="shared" si="19"/>
        <v>44136</v>
      </c>
    </row>
    <row r="48" spans="2:20" outlineLevel="1">
      <c r="B48" s="82">
        <f t="shared" si="1"/>
        <v>44166</v>
      </c>
      <c r="C48" s="79">
        <v>140674.51974639297</v>
      </c>
      <c r="D48" s="80">
        <f>IF(F48&lt;&gt;0,VLOOKUP($J48,'Table 1'!$B$13:$C$33,2,FALSE)/12*1000*Study_MW,0)</f>
        <v>0</v>
      </c>
      <c r="E48" s="80">
        <f t="shared" si="17"/>
        <v>140674.51974639297</v>
      </c>
      <c r="F48" s="79">
        <v>8648.1456065799994</v>
      </c>
      <c r="G48" s="81">
        <f t="shared" si="3"/>
        <v>16.266437470636458</v>
      </c>
      <c r="I48" s="64">
        <f t="shared" si="18"/>
        <v>38</v>
      </c>
      <c r="J48" s="73">
        <f t="shared" si="4"/>
        <v>2020</v>
      </c>
      <c r="K48" s="82">
        <f t="shared" si="19"/>
        <v>44166</v>
      </c>
    </row>
    <row r="49" spans="2:11" outlineLevel="1">
      <c r="B49" s="74">
        <f t="shared" si="1"/>
        <v>44197</v>
      </c>
      <c r="C49" s="69">
        <v>115555.87689840794</v>
      </c>
      <c r="D49" s="70">
        <f>IF(F49&lt;&gt;0,VLOOKUP($J49,'Table 1'!$B$13:$C$33,2,FALSE)/12*1000*Study_MW,0)</f>
        <v>0</v>
      </c>
      <c r="E49" s="70">
        <f t="shared" si="17"/>
        <v>115555.87689840794</v>
      </c>
      <c r="F49" s="69">
        <v>10376.699317003</v>
      </c>
      <c r="G49" s="72">
        <f t="shared" si="3"/>
        <v>11.136091869700895</v>
      </c>
      <c r="I49" s="60">
        <f>I37+13</f>
        <v>40</v>
      </c>
      <c r="J49" s="73">
        <f t="shared" si="4"/>
        <v>2021</v>
      </c>
      <c r="K49" s="74">
        <f t="shared" si="19"/>
        <v>44197</v>
      </c>
    </row>
    <row r="50" spans="2:11" outlineLevel="1">
      <c r="B50" s="78">
        <f t="shared" si="1"/>
        <v>44228</v>
      </c>
      <c r="C50" s="75">
        <v>125435.54815512896</v>
      </c>
      <c r="D50" s="71">
        <f>IF(F50&lt;&gt;0,VLOOKUP($J50,'Table 1'!$B$13:$C$33,2,FALSE)/12*1000*Study_MW,0)</f>
        <v>0</v>
      </c>
      <c r="E50" s="71">
        <f t="shared" si="17"/>
        <v>125435.54815512896</v>
      </c>
      <c r="F50" s="75">
        <v>11613.551560282</v>
      </c>
      <c r="G50" s="76">
        <f t="shared" si="3"/>
        <v>10.800791429222633</v>
      </c>
      <c r="I50" s="77">
        <f t="shared" si="18"/>
        <v>41</v>
      </c>
      <c r="J50" s="73">
        <f t="shared" si="4"/>
        <v>2021</v>
      </c>
      <c r="K50" s="78">
        <f t="shared" si="19"/>
        <v>44228</v>
      </c>
    </row>
    <row r="51" spans="2:11" outlineLevel="1">
      <c r="B51" s="78">
        <f t="shared" si="1"/>
        <v>44256</v>
      </c>
      <c r="C51" s="75">
        <v>163784.71689547598</v>
      </c>
      <c r="D51" s="71">
        <f>IF(F51&lt;&gt;0,VLOOKUP($J51,'Table 1'!$B$13:$C$33,2,FALSE)/12*1000*Study_MW,0)</f>
        <v>0</v>
      </c>
      <c r="E51" s="71">
        <f t="shared" si="17"/>
        <v>163784.71689547598</v>
      </c>
      <c r="F51" s="75">
        <v>17974.949585859002</v>
      </c>
      <c r="G51" s="76">
        <f t="shared" si="3"/>
        <v>9.1118317808427332</v>
      </c>
      <c r="I51" s="77">
        <f t="shared" si="18"/>
        <v>42</v>
      </c>
      <c r="J51" s="73">
        <f t="shared" si="4"/>
        <v>2021</v>
      </c>
      <c r="K51" s="78">
        <f t="shared" si="19"/>
        <v>44256</v>
      </c>
    </row>
    <row r="52" spans="2:11" outlineLevel="1">
      <c r="B52" s="78">
        <f t="shared" si="1"/>
        <v>44287</v>
      </c>
      <c r="C52" s="75">
        <v>131080.9651954025</v>
      </c>
      <c r="D52" s="71">
        <f>IF(F52&lt;&gt;0,VLOOKUP($J52,'Table 1'!$B$13:$C$33,2,FALSE)/12*1000*Study_MW,0)</f>
        <v>0</v>
      </c>
      <c r="E52" s="71">
        <f t="shared" si="17"/>
        <v>131080.9651954025</v>
      </c>
      <c r="F52" s="75">
        <v>20892.891564408001</v>
      </c>
      <c r="G52" s="76">
        <f t="shared" si="3"/>
        <v>6.2739503907972676</v>
      </c>
      <c r="I52" s="77">
        <f t="shared" si="18"/>
        <v>43</v>
      </c>
      <c r="J52" s="73">
        <f t="shared" si="4"/>
        <v>2021</v>
      </c>
      <c r="K52" s="78">
        <f t="shared" si="19"/>
        <v>44287</v>
      </c>
    </row>
    <row r="53" spans="2:11" outlineLevel="1">
      <c r="B53" s="78">
        <f t="shared" si="1"/>
        <v>44317</v>
      </c>
      <c r="C53" s="75">
        <v>217501.97562889755</v>
      </c>
      <c r="D53" s="71">
        <f>IF(F53&lt;&gt;0,VLOOKUP($J53,'Table 1'!$B$13:$C$33,2,FALSE)/12*1000*Study_MW,0)</f>
        <v>0</v>
      </c>
      <c r="E53" s="71">
        <f t="shared" si="17"/>
        <v>217501.97562889755</v>
      </c>
      <c r="F53" s="75">
        <v>24186.074499094</v>
      </c>
      <c r="G53" s="76">
        <f t="shared" si="3"/>
        <v>8.9928597398906174</v>
      </c>
      <c r="I53" s="77">
        <f t="shared" si="18"/>
        <v>44</v>
      </c>
      <c r="J53" s="73">
        <f t="shared" si="4"/>
        <v>2021</v>
      </c>
      <c r="K53" s="78">
        <f t="shared" si="19"/>
        <v>44317</v>
      </c>
    </row>
    <row r="54" spans="2:11" outlineLevel="1">
      <c r="B54" s="78">
        <f t="shared" si="1"/>
        <v>44348</v>
      </c>
      <c r="C54" s="75">
        <v>269278.24473534524</v>
      </c>
      <c r="D54" s="71">
        <f>IF(F54&lt;&gt;0,VLOOKUP($J54,'Table 1'!$B$13:$C$33,2,FALSE)/12*1000*Study_MW,0)</f>
        <v>0</v>
      </c>
      <c r="E54" s="71">
        <f t="shared" si="17"/>
        <v>269278.24473534524</v>
      </c>
      <c r="F54" s="75">
        <v>25694.793429345998</v>
      </c>
      <c r="G54" s="76">
        <f t="shared" si="3"/>
        <v>10.479875834604018</v>
      </c>
      <c r="I54" s="77">
        <f t="shared" si="18"/>
        <v>45</v>
      </c>
      <c r="J54" s="73">
        <f t="shared" si="4"/>
        <v>2021</v>
      </c>
      <c r="K54" s="78">
        <f t="shared" si="19"/>
        <v>44348</v>
      </c>
    </row>
    <row r="55" spans="2:11" outlineLevel="1">
      <c r="B55" s="78">
        <f t="shared" si="1"/>
        <v>44378</v>
      </c>
      <c r="C55" s="75">
        <v>359131.4017136097</v>
      </c>
      <c r="D55" s="71">
        <f>IF(F55&lt;&gt;0,VLOOKUP($J55,'Table 1'!$B$13:$C$33,2,FALSE)/12*1000*Study_MW,0)</f>
        <v>0</v>
      </c>
      <c r="E55" s="71">
        <f t="shared" si="17"/>
        <v>359131.4017136097</v>
      </c>
      <c r="F55" s="75">
        <v>23255.984769620001</v>
      </c>
      <c r="G55" s="76">
        <f t="shared" si="3"/>
        <v>15.442536846805728</v>
      </c>
      <c r="I55" s="77">
        <f t="shared" si="18"/>
        <v>46</v>
      </c>
      <c r="J55" s="73">
        <f t="shared" si="4"/>
        <v>2021</v>
      </c>
      <c r="K55" s="78">
        <f t="shared" si="19"/>
        <v>44378</v>
      </c>
    </row>
    <row r="56" spans="2:11" outlineLevel="1">
      <c r="B56" s="78">
        <f t="shared" si="1"/>
        <v>44409</v>
      </c>
      <c r="C56" s="75">
        <v>372553.56354258955</v>
      </c>
      <c r="D56" s="71">
        <f>IF(F56&lt;&gt;0,VLOOKUP($J56,'Table 1'!$B$13:$C$33,2,FALSE)/12*1000*Study_MW,0)</f>
        <v>0</v>
      </c>
      <c r="E56" s="71">
        <f t="shared" si="17"/>
        <v>372553.56354258955</v>
      </c>
      <c r="F56" s="75">
        <v>23292.790869149001</v>
      </c>
      <c r="G56" s="76">
        <f t="shared" si="3"/>
        <v>15.994372062818453</v>
      </c>
      <c r="I56" s="77">
        <f t="shared" si="18"/>
        <v>47</v>
      </c>
      <c r="J56" s="73">
        <f t="shared" si="4"/>
        <v>2021</v>
      </c>
      <c r="K56" s="78">
        <f t="shared" si="19"/>
        <v>44409</v>
      </c>
    </row>
    <row r="57" spans="2:11" outlineLevel="1">
      <c r="B57" s="78">
        <f t="shared" si="1"/>
        <v>44440</v>
      </c>
      <c r="C57" s="75">
        <v>178989.71846334636</v>
      </c>
      <c r="D57" s="71">
        <f>IF(F57&lt;&gt;0,VLOOKUP($J57,'Table 1'!$B$13:$C$33,2,FALSE)/12*1000*Study_MW,0)</f>
        <v>0</v>
      </c>
      <c r="E57" s="71">
        <f t="shared" si="17"/>
        <v>178989.71846334636</v>
      </c>
      <c r="F57" s="75">
        <v>20531.505184561</v>
      </c>
      <c r="G57" s="76">
        <f t="shared" si="3"/>
        <v>8.7178079178501058</v>
      </c>
      <c r="I57" s="77">
        <f t="shared" si="18"/>
        <v>48</v>
      </c>
      <c r="J57" s="73">
        <f t="shared" si="4"/>
        <v>2021</v>
      </c>
      <c r="K57" s="78">
        <f t="shared" si="19"/>
        <v>44440</v>
      </c>
    </row>
    <row r="58" spans="2:11" outlineLevel="1">
      <c r="B58" s="78">
        <f t="shared" si="1"/>
        <v>44470</v>
      </c>
      <c r="C58" s="75">
        <v>144012.28049585223</v>
      </c>
      <c r="D58" s="71">
        <f>IF(F58&lt;&gt;0,VLOOKUP($J58,'Table 1'!$B$13:$C$33,2,FALSE)/12*1000*Study_MW,0)</f>
        <v>0</v>
      </c>
      <c r="E58" s="71">
        <f t="shared" si="17"/>
        <v>144012.28049585223</v>
      </c>
      <c r="F58" s="75">
        <v>16645.217837995999</v>
      </c>
      <c r="G58" s="76">
        <f t="shared" si="3"/>
        <v>8.6518711799082464</v>
      </c>
      <c r="I58" s="77">
        <f t="shared" si="18"/>
        <v>49</v>
      </c>
      <c r="J58" s="73">
        <f t="shared" si="4"/>
        <v>2021</v>
      </c>
      <c r="K58" s="78">
        <f t="shared" si="19"/>
        <v>44470</v>
      </c>
    </row>
    <row r="59" spans="2:11" outlineLevel="1">
      <c r="B59" s="78">
        <f t="shared" si="1"/>
        <v>44501</v>
      </c>
      <c r="C59" s="75">
        <v>109255.28534761071</v>
      </c>
      <c r="D59" s="71">
        <f>IF(F59&lt;&gt;0,VLOOKUP($J59,'Table 1'!$B$13:$C$33,2,FALSE)/12*1000*Study_MW,0)</f>
        <v>0</v>
      </c>
      <c r="E59" s="71">
        <f t="shared" si="17"/>
        <v>109255.28534761071</v>
      </c>
      <c r="F59" s="75">
        <v>11210.883430358999</v>
      </c>
      <c r="G59" s="76">
        <f t="shared" si="3"/>
        <v>9.7454661825978945</v>
      </c>
      <c r="I59" s="77">
        <f t="shared" si="18"/>
        <v>50</v>
      </c>
      <c r="J59" s="73">
        <f t="shared" si="4"/>
        <v>2021</v>
      </c>
      <c r="K59" s="78">
        <f t="shared" si="19"/>
        <v>44501</v>
      </c>
    </row>
    <row r="60" spans="2:11" outlineLevel="1">
      <c r="B60" s="82">
        <f t="shared" si="1"/>
        <v>44531</v>
      </c>
      <c r="C60" s="79">
        <v>112174.03589852154</v>
      </c>
      <c r="D60" s="80">
        <f>IF(F60&lt;&gt;0,VLOOKUP($J60,'Table 1'!$B$13:$C$33,2,FALSE)/12*1000*Study_MW,0)</f>
        <v>0</v>
      </c>
      <c r="E60" s="80">
        <f t="shared" si="17"/>
        <v>112174.03589852154</v>
      </c>
      <c r="F60" s="79">
        <v>8604.9048584230004</v>
      </c>
      <c r="G60" s="81">
        <f t="shared" si="3"/>
        <v>13.036057660616528</v>
      </c>
      <c r="I60" s="64">
        <f t="shared" si="18"/>
        <v>51</v>
      </c>
      <c r="J60" s="73">
        <f t="shared" si="4"/>
        <v>2021</v>
      </c>
      <c r="K60" s="82">
        <f t="shared" si="19"/>
        <v>44531</v>
      </c>
    </row>
    <row r="61" spans="2:11" outlineLevel="1">
      <c r="B61" s="74">
        <f t="shared" si="1"/>
        <v>44562</v>
      </c>
      <c r="C61" s="69">
        <v>121687.1304654628</v>
      </c>
      <c r="D61" s="70">
        <f>IF(F61&lt;&gt;0,VLOOKUP($J61,'Table 1'!$B$13:$C$33,2,FALSE)/12*1000*Study_MW,0)</f>
        <v>0</v>
      </c>
      <c r="E61" s="70">
        <f t="shared" si="17"/>
        <v>121687.1304654628</v>
      </c>
      <c r="F61" s="69">
        <v>10324.815858045</v>
      </c>
      <c r="G61" s="72">
        <f t="shared" si="3"/>
        <v>11.785888691723768</v>
      </c>
      <c r="I61" s="60">
        <f>I49+13</f>
        <v>53</v>
      </c>
      <c r="J61" s="73">
        <f t="shared" si="4"/>
        <v>2022</v>
      </c>
      <c r="K61" s="74">
        <f t="shared" si="19"/>
        <v>44562</v>
      </c>
    </row>
    <row r="62" spans="2:11" outlineLevel="1">
      <c r="B62" s="78">
        <f t="shared" si="1"/>
        <v>44593</v>
      </c>
      <c r="C62" s="75">
        <v>123518.26409426332</v>
      </c>
      <c r="D62" s="71">
        <f>IF(F62&lt;&gt;0,VLOOKUP($J62,'Table 1'!$B$13:$C$33,2,FALSE)/12*1000*Study_MW,0)</f>
        <v>0</v>
      </c>
      <c r="E62" s="71">
        <f t="shared" si="17"/>
        <v>123518.26409426332</v>
      </c>
      <c r="F62" s="75">
        <v>11555.483789193</v>
      </c>
      <c r="G62" s="76">
        <f t="shared" si="3"/>
        <v>10.689146932106896</v>
      </c>
      <c r="I62" s="77">
        <f t="shared" si="18"/>
        <v>54</v>
      </c>
      <c r="J62" s="73">
        <f t="shared" si="4"/>
        <v>2022</v>
      </c>
      <c r="K62" s="78">
        <f t="shared" si="19"/>
        <v>44593</v>
      </c>
    </row>
    <row r="63" spans="2:11" outlineLevel="1">
      <c r="B63" s="78">
        <f t="shared" si="1"/>
        <v>44621</v>
      </c>
      <c r="C63" s="75">
        <v>155955.4167778194</v>
      </c>
      <c r="D63" s="71">
        <f>IF(F63&lt;&gt;0,VLOOKUP($J63,'Table 1'!$B$13:$C$33,2,FALSE)/12*1000*Study_MW,0)</f>
        <v>0</v>
      </c>
      <c r="E63" s="71">
        <f t="shared" si="17"/>
        <v>155955.4167778194</v>
      </c>
      <c r="F63" s="75">
        <v>17885.074866038001</v>
      </c>
      <c r="G63" s="76">
        <f t="shared" si="3"/>
        <v>8.7198637940265709</v>
      </c>
      <c r="I63" s="77">
        <f t="shared" si="18"/>
        <v>55</v>
      </c>
      <c r="J63" s="73">
        <f t="shared" si="4"/>
        <v>2022</v>
      </c>
      <c r="K63" s="78">
        <f t="shared" si="19"/>
        <v>44621</v>
      </c>
    </row>
    <row r="64" spans="2:11" outlineLevel="1">
      <c r="B64" s="78">
        <f t="shared" si="1"/>
        <v>44652</v>
      </c>
      <c r="C64" s="75">
        <v>104827.14677897096</v>
      </c>
      <c r="D64" s="71">
        <f>IF(F64&lt;&gt;0,VLOOKUP($J64,'Table 1'!$B$13:$C$33,2,FALSE)/12*1000*Study_MW,0)</f>
        <v>0</v>
      </c>
      <c r="E64" s="71">
        <f t="shared" si="17"/>
        <v>104827.14677897096</v>
      </c>
      <c r="F64" s="75">
        <v>20788.427119446998</v>
      </c>
      <c r="G64" s="76">
        <f t="shared" si="3"/>
        <v>5.0425723012448627</v>
      </c>
      <c r="I64" s="77">
        <f t="shared" si="18"/>
        <v>56</v>
      </c>
      <c r="J64" s="73">
        <f t="shared" si="4"/>
        <v>2022</v>
      </c>
      <c r="K64" s="78">
        <f t="shared" si="19"/>
        <v>44652</v>
      </c>
    </row>
    <row r="65" spans="2:11" outlineLevel="1">
      <c r="B65" s="78">
        <f t="shared" si="1"/>
        <v>44682</v>
      </c>
      <c r="C65" s="75">
        <v>126779.48654699326</v>
      </c>
      <c r="D65" s="71">
        <f>IF(F65&lt;&gt;0,VLOOKUP($J65,'Table 1'!$B$13:$C$33,2,FALSE)/12*1000*Study_MW,0)</f>
        <v>0</v>
      </c>
      <c r="E65" s="71">
        <f t="shared" si="17"/>
        <v>126779.48654699326</v>
      </c>
      <c r="F65" s="75">
        <v>24065.144059235001</v>
      </c>
      <c r="G65" s="76">
        <f t="shared" si="3"/>
        <v>5.2681789992585406</v>
      </c>
      <c r="I65" s="77">
        <f t="shared" si="18"/>
        <v>57</v>
      </c>
      <c r="J65" s="73">
        <f t="shared" si="4"/>
        <v>2022</v>
      </c>
      <c r="K65" s="78">
        <f t="shared" si="19"/>
        <v>44682</v>
      </c>
    </row>
    <row r="66" spans="2:11" outlineLevel="1">
      <c r="B66" s="78">
        <f t="shared" si="1"/>
        <v>44713</v>
      </c>
      <c r="C66" s="75">
        <v>254746.34644766152</v>
      </c>
      <c r="D66" s="71">
        <f>IF(F66&lt;&gt;0,VLOOKUP($J66,'Table 1'!$B$13:$C$33,2,FALSE)/12*1000*Study_MW,0)</f>
        <v>0</v>
      </c>
      <c r="E66" s="71">
        <f t="shared" si="17"/>
        <v>254746.34644766152</v>
      </c>
      <c r="F66" s="75">
        <v>25566.319468663001</v>
      </c>
      <c r="G66" s="76">
        <f t="shared" si="3"/>
        <v>9.9641384345489268</v>
      </c>
      <c r="I66" s="77">
        <f t="shared" si="18"/>
        <v>58</v>
      </c>
      <c r="J66" s="73">
        <f t="shared" si="4"/>
        <v>2022</v>
      </c>
      <c r="K66" s="78">
        <f t="shared" si="19"/>
        <v>44713</v>
      </c>
    </row>
    <row r="67" spans="2:11" outlineLevel="1">
      <c r="B67" s="78">
        <f t="shared" si="1"/>
        <v>44743</v>
      </c>
      <c r="C67" s="75">
        <v>276413.7811717689</v>
      </c>
      <c r="D67" s="71">
        <f>IF(F67&lt;&gt;0,VLOOKUP($J67,'Table 1'!$B$13:$C$33,2,FALSE)/12*1000*Study_MW,0)</f>
        <v>0</v>
      </c>
      <c r="E67" s="71">
        <f t="shared" si="17"/>
        <v>276413.7811717689</v>
      </c>
      <c r="F67" s="75">
        <v>23139.704769805001</v>
      </c>
      <c r="G67" s="76">
        <f t="shared" si="3"/>
        <v>11.945432490239082</v>
      </c>
      <c r="I67" s="77">
        <f t="shared" si="18"/>
        <v>59</v>
      </c>
      <c r="J67" s="73">
        <f t="shared" si="4"/>
        <v>2022</v>
      </c>
      <c r="K67" s="78">
        <f t="shared" si="19"/>
        <v>44743</v>
      </c>
    </row>
    <row r="68" spans="2:11" outlineLevel="1">
      <c r="B68" s="78">
        <f t="shared" si="1"/>
        <v>44774</v>
      </c>
      <c r="C68" s="75">
        <v>281062.34827107191</v>
      </c>
      <c r="D68" s="71">
        <f>IF(F68&lt;&gt;0,VLOOKUP($J68,'Table 1'!$B$13:$C$33,2,FALSE)/12*1000*Study_MW,0)</f>
        <v>0</v>
      </c>
      <c r="E68" s="71">
        <f t="shared" si="17"/>
        <v>281062.34827107191</v>
      </c>
      <c r="F68" s="75">
        <v>23176.326893287001</v>
      </c>
      <c r="G68" s="76">
        <f t="shared" si="3"/>
        <v>12.127130824707228</v>
      </c>
      <c r="I68" s="77">
        <f t="shared" si="18"/>
        <v>60</v>
      </c>
      <c r="J68" s="73">
        <f t="shared" si="4"/>
        <v>2022</v>
      </c>
      <c r="K68" s="78">
        <f t="shared" si="19"/>
        <v>44774</v>
      </c>
    </row>
    <row r="69" spans="2:11" outlineLevel="1">
      <c r="B69" s="78">
        <f t="shared" si="1"/>
        <v>44805</v>
      </c>
      <c r="C69" s="75">
        <v>136818.60265059769</v>
      </c>
      <c r="D69" s="71">
        <f>IF(F69&lt;&gt;0,VLOOKUP($J69,'Table 1'!$B$13:$C$33,2,FALSE)/12*1000*Study_MW,0)</f>
        <v>0</v>
      </c>
      <c r="E69" s="71">
        <f t="shared" si="17"/>
        <v>136818.60265059769</v>
      </c>
      <c r="F69" s="75">
        <v>20428.847661396001</v>
      </c>
      <c r="G69" s="76">
        <f t="shared" si="3"/>
        <v>6.697323555314437</v>
      </c>
      <c r="I69" s="77">
        <f t="shared" si="18"/>
        <v>61</v>
      </c>
      <c r="J69" s="73">
        <f t="shared" si="4"/>
        <v>2022</v>
      </c>
      <c r="K69" s="78">
        <f t="shared" si="19"/>
        <v>44805</v>
      </c>
    </row>
    <row r="70" spans="2:11" outlineLevel="1">
      <c r="B70" s="78">
        <f t="shared" si="1"/>
        <v>44835</v>
      </c>
      <c r="C70" s="75">
        <v>-4848.6397998929024</v>
      </c>
      <c r="D70" s="71">
        <f>IF(F70&lt;&gt;0,VLOOKUP($J70,'Table 1'!$B$13:$C$33,2,FALSE)/12*1000*Study_MW,0)</f>
        <v>0</v>
      </c>
      <c r="E70" s="71">
        <f t="shared" si="17"/>
        <v>-4848.6397998929024</v>
      </c>
      <c r="F70" s="75">
        <v>16561.991738150002</v>
      </c>
      <c r="G70" s="76">
        <f t="shared" si="3"/>
        <v>-0.29275704737397135</v>
      </c>
      <c r="I70" s="77">
        <f t="shared" si="18"/>
        <v>62</v>
      </c>
      <c r="J70" s="73">
        <f t="shared" si="4"/>
        <v>2022</v>
      </c>
      <c r="K70" s="78">
        <f t="shared" si="19"/>
        <v>44835</v>
      </c>
    </row>
    <row r="71" spans="2:11" outlineLevel="1">
      <c r="B71" s="78">
        <f t="shared" si="1"/>
        <v>44866</v>
      </c>
      <c r="C71" s="75">
        <v>86758.824186474085</v>
      </c>
      <c r="D71" s="71">
        <f>IF(F71&lt;&gt;0,VLOOKUP($J71,'Table 1'!$B$13:$C$33,2,FALSE)/12*1000*Study_MW,0)</f>
        <v>0</v>
      </c>
      <c r="E71" s="71">
        <f t="shared" si="17"/>
        <v>86758.824186474085</v>
      </c>
      <c r="F71" s="75">
        <v>11154.829020117</v>
      </c>
      <c r="G71" s="76">
        <f t="shared" si="3"/>
        <v>7.7776919780671001</v>
      </c>
      <c r="I71" s="77">
        <f t="shared" si="18"/>
        <v>63</v>
      </c>
      <c r="J71" s="73">
        <f t="shared" si="4"/>
        <v>2022</v>
      </c>
      <c r="K71" s="78">
        <f t="shared" si="19"/>
        <v>44866</v>
      </c>
    </row>
    <row r="72" spans="2:11" outlineLevel="1">
      <c r="B72" s="82">
        <f t="shared" si="1"/>
        <v>44896</v>
      </c>
      <c r="C72" s="79">
        <v>117083.64505304396</v>
      </c>
      <c r="D72" s="80">
        <f>IF(F72&lt;&gt;0,VLOOKUP($J72,'Table 1'!$B$13:$C$33,2,FALSE)/12*1000*Study_MW,0)</f>
        <v>0</v>
      </c>
      <c r="E72" s="80">
        <f t="shared" si="17"/>
        <v>117083.64505304396</v>
      </c>
      <c r="F72" s="79">
        <v>8561.8803544210004</v>
      </c>
      <c r="G72" s="81">
        <f t="shared" si="3"/>
        <v>13.674991965122103</v>
      </c>
      <c r="I72" s="64">
        <f t="shared" si="18"/>
        <v>64</v>
      </c>
      <c r="J72" s="73">
        <f t="shared" si="4"/>
        <v>2022</v>
      </c>
      <c r="K72" s="82">
        <f t="shared" si="19"/>
        <v>44896</v>
      </c>
    </row>
    <row r="73" spans="2:11" outlineLevel="1">
      <c r="B73" s="74">
        <f t="shared" si="1"/>
        <v>44927</v>
      </c>
      <c r="C73" s="69">
        <v>112389.54154142737</v>
      </c>
      <c r="D73" s="70">
        <f>IF(F73&lt;&gt;0,VLOOKUP($J73,'Table 1'!$B$13:$C$33,2,FALSE)/12*1000*Study_MW,0)</f>
        <v>0</v>
      </c>
      <c r="E73" s="70">
        <f t="shared" si="17"/>
        <v>112389.54154142737</v>
      </c>
      <c r="F73" s="69">
        <v>10273.191744121999</v>
      </c>
      <c r="G73" s="72">
        <f t="shared" si="3"/>
        <v>10.940080195206438</v>
      </c>
      <c r="I73" s="60">
        <f>I61+13</f>
        <v>66</v>
      </c>
      <c r="J73" s="73">
        <f t="shared" si="4"/>
        <v>2023</v>
      </c>
      <c r="K73" s="74">
        <f t="shared" si="19"/>
        <v>44927</v>
      </c>
    </row>
    <row r="74" spans="2:11" outlineLevel="1">
      <c r="B74" s="78">
        <f t="shared" si="1"/>
        <v>44958</v>
      </c>
      <c r="C74" s="75">
        <v>117836.29720194638</v>
      </c>
      <c r="D74" s="71">
        <f>IF(F74&lt;&gt;0,VLOOKUP($J74,'Table 1'!$B$13:$C$33,2,FALSE)/12*1000*Study_MW,0)</f>
        <v>0</v>
      </c>
      <c r="E74" s="71">
        <f t="shared" si="17"/>
        <v>117836.29720194638</v>
      </c>
      <c r="F74" s="75">
        <v>11497.706413415999</v>
      </c>
      <c r="G74" s="76">
        <f t="shared" si="3"/>
        <v>10.248678559442961</v>
      </c>
      <c r="I74" s="77">
        <f t="shared" si="18"/>
        <v>67</v>
      </c>
      <c r="J74" s="73">
        <f t="shared" si="4"/>
        <v>2023</v>
      </c>
      <c r="K74" s="78">
        <f t="shared" si="19"/>
        <v>44958</v>
      </c>
    </row>
    <row r="75" spans="2:11" outlineLevel="1">
      <c r="B75" s="78">
        <f t="shared" si="1"/>
        <v>44986</v>
      </c>
      <c r="C75" s="75">
        <v>143636.283023417</v>
      </c>
      <c r="D75" s="71">
        <f>IF(F75&lt;&gt;0,VLOOKUP($J75,'Table 1'!$B$13:$C$33,2,FALSE)/12*1000*Study_MW,0)</f>
        <v>0</v>
      </c>
      <c r="E75" s="71">
        <f t="shared" si="17"/>
        <v>143636.283023417</v>
      </c>
      <c r="F75" s="75">
        <v>17795.649456358002</v>
      </c>
      <c r="G75" s="76">
        <f t="shared" si="3"/>
        <v>8.071426860574558</v>
      </c>
      <c r="I75" s="77">
        <f t="shared" si="18"/>
        <v>68</v>
      </c>
      <c r="J75" s="73">
        <f t="shared" si="4"/>
        <v>2023</v>
      </c>
      <c r="K75" s="78">
        <f t="shared" si="19"/>
        <v>44986</v>
      </c>
    </row>
    <row r="76" spans="2:11" outlineLevel="1">
      <c r="B76" s="78">
        <f t="shared" si="1"/>
        <v>45017</v>
      </c>
      <c r="C76" s="75">
        <v>113195.29568570852</v>
      </c>
      <c r="D76" s="71">
        <f>IF(F76&lt;&gt;0,VLOOKUP($J76,'Table 1'!$B$13:$C$33,2,FALSE)/12*1000*Study_MW,0)</f>
        <v>0</v>
      </c>
      <c r="E76" s="71">
        <f t="shared" si="17"/>
        <v>113195.29568570852</v>
      </c>
      <c r="F76" s="75">
        <v>20684.484991885001</v>
      </c>
      <c r="G76" s="76">
        <f t="shared" si="3"/>
        <v>5.4724734858091768</v>
      </c>
      <c r="I76" s="77">
        <f t="shared" si="18"/>
        <v>69</v>
      </c>
      <c r="J76" s="73">
        <f t="shared" si="4"/>
        <v>2023</v>
      </c>
      <c r="K76" s="78">
        <f t="shared" si="19"/>
        <v>45017</v>
      </c>
    </row>
    <row r="77" spans="2:11" outlineLevel="1">
      <c r="B77" s="78">
        <f t="shared" si="1"/>
        <v>45047</v>
      </c>
      <c r="C77" s="75">
        <v>171338.21108551323</v>
      </c>
      <c r="D77" s="71">
        <f>IF(F77&lt;&gt;0,VLOOKUP($J77,'Table 1'!$B$13:$C$33,2,FALSE)/12*1000*Study_MW,0)</f>
        <v>0</v>
      </c>
      <c r="E77" s="71">
        <f t="shared" si="17"/>
        <v>171338.21108551323</v>
      </c>
      <c r="F77" s="75">
        <v>23944.818344980002</v>
      </c>
      <c r="G77" s="76">
        <f t="shared" si="3"/>
        <v>7.1555444111955042</v>
      </c>
      <c r="I77" s="77">
        <f t="shared" si="18"/>
        <v>70</v>
      </c>
      <c r="J77" s="73">
        <f t="shared" si="4"/>
        <v>2023</v>
      </c>
      <c r="K77" s="78">
        <f t="shared" si="19"/>
        <v>45047</v>
      </c>
    </row>
    <row r="78" spans="2:11" outlineLevel="1">
      <c r="B78" s="78">
        <f t="shared" ref="B78:B141" si="33">EDATE(B77,1)</f>
        <v>45078</v>
      </c>
      <c r="C78" s="75">
        <v>249226.28619192541</v>
      </c>
      <c r="D78" s="71">
        <f>IF(F78&lt;&gt;0,VLOOKUP($J78,'Table 1'!$B$13:$C$33,2,FALSE)/12*1000*Study_MW,0)</f>
        <v>0</v>
      </c>
      <c r="E78" s="71">
        <f t="shared" ref="E78:E141" si="34">C78+D78</f>
        <v>249226.28619192541</v>
      </c>
      <c r="F78" s="75">
        <v>25438.487897882002</v>
      </c>
      <c r="G78" s="76">
        <f t="shared" ref="G78:G141" si="35">IF(ISNUMBER($F78),E78/$F78,"")</f>
        <v>9.7972130730567475</v>
      </c>
      <c r="I78" s="77">
        <f t="shared" si="18"/>
        <v>71</v>
      </c>
      <c r="J78" s="73">
        <f t="shared" ref="J78:J141" si="36">YEAR(B78)</f>
        <v>2023</v>
      </c>
      <c r="K78" s="78">
        <f t="shared" si="19"/>
        <v>45078</v>
      </c>
    </row>
    <row r="79" spans="2:11" outlineLevel="1">
      <c r="B79" s="78">
        <f t="shared" si="33"/>
        <v>45108</v>
      </c>
      <c r="C79" s="75">
        <v>286305.49722877145</v>
      </c>
      <c r="D79" s="71">
        <f>IF(F79&lt;&gt;0,VLOOKUP($J79,'Table 1'!$B$13:$C$33,2,FALSE)/12*1000*Study_MW,0)</f>
        <v>0</v>
      </c>
      <c r="E79" s="71">
        <f t="shared" si="34"/>
        <v>286305.49722877145</v>
      </c>
      <c r="F79" s="75">
        <v>23024.006279343001</v>
      </c>
      <c r="G79" s="76">
        <f t="shared" si="35"/>
        <v>12.435085960067818</v>
      </c>
      <c r="I79" s="77">
        <f t="shared" si="18"/>
        <v>72</v>
      </c>
      <c r="J79" s="73">
        <f t="shared" si="36"/>
        <v>2023</v>
      </c>
      <c r="K79" s="78">
        <f t="shared" si="19"/>
        <v>45108</v>
      </c>
    </row>
    <row r="80" spans="2:11" outlineLevel="1">
      <c r="B80" s="78">
        <f t="shared" si="33"/>
        <v>45139</v>
      </c>
      <c r="C80" s="75">
        <v>281441.58830830455</v>
      </c>
      <c r="D80" s="71">
        <f>IF(F80&lt;&gt;0,VLOOKUP($J80,'Table 1'!$B$13:$C$33,2,FALSE)/12*1000*Study_MW,0)</f>
        <v>0</v>
      </c>
      <c r="E80" s="71">
        <f t="shared" si="34"/>
        <v>281441.58830830455</v>
      </c>
      <c r="F80" s="75">
        <v>23060.445239861001</v>
      </c>
      <c r="G80" s="76">
        <f t="shared" si="35"/>
        <v>12.204516668300068</v>
      </c>
      <c r="I80" s="77">
        <f t="shared" si="18"/>
        <v>73</v>
      </c>
      <c r="J80" s="73">
        <f t="shared" si="36"/>
        <v>2023</v>
      </c>
      <c r="K80" s="78">
        <f t="shared" si="19"/>
        <v>45139</v>
      </c>
    </row>
    <row r="81" spans="2:11" outlineLevel="1">
      <c r="B81" s="78">
        <f t="shared" si="33"/>
        <v>45170</v>
      </c>
      <c r="C81" s="75">
        <v>141037.40424096584</v>
      </c>
      <c r="D81" s="71">
        <f>IF(F81&lt;&gt;0,VLOOKUP($J81,'Table 1'!$B$13:$C$33,2,FALSE)/12*1000*Study_MW,0)</f>
        <v>0</v>
      </c>
      <c r="E81" s="71">
        <f t="shared" si="34"/>
        <v>141037.40424096584</v>
      </c>
      <c r="F81" s="75">
        <v>20326.703330320001</v>
      </c>
      <c r="G81" s="76">
        <f t="shared" si="35"/>
        <v>6.9385281985490321</v>
      </c>
      <c r="I81" s="77">
        <f t="shared" si="18"/>
        <v>74</v>
      </c>
      <c r="J81" s="73">
        <f t="shared" si="36"/>
        <v>2023</v>
      </c>
      <c r="K81" s="78">
        <f t="shared" si="19"/>
        <v>45170</v>
      </c>
    </row>
    <row r="82" spans="2:11" outlineLevel="1">
      <c r="B82" s="78">
        <f t="shared" si="33"/>
        <v>45200</v>
      </c>
      <c r="C82" s="75">
        <v>133008.70324881375</v>
      </c>
      <c r="D82" s="71">
        <f>IF(F82&lt;&gt;0,VLOOKUP($J82,'Table 1'!$B$13:$C$33,2,FALSE)/12*1000*Study_MW,0)</f>
        <v>0</v>
      </c>
      <c r="E82" s="71">
        <f t="shared" si="34"/>
        <v>133008.70324881375</v>
      </c>
      <c r="F82" s="75">
        <v>16479.181751313001</v>
      </c>
      <c r="G82" s="76">
        <f t="shared" si="35"/>
        <v>8.0713172083447713</v>
      </c>
      <c r="I82" s="77">
        <f t="shared" si="18"/>
        <v>75</v>
      </c>
      <c r="J82" s="73">
        <f t="shared" si="36"/>
        <v>2023</v>
      </c>
      <c r="K82" s="78">
        <f t="shared" si="19"/>
        <v>45200</v>
      </c>
    </row>
    <row r="83" spans="2:11" outlineLevel="1">
      <c r="B83" s="78">
        <f t="shared" si="33"/>
        <v>45231</v>
      </c>
      <c r="C83" s="75">
        <v>128557.90746550262</v>
      </c>
      <c r="D83" s="71">
        <f>IF(F83&lt;&gt;0,VLOOKUP($J83,'Table 1'!$B$13:$C$33,2,FALSE)/12*1000*Study_MW,0)</f>
        <v>0</v>
      </c>
      <c r="E83" s="71">
        <f t="shared" si="34"/>
        <v>128557.90746550262</v>
      </c>
      <c r="F83" s="75">
        <v>11099.054870059001</v>
      </c>
      <c r="G83" s="76">
        <f t="shared" si="35"/>
        <v>11.582779702468416</v>
      </c>
      <c r="I83" s="77">
        <f t="shared" si="18"/>
        <v>76</v>
      </c>
      <c r="J83" s="73">
        <f t="shared" si="36"/>
        <v>2023</v>
      </c>
      <c r="K83" s="78">
        <f t="shared" si="19"/>
        <v>45231</v>
      </c>
    </row>
    <row r="84" spans="2:11" outlineLevel="1">
      <c r="B84" s="82">
        <f t="shared" si="33"/>
        <v>45261</v>
      </c>
      <c r="C84" s="79">
        <v>120064.1156783551</v>
      </c>
      <c r="D84" s="80">
        <f>IF(F84&lt;&gt;0,VLOOKUP($J84,'Table 1'!$B$13:$C$33,2,FALSE)/12*1000*Study_MW,0)</f>
        <v>0</v>
      </c>
      <c r="E84" s="80">
        <f t="shared" si="34"/>
        <v>120064.1156783551</v>
      </c>
      <c r="F84" s="79">
        <v>8519.0709390329994</v>
      </c>
      <c r="G84" s="81">
        <f t="shared" si="35"/>
        <v>14.093569185841712</v>
      </c>
      <c r="I84" s="64">
        <f t="shared" si="18"/>
        <v>77</v>
      </c>
      <c r="J84" s="73">
        <f t="shared" si="36"/>
        <v>2023</v>
      </c>
      <c r="K84" s="82">
        <f t="shared" si="19"/>
        <v>45261</v>
      </c>
    </row>
    <row r="85" spans="2:11" outlineLevel="1">
      <c r="B85" s="74">
        <f t="shared" si="33"/>
        <v>45292</v>
      </c>
      <c r="C85" s="69">
        <v>118884.29519726336</v>
      </c>
      <c r="D85" s="70">
        <f>IF(F85&lt;&gt;0,VLOOKUP($J85,'Table 1'!$B$13:$C$33,2,FALSE)/12*1000*Study_MW,0)</f>
        <v>0</v>
      </c>
      <c r="E85" s="70">
        <f t="shared" si="34"/>
        <v>118884.29519726336</v>
      </c>
      <c r="F85" s="69">
        <v>10221.825734876</v>
      </c>
      <c r="G85" s="72">
        <f t="shared" si="35"/>
        <v>11.630436507212234</v>
      </c>
      <c r="I85" s="60">
        <f>I73+13</f>
        <v>79</v>
      </c>
      <c r="J85" s="73">
        <f t="shared" si="36"/>
        <v>2024</v>
      </c>
      <c r="K85" s="74">
        <f t="shared" si="19"/>
        <v>45292</v>
      </c>
    </row>
    <row r="86" spans="2:11" outlineLevel="1">
      <c r="B86" s="78">
        <f t="shared" si="33"/>
        <v>45323</v>
      </c>
      <c r="C86" s="75">
        <v>147745.60640615225</v>
      </c>
      <c r="D86" s="71">
        <f>IF(F86&lt;&gt;0,VLOOKUP($J86,'Table 1'!$B$13:$C$33,2,FALSE)/12*1000*Study_MW,0)</f>
        <v>0</v>
      </c>
      <c r="E86" s="71">
        <f t="shared" si="34"/>
        <v>147745.60640615225</v>
      </c>
      <c r="F86" s="75">
        <v>12128.635377176999</v>
      </c>
      <c r="G86" s="76">
        <f t="shared" si="35"/>
        <v>12.181552319082147</v>
      </c>
      <c r="I86" s="77">
        <f t="shared" si="18"/>
        <v>80</v>
      </c>
      <c r="J86" s="73">
        <f t="shared" si="36"/>
        <v>2024</v>
      </c>
      <c r="K86" s="78">
        <f t="shared" si="19"/>
        <v>45323</v>
      </c>
    </row>
    <row r="87" spans="2:11" outlineLevel="1">
      <c r="B87" s="78">
        <f t="shared" si="33"/>
        <v>45352</v>
      </c>
      <c r="C87" s="75">
        <v>129598.83730138838</v>
      </c>
      <c r="D87" s="71">
        <f>IF(F87&lt;&gt;0,VLOOKUP($J87,'Table 1'!$B$13:$C$33,2,FALSE)/12*1000*Study_MW,0)</f>
        <v>0</v>
      </c>
      <c r="E87" s="71">
        <f t="shared" si="34"/>
        <v>129598.83730138838</v>
      </c>
      <c r="F87" s="75">
        <v>17706.671242753</v>
      </c>
      <c r="G87" s="76">
        <f t="shared" si="35"/>
        <v>7.3192095524126648</v>
      </c>
      <c r="I87" s="77">
        <f t="shared" si="18"/>
        <v>81</v>
      </c>
      <c r="J87" s="73">
        <f t="shared" si="36"/>
        <v>2024</v>
      </c>
      <c r="K87" s="78">
        <f t="shared" si="19"/>
        <v>45352</v>
      </c>
    </row>
    <row r="88" spans="2:11" outlineLevel="1">
      <c r="B88" s="78">
        <f t="shared" si="33"/>
        <v>45383</v>
      </c>
      <c r="C88" s="75">
        <v>103485.23769173026</v>
      </c>
      <c r="D88" s="71">
        <f>IF(F88&lt;&gt;0,VLOOKUP($J88,'Table 1'!$B$13:$C$33,2,FALSE)/12*1000*Study_MW,0)</f>
        <v>0</v>
      </c>
      <c r="E88" s="71">
        <f t="shared" si="34"/>
        <v>103485.23769173026</v>
      </c>
      <c r="F88" s="75">
        <v>20581.062504763999</v>
      </c>
      <c r="G88" s="76">
        <f t="shared" si="35"/>
        <v>5.0281776107417206</v>
      </c>
      <c r="I88" s="77">
        <f t="shared" si="18"/>
        <v>82</v>
      </c>
      <c r="J88" s="73">
        <f t="shared" si="36"/>
        <v>2024</v>
      </c>
      <c r="K88" s="78">
        <f t="shared" si="19"/>
        <v>45383</v>
      </c>
    </row>
    <row r="89" spans="2:11" outlineLevel="1">
      <c r="B89" s="78">
        <f t="shared" si="33"/>
        <v>45413</v>
      </c>
      <c r="C89" s="75">
        <v>156857.53038258851</v>
      </c>
      <c r="D89" s="71">
        <f>IF(F89&lt;&gt;0,VLOOKUP($J89,'Table 1'!$B$13:$C$33,2,FALSE)/12*1000*Study_MW,0)</f>
        <v>0</v>
      </c>
      <c r="E89" s="71">
        <f t="shared" si="34"/>
        <v>156857.53038258851</v>
      </c>
      <c r="F89" s="75">
        <v>23825.094343149001</v>
      </c>
      <c r="G89" s="76">
        <f t="shared" si="35"/>
        <v>6.5837107766875853</v>
      </c>
      <c r="I89" s="77">
        <f t="shared" si="18"/>
        <v>83</v>
      </c>
      <c r="J89" s="73">
        <f t="shared" si="36"/>
        <v>2024</v>
      </c>
      <c r="K89" s="78">
        <f t="shared" si="19"/>
        <v>45413</v>
      </c>
    </row>
    <row r="90" spans="2:11" outlineLevel="1">
      <c r="B90" s="78">
        <f t="shared" si="33"/>
        <v>45444</v>
      </c>
      <c r="C90" s="75">
        <v>224652.22970663011</v>
      </c>
      <c r="D90" s="71">
        <f>IF(F90&lt;&gt;0,VLOOKUP($J90,'Table 1'!$B$13:$C$33,2,FALSE)/12*1000*Study_MW,0)</f>
        <v>0</v>
      </c>
      <c r="E90" s="71">
        <f t="shared" si="34"/>
        <v>224652.22970663011</v>
      </c>
      <c r="F90" s="75">
        <v>25311.295499002001</v>
      </c>
      <c r="G90" s="76">
        <f t="shared" si="35"/>
        <v>8.8755721616654473</v>
      </c>
      <c r="I90" s="77">
        <f t="shared" ref="I90:I96" si="37">I78+13</f>
        <v>84</v>
      </c>
      <c r="J90" s="73">
        <f t="shared" si="36"/>
        <v>2024</v>
      </c>
      <c r="K90" s="78">
        <f t="shared" ref="K90:K153" si="38">IF(ISNUMBER(F90),IF(F90&lt;&gt;0,B90,""),"")</f>
        <v>45444</v>
      </c>
    </row>
    <row r="91" spans="2:11" outlineLevel="1">
      <c r="B91" s="78">
        <f t="shared" si="33"/>
        <v>45474</v>
      </c>
      <c r="C91" s="75">
        <v>311132.54491871595</v>
      </c>
      <c r="D91" s="71">
        <f>IF(F91&lt;&gt;0,VLOOKUP($J91,'Table 1'!$B$13:$C$33,2,FALSE)/12*1000*Study_MW,0)</f>
        <v>0</v>
      </c>
      <c r="E91" s="71">
        <f t="shared" si="34"/>
        <v>311132.54491871595</v>
      </c>
      <c r="F91" s="75">
        <v>22908.886132621999</v>
      </c>
      <c r="G91" s="76">
        <f t="shared" si="35"/>
        <v>13.581303914888585</v>
      </c>
      <c r="I91" s="77">
        <f t="shared" si="37"/>
        <v>85</v>
      </c>
      <c r="J91" s="73">
        <f t="shared" si="36"/>
        <v>2024</v>
      </c>
      <c r="K91" s="78">
        <f t="shared" si="38"/>
        <v>45474</v>
      </c>
    </row>
    <row r="92" spans="2:11" outlineLevel="1">
      <c r="B92" s="78">
        <f t="shared" si="33"/>
        <v>45505</v>
      </c>
      <c r="C92" s="75">
        <v>322729.50350481272</v>
      </c>
      <c r="D92" s="71">
        <f>IF(F92&lt;&gt;0,VLOOKUP($J92,'Table 1'!$B$13:$C$33,2,FALSE)/12*1000*Study_MW,0)</f>
        <v>0</v>
      </c>
      <c r="E92" s="71">
        <f t="shared" si="34"/>
        <v>322729.50350481272</v>
      </c>
      <c r="F92" s="75">
        <v>22945.142943993</v>
      </c>
      <c r="G92" s="76">
        <f t="shared" si="35"/>
        <v>14.065264456733436</v>
      </c>
      <c r="I92" s="77">
        <f t="shared" si="37"/>
        <v>86</v>
      </c>
      <c r="J92" s="73">
        <f t="shared" si="36"/>
        <v>2024</v>
      </c>
      <c r="K92" s="78">
        <f t="shared" si="38"/>
        <v>45505</v>
      </c>
    </row>
    <row r="93" spans="2:11" outlineLevel="1">
      <c r="B93" s="78">
        <f t="shared" si="33"/>
        <v>45536</v>
      </c>
      <c r="C93" s="75">
        <v>216445.34292145073</v>
      </c>
      <c r="D93" s="71">
        <f>IF(F93&lt;&gt;0,VLOOKUP($J93,'Table 1'!$B$13:$C$33,2,FALSE)/12*1000*Study_MW,0)</f>
        <v>0</v>
      </c>
      <c r="E93" s="71">
        <f t="shared" si="34"/>
        <v>216445.34292145073</v>
      </c>
      <c r="F93" s="75">
        <v>20225.069811223999</v>
      </c>
      <c r="G93" s="76">
        <f t="shared" si="35"/>
        <v>10.701834156405896</v>
      </c>
      <c r="I93" s="77">
        <f t="shared" si="37"/>
        <v>87</v>
      </c>
      <c r="J93" s="73">
        <f t="shared" si="36"/>
        <v>2024</v>
      </c>
      <c r="K93" s="78">
        <f t="shared" si="38"/>
        <v>45536</v>
      </c>
    </row>
    <row r="94" spans="2:11" outlineLevel="1">
      <c r="B94" s="78">
        <f t="shared" si="33"/>
        <v>45566</v>
      </c>
      <c r="C94" s="75">
        <v>207880.42856439948</v>
      </c>
      <c r="D94" s="71">
        <f>IF(F94&lt;&gt;0,VLOOKUP($J94,'Table 1'!$B$13:$C$33,2,FALSE)/12*1000*Study_MW,0)</f>
        <v>0</v>
      </c>
      <c r="E94" s="71">
        <f t="shared" si="34"/>
        <v>207880.42856439948</v>
      </c>
      <c r="F94" s="75">
        <v>16396.785946856999</v>
      </c>
      <c r="G94" s="76">
        <f t="shared" si="35"/>
        <v>12.678120531557395</v>
      </c>
      <c r="I94" s="77">
        <f t="shared" si="37"/>
        <v>88</v>
      </c>
      <c r="J94" s="73">
        <f t="shared" si="36"/>
        <v>2024</v>
      </c>
      <c r="K94" s="78">
        <f t="shared" si="38"/>
        <v>45566</v>
      </c>
    </row>
    <row r="95" spans="2:11" outlineLevel="1">
      <c r="B95" s="78">
        <f t="shared" si="33"/>
        <v>45597</v>
      </c>
      <c r="C95" s="75">
        <v>134635.41598662734</v>
      </c>
      <c r="D95" s="71">
        <f>IF(F95&lt;&gt;0,VLOOKUP($J95,'Table 1'!$B$13:$C$33,2,FALSE)/12*1000*Study_MW,0)</f>
        <v>0</v>
      </c>
      <c r="E95" s="71">
        <f t="shared" si="34"/>
        <v>134635.41598662734</v>
      </c>
      <c r="F95" s="75">
        <v>11043.559605687</v>
      </c>
      <c r="G95" s="76">
        <f t="shared" si="35"/>
        <v>12.191306136229425</v>
      </c>
      <c r="I95" s="77">
        <f t="shared" si="37"/>
        <v>89</v>
      </c>
      <c r="J95" s="73">
        <f t="shared" si="36"/>
        <v>2024</v>
      </c>
      <c r="K95" s="78">
        <f t="shared" si="38"/>
        <v>45597</v>
      </c>
    </row>
    <row r="96" spans="2:11" outlineLevel="1">
      <c r="B96" s="82">
        <f t="shared" si="33"/>
        <v>45627</v>
      </c>
      <c r="C96" s="79">
        <v>96069.779006779194</v>
      </c>
      <c r="D96" s="80">
        <f>IF(F96&lt;&gt;0,VLOOKUP($J96,'Table 1'!$B$13:$C$33,2,FALSE)/12*1000*Study_MW,0)</f>
        <v>0</v>
      </c>
      <c r="E96" s="80">
        <f t="shared" si="34"/>
        <v>96069.779006779194</v>
      </c>
      <c r="F96" s="79">
        <v>8476.4756084950004</v>
      </c>
      <c r="G96" s="81">
        <f t="shared" si="35"/>
        <v>11.333693794918664</v>
      </c>
      <c r="I96" s="64">
        <f t="shared" si="37"/>
        <v>90</v>
      </c>
      <c r="J96" s="73">
        <f t="shared" si="36"/>
        <v>2024</v>
      </c>
      <c r="K96" s="82">
        <f t="shared" si="38"/>
        <v>45627</v>
      </c>
    </row>
    <row r="97" spans="2:11" outlineLevel="1">
      <c r="B97" s="74">
        <f t="shared" si="33"/>
        <v>45658</v>
      </c>
      <c r="C97" s="69">
        <v>139308.83769205213</v>
      </c>
      <c r="D97" s="70">
        <f>IF(F97&lt;&gt;0,VLOOKUP($J97,'Table 1'!$B$13:$C$33,2,FALSE)/12*1000*Study_MW,0)</f>
        <v>0</v>
      </c>
      <c r="E97" s="70">
        <f t="shared" si="34"/>
        <v>139308.83769205213</v>
      </c>
      <c r="F97" s="69">
        <v>10170.716609626001</v>
      </c>
      <c r="G97" s="72">
        <f t="shared" si="35"/>
        <v>13.697052335545786</v>
      </c>
      <c r="I97" s="60">
        <f>I85+13</f>
        <v>92</v>
      </c>
      <c r="J97" s="73">
        <f t="shared" si="36"/>
        <v>2025</v>
      </c>
      <c r="K97" s="74">
        <f t="shared" si="38"/>
        <v>45658</v>
      </c>
    </row>
    <row r="98" spans="2:11" outlineLevel="1">
      <c r="B98" s="78">
        <f t="shared" si="33"/>
        <v>45689</v>
      </c>
      <c r="C98" s="75">
        <v>122274.65524987876</v>
      </c>
      <c r="D98" s="71">
        <f>IF(F98&lt;&gt;0,VLOOKUP($J98,'Table 1'!$B$13:$C$33,2,FALSE)/12*1000*Study_MW,0)</f>
        <v>0</v>
      </c>
      <c r="E98" s="71">
        <f t="shared" si="34"/>
        <v>122274.65524987876</v>
      </c>
      <c r="F98" s="75">
        <v>11383.016685564</v>
      </c>
      <c r="G98" s="76">
        <f t="shared" si="35"/>
        <v>10.741849777392325</v>
      </c>
      <c r="I98" s="77">
        <f t="shared" ref="I98:I120" si="39">I86+13</f>
        <v>93</v>
      </c>
      <c r="J98" s="73">
        <f t="shared" si="36"/>
        <v>2025</v>
      </c>
      <c r="K98" s="78">
        <f t="shared" si="38"/>
        <v>45689</v>
      </c>
    </row>
    <row r="99" spans="2:11" outlineLevel="1">
      <c r="B99" s="78">
        <f t="shared" si="33"/>
        <v>45717</v>
      </c>
      <c r="C99" s="75">
        <v>124567.97052130103</v>
      </c>
      <c r="D99" s="71">
        <f>IF(F99&lt;&gt;0,VLOOKUP($J99,'Table 1'!$B$13:$C$33,2,FALSE)/12*1000*Study_MW,0)</f>
        <v>0</v>
      </c>
      <c r="E99" s="71">
        <f t="shared" si="34"/>
        <v>124567.97052130103</v>
      </c>
      <c r="F99" s="75">
        <v>17618.137890941998</v>
      </c>
      <c r="G99" s="76">
        <f t="shared" si="35"/>
        <v>7.0704390720738477</v>
      </c>
      <c r="I99" s="77">
        <f t="shared" si="39"/>
        <v>94</v>
      </c>
      <c r="J99" s="73">
        <f t="shared" si="36"/>
        <v>2025</v>
      </c>
      <c r="K99" s="78">
        <f t="shared" si="38"/>
        <v>45717</v>
      </c>
    </row>
    <row r="100" spans="2:11" outlineLevel="1">
      <c r="B100" s="78">
        <f t="shared" si="33"/>
        <v>45748</v>
      </c>
      <c r="C100" s="75">
        <v>201290.385103181</v>
      </c>
      <c r="D100" s="71">
        <f>IF(F100&lt;&gt;0,VLOOKUP($J100,'Table 1'!$B$13:$C$33,2,FALSE)/12*1000*Study_MW,0)</f>
        <v>0</v>
      </c>
      <c r="E100" s="71">
        <f t="shared" si="34"/>
        <v>201290.385103181</v>
      </c>
      <c r="F100" s="75">
        <v>20478.157285595</v>
      </c>
      <c r="G100" s="76">
        <f t="shared" si="35"/>
        <v>9.8295165085373775</v>
      </c>
      <c r="I100" s="77">
        <f t="shared" si="39"/>
        <v>95</v>
      </c>
      <c r="J100" s="73">
        <f t="shared" si="36"/>
        <v>2025</v>
      </c>
      <c r="K100" s="78">
        <f t="shared" si="38"/>
        <v>45748</v>
      </c>
    </row>
    <row r="101" spans="2:11" outlineLevel="1">
      <c r="B101" s="78">
        <f t="shared" si="33"/>
        <v>45778</v>
      </c>
      <c r="C101" s="75">
        <v>222435.91874875128</v>
      </c>
      <c r="D101" s="71">
        <f>IF(F101&lt;&gt;0,VLOOKUP($J101,'Table 1'!$B$13:$C$33,2,FALSE)/12*1000*Study_MW,0)</f>
        <v>0</v>
      </c>
      <c r="E101" s="71">
        <f t="shared" si="34"/>
        <v>222435.91874875128</v>
      </c>
      <c r="F101" s="75">
        <v>23705.968864776001</v>
      </c>
      <c r="G101" s="76">
        <f t="shared" si="35"/>
        <v>9.383118657481333</v>
      </c>
      <c r="I101" s="77">
        <f t="shared" si="39"/>
        <v>96</v>
      </c>
      <c r="J101" s="73">
        <f t="shared" si="36"/>
        <v>2025</v>
      </c>
      <c r="K101" s="78">
        <f t="shared" si="38"/>
        <v>45778</v>
      </c>
    </row>
    <row r="102" spans="2:11" outlineLevel="1">
      <c r="B102" s="78">
        <f t="shared" si="33"/>
        <v>45809</v>
      </c>
      <c r="C102" s="75">
        <v>296490.43284633756</v>
      </c>
      <c r="D102" s="71">
        <f>IF(F102&lt;&gt;0,VLOOKUP($J102,'Table 1'!$B$13:$C$33,2,FALSE)/12*1000*Study_MW,0)</f>
        <v>0</v>
      </c>
      <c r="E102" s="71">
        <f t="shared" si="34"/>
        <v>296490.43284633756</v>
      </c>
      <c r="F102" s="75">
        <v>25184.738961022002</v>
      </c>
      <c r="G102" s="76">
        <f t="shared" si="35"/>
        <v>11.772622829452821</v>
      </c>
      <c r="I102" s="77">
        <f t="shared" si="39"/>
        <v>97</v>
      </c>
      <c r="J102" s="73">
        <f t="shared" si="36"/>
        <v>2025</v>
      </c>
      <c r="K102" s="78">
        <f t="shared" si="38"/>
        <v>45809</v>
      </c>
    </row>
    <row r="103" spans="2:11" outlineLevel="1">
      <c r="B103" s="78">
        <f t="shared" si="33"/>
        <v>45839</v>
      </c>
      <c r="C103" s="75">
        <v>399702.57270121574</v>
      </c>
      <c r="D103" s="71">
        <f>IF(F103&lt;&gt;0,VLOOKUP($J103,'Table 1'!$B$13:$C$33,2,FALSE)/12*1000*Study_MW,0)</f>
        <v>0</v>
      </c>
      <c r="E103" s="71">
        <f t="shared" si="34"/>
        <v>399702.57270121574</v>
      </c>
      <c r="F103" s="75">
        <v>22794.341606348</v>
      </c>
      <c r="G103" s="76">
        <f t="shared" si="35"/>
        <v>17.535166384884857</v>
      </c>
      <c r="I103" s="77">
        <f t="shared" si="39"/>
        <v>98</v>
      </c>
      <c r="J103" s="73">
        <f t="shared" si="36"/>
        <v>2025</v>
      </c>
      <c r="K103" s="78">
        <f t="shared" si="38"/>
        <v>45839</v>
      </c>
    </row>
    <row r="104" spans="2:11" outlineLevel="1">
      <c r="B104" s="78">
        <f t="shared" si="33"/>
        <v>45870</v>
      </c>
      <c r="C104" s="75">
        <v>385488.60084035993</v>
      </c>
      <c r="D104" s="71">
        <f>IF(F104&lt;&gt;0,VLOOKUP($J104,'Table 1'!$B$13:$C$33,2,FALSE)/12*1000*Study_MW,0)</f>
        <v>0</v>
      </c>
      <c r="E104" s="71">
        <f t="shared" si="34"/>
        <v>385488.60084035993</v>
      </c>
      <c r="F104" s="75">
        <v>22830.417084772002</v>
      </c>
      <c r="G104" s="76">
        <f t="shared" si="35"/>
        <v>16.884868962708644</v>
      </c>
      <c r="I104" s="77">
        <f t="shared" si="39"/>
        <v>99</v>
      </c>
      <c r="J104" s="73">
        <f t="shared" si="36"/>
        <v>2025</v>
      </c>
      <c r="K104" s="78">
        <f t="shared" si="38"/>
        <v>45870</v>
      </c>
    </row>
    <row r="105" spans="2:11" outlineLevel="1">
      <c r="B105" s="78">
        <f t="shared" si="33"/>
        <v>45901</v>
      </c>
      <c r="C105" s="75">
        <v>272790.49873612821</v>
      </c>
      <c r="D105" s="71">
        <f>IF(F105&lt;&gt;0,VLOOKUP($J105,'Table 1'!$B$13:$C$33,2,FALSE)/12*1000*Study_MW,0)</f>
        <v>0</v>
      </c>
      <c r="E105" s="71">
        <f t="shared" si="34"/>
        <v>272790.49873612821</v>
      </c>
      <c r="F105" s="75">
        <v>20123.944256080002</v>
      </c>
      <c r="G105" s="76">
        <f t="shared" si="35"/>
        <v>13.555518503968756</v>
      </c>
      <c r="I105" s="77">
        <f t="shared" si="39"/>
        <v>100</v>
      </c>
      <c r="J105" s="73">
        <f t="shared" si="36"/>
        <v>2025</v>
      </c>
      <c r="K105" s="78">
        <f t="shared" si="38"/>
        <v>45901</v>
      </c>
    </row>
    <row r="106" spans="2:11" outlineLevel="1">
      <c r="B106" s="78">
        <f t="shared" si="33"/>
        <v>45931</v>
      </c>
      <c r="C106" s="75">
        <v>173904.80449932814</v>
      </c>
      <c r="D106" s="71">
        <f>IF(F106&lt;&gt;0,VLOOKUP($J106,'Table 1'!$B$13:$C$33,2,FALSE)/12*1000*Study_MW,0)</f>
        <v>0</v>
      </c>
      <c r="E106" s="71">
        <f t="shared" si="34"/>
        <v>173904.80449932814</v>
      </c>
      <c r="F106" s="75">
        <v>16314.801966195</v>
      </c>
      <c r="G106" s="76">
        <f t="shared" si="35"/>
        <v>10.659326718134039</v>
      </c>
      <c r="I106" s="77">
        <f t="shared" si="39"/>
        <v>101</v>
      </c>
      <c r="J106" s="73">
        <f t="shared" si="36"/>
        <v>2025</v>
      </c>
      <c r="K106" s="78">
        <f t="shared" si="38"/>
        <v>45931</v>
      </c>
    </row>
    <row r="107" spans="2:11" outlineLevel="1">
      <c r="B107" s="78">
        <f t="shared" si="33"/>
        <v>45962</v>
      </c>
      <c r="C107" s="75">
        <v>181899.13012751937</v>
      </c>
      <c r="D107" s="71">
        <f>IF(F107&lt;&gt;0,VLOOKUP($J107,'Table 1'!$B$13:$C$33,2,FALSE)/12*1000*Study_MW,0)</f>
        <v>0</v>
      </c>
      <c r="E107" s="71">
        <f t="shared" si="34"/>
        <v>181899.13012751937</v>
      </c>
      <c r="F107" s="75">
        <v>10988.341827136999</v>
      </c>
      <c r="G107" s="76">
        <f t="shared" si="35"/>
        <v>16.553828865998518</v>
      </c>
      <c r="I107" s="77">
        <f t="shared" si="39"/>
        <v>102</v>
      </c>
      <c r="J107" s="73">
        <f t="shared" si="36"/>
        <v>2025</v>
      </c>
      <c r="K107" s="78">
        <f t="shared" si="38"/>
        <v>45962</v>
      </c>
    </row>
    <row r="108" spans="2:11" outlineLevel="1">
      <c r="B108" s="82">
        <f t="shared" si="33"/>
        <v>45992</v>
      </c>
      <c r="C108" s="79">
        <v>161872.15622487664</v>
      </c>
      <c r="D108" s="80">
        <f>IF(F108&lt;&gt;0,VLOOKUP($J108,'Table 1'!$B$13:$C$33,2,FALSE)/12*1000*Study_MW,0)</f>
        <v>0</v>
      </c>
      <c r="E108" s="80">
        <f t="shared" si="34"/>
        <v>161872.15622487664</v>
      </c>
      <c r="F108" s="79">
        <v>8434.0931866390001</v>
      </c>
      <c r="G108" s="81">
        <f t="shared" si="35"/>
        <v>19.192597549349934</v>
      </c>
      <c r="I108" s="64">
        <f t="shared" si="39"/>
        <v>103</v>
      </c>
      <c r="J108" s="73">
        <f t="shared" si="36"/>
        <v>2025</v>
      </c>
      <c r="K108" s="82">
        <f t="shared" si="38"/>
        <v>45992</v>
      </c>
    </row>
    <row r="109" spans="2:11" outlineLevel="1">
      <c r="B109" s="74">
        <f t="shared" si="33"/>
        <v>46023</v>
      </c>
      <c r="C109" s="69">
        <v>160598.42161482573</v>
      </c>
      <c r="D109" s="70">
        <f>IF(F109&lt;&gt;0,VLOOKUP($J109,'Table 1'!$B$13:$C$33,2,FALSE)/12*1000*Study_MW,0)</f>
        <v>0</v>
      </c>
      <c r="E109" s="70">
        <f t="shared" si="34"/>
        <v>160598.42161482573</v>
      </c>
      <c r="F109" s="69">
        <v>10119.863219507</v>
      </c>
      <c r="G109" s="72">
        <f t="shared" si="35"/>
        <v>15.869623742073605</v>
      </c>
      <c r="I109" s="60">
        <f>I97+13</f>
        <v>105</v>
      </c>
      <c r="J109" s="73">
        <f t="shared" si="36"/>
        <v>2026</v>
      </c>
      <c r="K109" s="74">
        <f t="shared" si="38"/>
        <v>46023</v>
      </c>
    </row>
    <row r="110" spans="2:11" outlineLevel="1">
      <c r="B110" s="78">
        <f t="shared" si="33"/>
        <v>46054</v>
      </c>
      <c r="C110" s="75">
        <v>161302.51162131131</v>
      </c>
      <c r="D110" s="71">
        <f>IF(F110&lt;&gt;0,VLOOKUP($J110,'Table 1'!$B$13:$C$33,2,FALSE)/12*1000*Study_MW,0)</f>
        <v>0</v>
      </c>
      <c r="E110" s="71">
        <f t="shared" si="34"/>
        <v>161302.51162131131</v>
      </c>
      <c r="F110" s="75">
        <v>11326.101744833</v>
      </c>
      <c r="G110" s="76">
        <f t="shared" si="35"/>
        <v>14.241661893501705</v>
      </c>
      <c r="I110" s="77">
        <f t="shared" si="39"/>
        <v>106</v>
      </c>
      <c r="J110" s="73">
        <f t="shared" si="36"/>
        <v>2026</v>
      </c>
      <c r="K110" s="78">
        <f t="shared" si="38"/>
        <v>46054</v>
      </c>
    </row>
    <row r="111" spans="2:11" outlineLevel="1">
      <c r="B111" s="78">
        <f t="shared" si="33"/>
        <v>46082</v>
      </c>
      <c r="C111" s="75">
        <v>169113.70397436619</v>
      </c>
      <c r="D111" s="71">
        <f>IF(F111&lt;&gt;0,VLOOKUP($J111,'Table 1'!$B$13:$C$33,2,FALSE)/12*1000*Study_MW,0)</f>
        <v>0</v>
      </c>
      <c r="E111" s="71">
        <f t="shared" si="34"/>
        <v>169113.70397436619</v>
      </c>
      <c r="F111" s="75">
        <v>17530.04719085</v>
      </c>
      <c r="G111" s="76">
        <f t="shared" si="35"/>
        <v>9.6470763674062976</v>
      </c>
      <c r="I111" s="77">
        <f t="shared" si="39"/>
        <v>107</v>
      </c>
      <c r="J111" s="73">
        <f t="shared" si="36"/>
        <v>2026</v>
      </c>
      <c r="K111" s="78">
        <f t="shared" si="38"/>
        <v>46082</v>
      </c>
    </row>
    <row r="112" spans="2:11" outlineLevel="1">
      <c r="B112" s="78">
        <f t="shared" si="33"/>
        <v>46113</v>
      </c>
      <c r="C112" s="75">
        <v>34384.953728169203</v>
      </c>
      <c r="D112" s="71">
        <f>IF(F112&lt;&gt;0,VLOOKUP($J112,'Table 1'!$B$13:$C$33,2,FALSE)/12*1000*Study_MW,0)</f>
        <v>0</v>
      </c>
      <c r="E112" s="71">
        <f t="shared" si="34"/>
        <v>34384.953728169203</v>
      </c>
      <c r="F112" s="75">
        <v>20375.766467304999</v>
      </c>
      <c r="G112" s="76">
        <f t="shared" si="35"/>
        <v>1.6875416089668762</v>
      </c>
      <c r="I112" s="77">
        <f t="shared" si="39"/>
        <v>108</v>
      </c>
      <c r="J112" s="73">
        <f t="shared" si="36"/>
        <v>2026</v>
      </c>
      <c r="K112" s="78">
        <f t="shared" si="38"/>
        <v>46113</v>
      </c>
    </row>
    <row r="113" spans="2:11" outlineLevel="1">
      <c r="B113" s="78">
        <f t="shared" si="33"/>
        <v>46143</v>
      </c>
      <c r="C113" s="75">
        <v>218371.4699960202</v>
      </c>
      <c r="D113" s="71">
        <f>IF(F113&lt;&gt;0,VLOOKUP($J113,'Table 1'!$B$13:$C$33,2,FALSE)/12*1000*Study_MW,0)</f>
        <v>0</v>
      </c>
      <c r="E113" s="71">
        <f t="shared" si="34"/>
        <v>218371.4699960202</v>
      </c>
      <c r="F113" s="75">
        <v>23587.439002226001</v>
      </c>
      <c r="G113" s="76">
        <f t="shared" si="35"/>
        <v>9.2579558965859743</v>
      </c>
      <c r="I113" s="77">
        <f t="shared" si="39"/>
        <v>109</v>
      </c>
      <c r="J113" s="73">
        <f t="shared" si="36"/>
        <v>2026</v>
      </c>
      <c r="K113" s="78">
        <f t="shared" si="38"/>
        <v>46143</v>
      </c>
    </row>
    <row r="114" spans="2:11" outlineLevel="1">
      <c r="B114" s="78">
        <f t="shared" si="33"/>
        <v>46174</v>
      </c>
      <c r="C114" s="75">
        <v>371567.95096230507</v>
      </c>
      <c r="D114" s="71">
        <f>IF(F114&lt;&gt;0,VLOOKUP($J114,'Table 1'!$B$13:$C$33,2,FALSE)/12*1000*Study_MW,0)</f>
        <v>0</v>
      </c>
      <c r="E114" s="71">
        <f t="shared" si="34"/>
        <v>371567.95096230507</v>
      </c>
      <c r="F114" s="75">
        <v>25058.815310443999</v>
      </c>
      <c r="G114" s="76">
        <f t="shared" si="35"/>
        <v>14.827833892348581</v>
      </c>
      <c r="I114" s="77">
        <f t="shared" si="39"/>
        <v>110</v>
      </c>
      <c r="J114" s="73">
        <f t="shared" si="36"/>
        <v>2026</v>
      </c>
      <c r="K114" s="78">
        <f t="shared" si="38"/>
        <v>46174</v>
      </c>
    </row>
    <row r="115" spans="2:11" outlineLevel="1">
      <c r="B115" s="78">
        <f t="shared" si="33"/>
        <v>46204</v>
      </c>
      <c r="C115" s="75">
        <v>347913.97720268369</v>
      </c>
      <c r="D115" s="71">
        <f>IF(F115&lt;&gt;0,VLOOKUP($J115,'Table 1'!$B$13:$C$33,2,FALSE)/12*1000*Study_MW,0)</f>
        <v>0</v>
      </c>
      <c r="E115" s="71">
        <f t="shared" si="34"/>
        <v>347913.97720268369</v>
      </c>
      <c r="F115" s="75">
        <v>22680.370516011</v>
      </c>
      <c r="G115" s="76">
        <f t="shared" si="35"/>
        <v>15.339871848966355</v>
      </c>
      <c r="I115" s="77">
        <f t="shared" si="39"/>
        <v>111</v>
      </c>
      <c r="J115" s="73">
        <f t="shared" si="36"/>
        <v>2026</v>
      </c>
      <c r="K115" s="78">
        <f t="shared" si="38"/>
        <v>46204</v>
      </c>
    </row>
    <row r="116" spans="2:11" outlineLevel="1">
      <c r="B116" s="78">
        <f t="shared" si="33"/>
        <v>46235</v>
      </c>
      <c r="C116" s="75">
        <v>377329.46643716097</v>
      </c>
      <c r="D116" s="71">
        <f>IF(F116&lt;&gt;0,VLOOKUP($J116,'Table 1'!$B$13:$C$33,2,FALSE)/12*1000*Study_MW,0)</f>
        <v>0</v>
      </c>
      <c r="E116" s="71">
        <f t="shared" si="34"/>
        <v>377329.46643716097</v>
      </c>
      <c r="F116" s="75">
        <v>22716.265658798999</v>
      </c>
      <c r="G116" s="76">
        <f t="shared" si="35"/>
        <v>16.610541191263312</v>
      </c>
      <c r="I116" s="77">
        <f t="shared" si="39"/>
        <v>112</v>
      </c>
      <c r="J116" s="73">
        <f t="shared" si="36"/>
        <v>2026</v>
      </c>
      <c r="K116" s="78">
        <f t="shared" si="38"/>
        <v>46235</v>
      </c>
    </row>
    <row r="117" spans="2:11" outlineLevel="1">
      <c r="B117" s="78">
        <f t="shared" si="33"/>
        <v>46266</v>
      </c>
      <c r="C117" s="75">
        <v>196691.66794329882</v>
      </c>
      <c r="D117" s="71">
        <f>IF(F117&lt;&gt;0,VLOOKUP($J117,'Table 1'!$B$13:$C$33,2,FALSE)/12*1000*Study_MW,0)</f>
        <v>0</v>
      </c>
      <c r="E117" s="71">
        <f t="shared" si="34"/>
        <v>196691.66794329882</v>
      </c>
      <c r="F117" s="75">
        <v>20023.325212529999</v>
      </c>
      <c r="G117" s="76">
        <f t="shared" si="35"/>
        <v>9.823127070833122</v>
      </c>
      <c r="I117" s="77">
        <f t="shared" si="39"/>
        <v>113</v>
      </c>
      <c r="J117" s="73">
        <f t="shared" si="36"/>
        <v>2026</v>
      </c>
      <c r="K117" s="78">
        <f t="shared" si="38"/>
        <v>46266</v>
      </c>
    </row>
    <row r="118" spans="2:11" outlineLevel="1">
      <c r="B118" s="78">
        <f t="shared" si="33"/>
        <v>46296</v>
      </c>
      <c r="C118" s="75">
        <v>105908.68081925809</v>
      </c>
      <c r="D118" s="71">
        <f>IF(F118&lt;&gt;0,VLOOKUP($J118,'Table 1'!$B$13:$C$33,2,FALSE)/12*1000*Study_MW,0)</f>
        <v>0</v>
      </c>
      <c r="E118" s="71">
        <f t="shared" si="34"/>
        <v>105908.68081925809</v>
      </c>
      <c r="F118" s="75">
        <v>16233.227945791999</v>
      </c>
      <c r="G118" s="76">
        <f t="shared" si="35"/>
        <v>6.5241910711117619</v>
      </c>
      <c r="I118" s="77">
        <f t="shared" si="39"/>
        <v>114</v>
      </c>
      <c r="J118" s="73">
        <f t="shared" si="36"/>
        <v>2026</v>
      </c>
      <c r="K118" s="78">
        <f t="shared" si="38"/>
        <v>46296</v>
      </c>
    </row>
    <row r="119" spans="2:11" outlineLevel="1">
      <c r="B119" s="78">
        <f t="shared" si="33"/>
        <v>46327</v>
      </c>
      <c r="C119" s="75">
        <v>183978.0082154274</v>
      </c>
      <c r="D119" s="71">
        <f>IF(F119&lt;&gt;0,VLOOKUP($J119,'Table 1'!$B$13:$C$33,2,FALSE)/12*1000*Study_MW,0)</f>
        <v>0</v>
      </c>
      <c r="E119" s="71">
        <f t="shared" si="34"/>
        <v>183978.0082154274</v>
      </c>
      <c r="F119" s="75">
        <v>10933.400131951001</v>
      </c>
      <c r="G119" s="76">
        <f t="shared" si="35"/>
        <v>16.827154041292516</v>
      </c>
      <c r="I119" s="77">
        <f t="shared" si="39"/>
        <v>115</v>
      </c>
      <c r="J119" s="73">
        <f t="shared" si="36"/>
        <v>2026</v>
      </c>
      <c r="K119" s="78">
        <f t="shared" si="38"/>
        <v>46327</v>
      </c>
    </row>
    <row r="120" spans="2:11" outlineLevel="1">
      <c r="B120" s="82">
        <f t="shared" si="33"/>
        <v>46357</v>
      </c>
      <c r="C120" s="79">
        <v>162412.00934514403</v>
      </c>
      <c r="D120" s="80">
        <f>IF(F120&lt;&gt;0,VLOOKUP($J120,'Table 1'!$B$13:$C$33,2,FALSE)/12*1000*Study_MW,0)</f>
        <v>0</v>
      </c>
      <c r="E120" s="80">
        <f t="shared" si="34"/>
        <v>162412.00934514403</v>
      </c>
      <c r="F120" s="79">
        <v>8391.9227381569999</v>
      </c>
      <c r="G120" s="81">
        <f t="shared" si="35"/>
        <v>19.353372810104339</v>
      </c>
      <c r="I120" s="64">
        <f t="shared" si="39"/>
        <v>116</v>
      </c>
      <c r="J120" s="73">
        <f t="shared" si="36"/>
        <v>2026</v>
      </c>
      <c r="K120" s="82">
        <f t="shared" si="38"/>
        <v>46357</v>
      </c>
    </row>
    <row r="121" spans="2:11" outlineLevel="1">
      <c r="B121" s="74">
        <f t="shared" si="33"/>
        <v>46388</v>
      </c>
      <c r="C121" s="69">
        <v>157307.96912714839</v>
      </c>
      <c r="D121" s="70">
        <f>IF(F121&lt;&gt;0,VLOOKUP($J121,'Table 1'!$B$13:$C$33,2,FALSE)/12*1000*Study_MW,0)</f>
        <v>0</v>
      </c>
      <c r="E121" s="70">
        <f t="shared" si="34"/>
        <v>157307.96912714839</v>
      </c>
      <c r="F121" s="69">
        <v>10069.263963489</v>
      </c>
      <c r="G121" s="72">
        <f t="shared" si="35"/>
        <v>15.622588671579644</v>
      </c>
      <c r="I121" s="60">
        <f>I109+13</f>
        <v>118</v>
      </c>
      <c r="J121" s="73">
        <f t="shared" si="36"/>
        <v>2027</v>
      </c>
      <c r="K121" s="74">
        <f t="shared" si="38"/>
        <v>46388</v>
      </c>
    </row>
    <row r="122" spans="2:11" outlineLevel="1">
      <c r="B122" s="78">
        <f t="shared" si="33"/>
        <v>46419</v>
      </c>
      <c r="C122" s="75">
        <v>157558.33636333048</v>
      </c>
      <c r="D122" s="71">
        <f>IF(F122&lt;&gt;0,VLOOKUP($J122,'Table 1'!$B$13:$C$33,2,FALSE)/12*1000*Study_MW,0)</f>
        <v>0</v>
      </c>
      <c r="E122" s="71">
        <f t="shared" si="34"/>
        <v>157558.33636333048</v>
      </c>
      <c r="F122" s="75">
        <v>11269.471188494001</v>
      </c>
      <c r="G122" s="76">
        <f t="shared" si="35"/>
        <v>13.980987548394969</v>
      </c>
      <c r="I122" s="77">
        <f t="shared" ref="I122:I132" si="40">I110+13</f>
        <v>119</v>
      </c>
      <c r="J122" s="73">
        <f t="shared" si="36"/>
        <v>2027</v>
      </c>
      <c r="K122" s="78">
        <f t="shared" si="38"/>
        <v>46419</v>
      </c>
    </row>
    <row r="123" spans="2:11" outlineLevel="1">
      <c r="B123" s="78">
        <f t="shared" si="33"/>
        <v>46447</v>
      </c>
      <c r="C123" s="75">
        <v>171053.15494549274</v>
      </c>
      <c r="D123" s="71">
        <f>IF(F123&lt;&gt;0,VLOOKUP($J123,'Table 1'!$B$13:$C$33,2,FALSE)/12*1000*Study_MW,0)</f>
        <v>0</v>
      </c>
      <c r="E123" s="71">
        <f t="shared" si="34"/>
        <v>171053.15494549274</v>
      </c>
      <c r="F123" s="75">
        <v>17442.396928883001</v>
      </c>
      <c r="G123" s="76">
        <f t="shared" si="35"/>
        <v>9.8067459216138175</v>
      </c>
      <c r="I123" s="77">
        <f t="shared" si="40"/>
        <v>120</v>
      </c>
      <c r="J123" s="73">
        <f t="shared" si="36"/>
        <v>2027</v>
      </c>
      <c r="K123" s="78">
        <f t="shared" si="38"/>
        <v>46447</v>
      </c>
    </row>
    <row r="124" spans="2:11" outlineLevel="1">
      <c r="B124" s="78">
        <f t="shared" si="33"/>
        <v>46478</v>
      </c>
      <c r="C124" s="75">
        <v>213961.85768842697</v>
      </c>
      <c r="D124" s="71">
        <f>IF(F124&lt;&gt;0,VLOOKUP($J124,'Table 1'!$B$13:$C$33,2,FALSE)/12*1000*Study_MW,0)</f>
        <v>0</v>
      </c>
      <c r="E124" s="71">
        <f t="shared" si="34"/>
        <v>213961.85768842697</v>
      </c>
      <c r="F124" s="75">
        <v>20273.887649692999</v>
      </c>
      <c r="G124" s="76">
        <f t="shared" si="35"/>
        <v>10.553568283765593</v>
      </c>
      <c r="I124" s="77">
        <f t="shared" si="40"/>
        <v>121</v>
      </c>
      <c r="J124" s="73">
        <f t="shared" si="36"/>
        <v>2027</v>
      </c>
      <c r="K124" s="78">
        <f t="shared" si="38"/>
        <v>46478</v>
      </c>
    </row>
    <row r="125" spans="2:11" outlineLevel="1">
      <c r="B125" s="78">
        <f t="shared" si="33"/>
        <v>46508</v>
      </c>
      <c r="C125" s="75">
        <v>202414.79061770439</v>
      </c>
      <c r="D125" s="71">
        <f>IF(F125&lt;&gt;0,VLOOKUP($J125,'Table 1'!$B$13:$C$33,2,FALSE)/12*1000*Study_MW,0)</f>
        <v>0</v>
      </c>
      <c r="E125" s="71">
        <f t="shared" si="34"/>
        <v>202414.79061770439</v>
      </c>
      <c r="F125" s="75">
        <v>23469.501839299999</v>
      </c>
      <c r="G125" s="76">
        <f t="shared" si="35"/>
        <v>8.6245882849868618</v>
      </c>
      <c r="I125" s="77">
        <f t="shared" si="40"/>
        <v>122</v>
      </c>
      <c r="J125" s="73">
        <f t="shared" si="36"/>
        <v>2027</v>
      </c>
      <c r="K125" s="78">
        <f t="shared" si="38"/>
        <v>46508</v>
      </c>
    </row>
    <row r="126" spans="2:11" outlineLevel="1">
      <c r="B126" s="78">
        <f t="shared" si="33"/>
        <v>46539</v>
      </c>
      <c r="C126" s="75">
        <v>390398.88008295</v>
      </c>
      <c r="D126" s="71">
        <f>IF(F126&lt;&gt;0,VLOOKUP($J126,'Table 1'!$B$13:$C$33,2,FALSE)/12*1000*Study_MW,0)</f>
        <v>0</v>
      </c>
      <c r="E126" s="71">
        <f t="shared" si="34"/>
        <v>390398.88008295</v>
      </c>
      <c r="F126" s="75">
        <v>24933.521247365999</v>
      </c>
      <c r="G126" s="76">
        <f t="shared" si="35"/>
        <v>15.657591088310165</v>
      </c>
      <c r="I126" s="77">
        <f t="shared" si="40"/>
        <v>123</v>
      </c>
      <c r="J126" s="73">
        <f t="shared" si="36"/>
        <v>2027</v>
      </c>
      <c r="K126" s="78">
        <f t="shared" si="38"/>
        <v>46539</v>
      </c>
    </row>
    <row r="127" spans="2:11" outlineLevel="1">
      <c r="B127" s="78">
        <f t="shared" si="33"/>
        <v>46569</v>
      </c>
      <c r="C127" s="75">
        <v>413994.89864766598</v>
      </c>
      <c r="D127" s="71">
        <f>IF(F127&lt;&gt;0,VLOOKUP($J127,'Table 1'!$B$13:$C$33,2,FALSE)/12*1000*Study_MW,0)</f>
        <v>0</v>
      </c>
      <c r="E127" s="71">
        <f t="shared" si="34"/>
        <v>413994.89864766598</v>
      </c>
      <c r="F127" s="75">
        <v>22566.96879196</v>
      </c>
      <c r="G127" s="76">
        <f t="shared" si="35"/>
        <v>18.345170876257033</v>
      </c>
      <c r="I127" s="77">
        <f t="shared" si="40"/>
        <v>124</v>
      </c>
      <c r="J127" s="73">
        <f t="shared" si="36"/>
        <v>2027</v>
      </c>
      <c r="K127" s="78">
        <f t="shared" si="38"/>
        <v>46569</v>
      </c>
    </row>
    <row r="128" spans="2:11" outlineLevel="1">
      <c r="B128" s="78">
        <f t="shared" si="33"/>
        <v>46600</v>
      </c>
      <c r="C128" s="75">
        <v>391473.10853433609</v>
      </c>
      <c r="D128" s="71">
        <f>IF(F128&lt;&gt;0,VLOOKUP($J128,'Table 1'!$B$13:$C$33,2,FALSE)/12*1000*Study_MW,0)</f>
        <v>0</v>
      </c>
      <c r="E128" s="71">
        <f t="shared" si="34"/>
        <v>391473.10853433609</v>
      </c>
      <c r="F128" s="75">
        <v>22602.684493346998</v>
      </c>
      <c r="G128" s="76">
        <f t="shared" si="35"/>
        <v>17.319761670325686</v>
      </c>
      <c r="I128" s="77">
        <f t="shared" si="40"/>
        <v>125</v>
      </c>
      <c r="J128" s="73">
        <f t="shared" si="36"/>
        <v>2027</v>
      </c>
      <c r="K128" s="78">
        <f t="shared" si="38"/>
        <v>46600</v>
      </c>
    </row>
    <row r="129" spans="2:11" outlineLevel="1">
      <c r="B129" s="78">
        <f t="shared" si="33"/>
        <v>46631</v>
      </c>
      <c r="C129" s="75">
        <v>204130.10405784845</v>
      </c>
      <c r="D129" s="71">
        <f>IF(F129&lt;&gt;0,VLOOKUP($J129,'Table 1'!$B$13:$C$33,2,FALSE)/12*1000*Study_MW,0)</f>
        <v>0</v>
      </c>
      <c r="E129" s="71">
        <f t="shared" si="34"/>
        <v>204130.10405784845</v>
      </c>
      <c r="F129" s="75">
        <v>19923.208782925001</v>
      </c>
      <c r="G129" s="76">
        <f t="shared" si="35"/>
        <v>10.245844747297747</v>
      </c>
      <c r="I129" s="77">
        <f t="shared" si="40"/>
        <v>126</v>
      </c>
      <c r="J129" s="73">
        <f t="shared" si="36"/>
        <v>2027</v>
      </c>
      <c r="K129" s="78">
        <f t="shared" si="38"/>
        <v>46631</v>
      </c>
    </row>
    <row r="130" spans="2:11" outlineLevel="1">
      <c r="B130" s="78">
        <f t="shared" si="33"/>
        <v>46661</v>
      </c>
      <c r="C130" s="75">
        <v>215955.72393968701</v>
      </c>
      <c r="D130" s="71">
        <f>IF(F130&lt;&gt;0,VLOOKUP($J130,'Table 1'!$B$13:$C$33,2,FALSE)/12*1000*Study_MW,0)</f>
        <v>0</v>
      </c>
      <c r="E130" s="71">
        <f t="shared" si="34"/>
        <v>215955.72393968701</v>
      </c>
      <c r="F130" s="75">
        <v>16152.061774492</v>
      </c>
      <c r="G130" s="76">
        <f t="shared" si="35"/>
        <v>13.370164561946709</v>
      </c>
      <c r="I130" s="77">
        <f t="shared" si="40"/>
        <v>127</v>
      </c>
      <c r="J130" s="73">
        <f t="shared" si="36"/>
        <v>2027</v>
      </c>
      <c r="K130" s="78">
        <f t="shared" si="38"/>
        <v>46661</v>
      </c>
    </row>
    <row r="131" spans="2:11" outlineLevel="1">
      <c r="B131" s="78">
        <f t="shared" si="33"/>
        <v>46692</v>
      </c>
      <c r="C131" s="75">
        <v>177273.6614856571</v>
      </c>
      <c r="D131" s="71">
        <f>IF(F131&lt;&gt;0,VLOOKUP($J131,'Table 1'!$B$13:$C$33,2,FALSE)/12*1000*Study_MW,0)</f>
        <v>0</v>
      </c>
      <c r="E131" s="71">
        <f t="shared" si="34"/>
        <v>177273.6614856571</v>
      </c>
      <c r="F131" s="75">
        <v>10878.733099524999</v>
      </c>
      <c r="G131" s="76">
        <f t="shared" si="35"/>
        <v>16.295432553023794</v>
      </c>
      <c r="I131" s="77">
        <f t="shared" si="40"/>
        <v>128</v>
      </c>
      <c r="J131" s="73">
        <f t="shared" si="36"/>
        <v>2027</v>
      </c>
      <c r="K131" s="78">
        <f t="shared" si="38"/>
        <v>46692</v>
      </c>
    </row>
    <row r="132" spans="2:11" outlineLevel="1">
      <c r="B132" s="82">
        <f t="shared" si="33"/>
        <v>46722</v>
      </c>
      <c r="C132" s="79">
        <v>166896.58102685213</v>
      </c>
      <c r="D132" s="80">
        <f>IF(F132&lt;&gt;0,VLOOKUP($J132,'Table 1'!$B$13:$C$33,2,FALSE)/12*1000*Study_MW,0)</f>
        <v>0</v>
      </c>
      <c r="E132" s="80">
        <f t="shared" si="34"/>
        <v>166896.58102685213</v>
      </c>
      <c r="F132" s="79">
        <v>8349.9631400350008</v>
      </c>
      <c r="G132" s="81">
        <f t="shared" si="35"/>
        <v>19.987702727290429</v>
      </c>
      <c r="I132" s="64">
        <f t="shared" si="40"/>
        <v>129</v>
      </c>
      <c r="J132" s="73">
        <f t="shared" si="36"/>
        <v>2027</v>
      </c>
      <c r="K132" s="82">
        <f t="shared" si="38"/>
        <v>46722</v>
      </c>
    </row>
    <row r="133" spans="2:11" outlineLevel="1">
      <c r="B133" s="74">
        <f t="shared" si="33"/>
        <v>46753</v>
      </c>
      <c r="C133" s="69">
        <v>165970.18798574805</v>
      </c>
      <c r="D133" s="70">
        <f>IF(F133&lt;&gt;0,VLOOKUP($J133,'Table 1'!$B$13:$C$33,2,FALSE)/12*1000*Study_MW,0)</f>
        <v>0</v>
      </c>
      <c r="E133" s="70">
        <f t="shared" si="34"/>
        <v>165970.18798574805</v>
      </c>
      <c r="F133" s="69">
        <v>10018.917470062001</v>
      </c>
      <c r="G133" s="72">
        <f t="shared" si="35"/>
        <v>16.565680721663931</v>
      </c>
      <c r="I133" s="60">
        <f>I13</f>
        <v>1</v>
      </c>
      <c r="J133" s="73">
        <f t="shared" si="36"/>
        <v>2028</v>
      </c>
      <c r="K133" s="74">
        <f t="shared" si="38"/>
        <v>46753</v>
      </c>
    </row>
    <row r="134" spans="2:11" outlineLevel="1">
      <c r="B134" s="78">
        <f t="shared" si="33"/>
        <v>46784</v>
      </c>
      <c r="C134" s="75">
        <v>172328.44262164831</v>
      </c>
      <c r="D134" s="71">
        <f>IF(F134&lt;&gt;0,VLOOKUP($J134,'Table 1'!$B$13:$C$33,2,FALSE)/12*1000*Study_MW,0)</f>
        <v>0</v>
      </c>
      <c r="E134" s="71">
        <f t="shared" si="34"/>
        <v>172328.44262164831</v>
      </c>
      <c r="F134" s="75">
        <v>11887.875945670999</v>
      </c>
      <c r="G134" s="76">
        <f t="shared" si="35"/>
        <v>14.496150818633177</v>
      </c>
      <c r="I134" s="77">
        <f t="shared" ref="I134:I197" si="41">I14</f>
        <v>2</v>
      </c>
      <c r="J134" s="73">
        <f t="shared" si="36"/>
        <v>2028</v>
      </c>
      <c r="K134" s="78">
        <f t="shared" si="38"/>
        <v>46784</v>
      </c>
    </row>
    <row r="135" spans="2:11" outlineLevel="1">
      <c r="B135" s="78">
        <f t="shared" si="33"/>
        <v>46813</v>
      </c>
      <c r="C135" s="75">
        <v>165253.91097187996</v>
      </c>
      <c r="D135" s="71">
        <f>IF(F135&lt;&gt;0,VLOOKUP($J135,'Table 1'!$B$13:$C$33,2,FALSE)/12*1000*Study_MW,0)</f>
        <v>0</v>
      </c>
      <c r="E135" s="71">
        <f t="shared" si="34"/>
        <v>165253.91097187996</v>
      </c>
      <c r="F135" s="75">
        <v>17355.184989009998</v>
      </c>
      <c r="G135" s="76">
        <f t="shared" si="35"/>
        <v>9.5218755130829997</v>
      </c>
      <c r="I135" s="77">
        <f t="shared" si="41"/>
        <v>3</v>
      </c>
      <c r="J135" s="73">
        <f t="shared" si="36"/>
        <v>2028</v>
      </c>
      <c r="K135" s="78">
        <f t="shared" si="38"/>
        <v>46813</v>
      </c>
    </row>
    <row r="136" spans="2:11" outlineLevel="1">
      <c r="B136" s="78">
        <f t="shared" si="33"/>
        <v>46844</v>
      </c>
      <c r="C136" s="75">
        <v>244422.98966386914</v>
      </c>
      <c r="D136" s="71">
        <f>IF(F136&lt;&gt;0,VLOOKUP($J136,'Table 1'!$B$13:$C$33,2,FALSE)/12*1000*Study_MW,0)</f>
        <v>0</v>
      </c>
      <c r="E136" s="71">
        <f t="shared" si="34"/>
        <v>244422.98966386914</v>
      </c>
      <c r="F136" s="75">
        <v>20172.518214619999</v>
      </c>
      <c r="G136" s="76">
        <f t="shared" si="35"/>
        <v>12.116632492948947</v>
      </c>
      <c r="I136" s="77">
        <f t="shared" si="41"/>
        <v>4</v>
      </c>
      <c r="J136" s="73">
        <f t="shared" si="36"/>
        <v>2028</v>
      </c>
      <c r="K136" s="78">
        <f t="shared" si="38"/>
        <v>46844</v>
      </c>
    </row>
    <row r="137" spans="2:11" outlineLevel="1">
      <c r="B137" s="78">
        <f t="shared" si="33"/>
        <v>46874</v>
      </c>
      <c r="C137" s="75">
        <v>224504.70126418769</v>
      </c>
      <c r="D137" s="71">
        <f>IF(F137&lt;&gt;0,VLOOKUP($J137,'Table 1'!$B$13:$C$33,2,FALSE)/12*1000*Study_MW,0)</f>
        <v>0</v>
      </c>
      <c r="E137" s="71">
        <f t="shared" si="34"/>
        <v>224504.70126418769</v>
      </c>
      <c r="F137" s="75">
        <v>23352.15428282</v>
      </c>
      <c r="G137" s="76">
        <f t="shared" si="35"/>
        <v>9.6138753857649046</v>
      </c>
      <c r="I137" s="77">
        <f t="shared" si="41"/>
        <v>5</v>
      </c>
      <c r="J137" s="73">
        <f t="shared" si="36"/>
        <v>2028</v>
      </c>
      <c r="K137" s="78">
        <f t="shared" si="38"/>
        <v>46874</v>
      </c>
    </row>
    <row r="138" spans="2:11" outlineLevel="1">
      <c r="B138" s="78">
        <f t="shared" si="33"/>
        <v>46905</v>
      </c>
      <c r="C138" s="75">
        <v>403332.02943728864</v>
      </c>
      <c r="D138" s="71">
        <f>IF(F138&lt;&gt;0,VLOOKUP($J138,'Table 1'!$B$13:$C$33,2,FALSE)/12*1000*Study_MW,0)</f>
        <v>0</v>
      </c>
      <c r="E138" s="71">
        <f t="shared" si="34"/>
        <v>403332.02943728864</v>
      </c>
      <c r="F138" s="75">
        <v>24808.853670089</v>
      </c>
      <c r="G138" s="76">
        <f t="shared" si="35"/>
        <v>16.257584280226911</v>
      </c>
      <c r="I138" s="77">
        <f t="shared" si="41"/>
        <v>6</v>
      </c>
      <c r="J138" s="73">
        <f t="shared" si="36"/>
        <v>2028</v>
      </c>
      <c r="K138" s="78">
        <f t="shared" si="38"/>
        <v>46905</v>
      </c>
    </row>
    <row r="139" spans="2:11" outlineLevel="1">
      <c r="B139" s="78">
        <f t="shared" si="33"/>
        <v>46935</v>
      </c>
      <c r="C139" s="75">
        <v>533824.56955647469</v>
      </c>
      <c r="D139" s="71">
        <f>IF(F139&lt;&gt;0,VLOOKUP($J139,'Table 1'!$B$13:$C$33,2,FALSE)/12*1000*Study_MW,0)</f>
        <v>0</v>
      </c>
      <c r="E139" s="71">
        <f t="shared" si="34"/>
        <v>533824.56955647469</v>
      </c>
      <c r="F139" s="75">
        <v>22454.13338463</v>
      </c>
      <c r="G139" s="76">
        <f t="shared" si="35"/>
        <v>23.774000110014537</v>
      </c>
      <c r="I139" s="77">
        <f t="shared" si="41"/>
        <v>7</v>
      </c>
      <c r="J139" s="73">
        <f t="shared" si="36"/>
        <v>2028</v>
      </c>
      <c r="K139" s="78">
        <f t="shared" si="38"/>
        <v>46935</v>
      </c>
    </row>
    <row r="140" spans="2:11" outlineLevel="1">
      <c r="B140" s="78">
        <f t="shared" si="33"/>
        <v>46966</v>
      </c>
      <c r="C140" s="75">
        <v>543548.2737467587</v>
      </c>
      <c r="D140" s="71">
        <f>IF(F140&lt;&gt;0,VLOOKUP($J140,'Table 1'!$B$13:$C$33,2,FALSE)/12*1000*Study_MW,0)</f>
        <v>0</v>
      </c>
      <c r="E140" s="71">
        <f t="shared" si="34"/>
        <v>543548.2737467587</v>
      </c>
      <c r="F140" s="75">
        <v>22489.670382611999</v>
      </c>
      <c r="G140" s="76">
        <f t="shared" si="35"/>
        <v>24.168796807578193</v>
      </c>
      <c r="I140" s="77">
        <f t="shared" si="41"/>
        <v>8</v>
      </c>
      <c r="J140" s="73">
        <f t="shared" si="36"/>
        <v>2028</v>
      </c>
      <c r="K140" s="78">
        <f t="shared" si="38"/>
        <v>46966</v>
      </c>
    </row>
    <row r="141" spans="2:11" outlineLevel="1">
      <c r="B141" s="78">
        <f t="shared" si="33"/>
        <v>46997</v>
      </c>
      <c r="C141" s="75">
        <v>383210.80314238369</v>
      </c>
      <c r="D141" s="71">
        <f>IF(F141&lt;&gt;0,VLOOKUP($J141,'Table 1'!$B$13:$C$33,2,FALSE)/12*1000*Study_MW,0)</f>
        <v>0</v>
      </c>
      <c r="E141" s="71">
        <f t="shared" si="34"/>
        <v>383210.80314238369</v>
      </c>
      <c r="F141" s="75">
        <v>19823.592090369999</v>
      </c>
      <c r="G141" s="76">
        <f t="shared" si="35"/>
        <v>19.331047642396843</v>
      </c>
      <c r="I141" s="77">
        <f t="shared" si="41"/>
        <v>9</v>
      </c>
      <c r="J141" s="73">
        <f t="shared" si="36"/>
        <v>2028</v>
      </c>
      <c r="K141" s="78">
        <f t="shared" si="38"/>
        <v>46997</v>
      </c>
    </row>
    <row r="142" spans="2:11" outlineLevel="1">
      <c r="B142" s="78">
        <f t="shared" ref="B142:B205" si="42">EDATE(B141,1)</f>
        <v>47027</v>
      </c>
      <c r="C142" s="75">
        <v>223228.31652614474</v>
      </c>
      <c r="D142" s="71">
        <f>IF(F142&lt;&gt;0,VLOOKUP($J142,'Table 1'!$B$13:$C$33,2,FALSE)/12*1000*Study_MW,0)</f>
        <v>0</v>
      </c>
      <c r="E142" s="71">
        <f t="shared" ref="E142:E192" si="43">C142+D142</f>
        <v>223228.31652614474</v>
      </c>
      <c r="F142" s="75">
        <v>16071.301493841</v>
      </c>
      <c r="G142" s="76">
        <f t="shared" ref="G142:G192" si="44">IF(ISNUMBER($F142),E142/$F142,"")</f>
        <v>13.88987174509124</v>
      </c>
      <c r="I142" s="77">
        <f t="shared" si="41"/>
        <v>10</v>
      </c>
      <c r="J142" s="73">
        <f t="shared" ref="J142:J192" si="45">YEAR(B142)</f>
        <v>2028</v>
      </c>
      <c r="K142" s="78">
        <f t="shared" si="38"/>
        <v>47027</v>
      </c>
    </row>
    <row r="143" spans="2:11" outlineLevel="1">
      <c r="B143" s="78">
        <f t="shared" si="42"/>
        <v>47058</v>
      </c>
      <c r="C143" s="75">
        <v>233160.53731688857</v>
      </c>
      <c r="D143" s="71">
        <f>IF(F143&lt;&gt;0,VLOOKUP($J143,'Table 1'!$B$13:$C$33,2,FALSE)/12*1000*Study_MW,0)</f>
        <v>0</v>
      </c>
      <c r="E143" s="71">
        <f t="shared" si="43"/>
        <v>233160.53731688857</v>
      </c>
      <c r="F143" s="75">
        <v>10824.339442545999</v>
      </c>
      <c r="G143" s="76">
        <f t="shared" si="44"/>
        <v>21.540394086352372</v>
      </c>
      <c r="I143" s="77">
        <f t="shared" si="41"/>
        <v>11</v>
      </c>
      <c r="J143" s="73">
        <f t="shared" si="45"/>
        <v>2028</v>
      </c>
      <c r="K143" s="78">
        <f t="shared" si="38"/>
        <v>47058</v>
      </c>
    </row>
    <row r="144" spans="2:11" outlineLevel="1">
      <c r="B144" s="82">
        <f t="shared" si="42"/>
        <v>47088</v>
      </c>
      <c r="C144" s="79">
        <v>177000.61692094803</v>
      </c>
      <c r="D144" s="80">
        <f>IF(F144&lt;&gt;0,VLOOKUP($J144,'Table 1'!$B$13:$C$33,2,FALSE)/12*1000*Study_MW,0)</f>
        <v>0</v>
      </c>
      <c r="E144" s="80">
        <f t="shared" si="43"/>
        <v>177000.61692094803</v>
      </c>
      <c r="F144" s="79">
        <v>8308.2133084630004</v>
      </c>
      <c r="G144" s="81">
        <f t="shared" si="44"/>
        <v>21.304293757196842</v>
      </c>
      <c r="I144" s="64">
        <f t="shared" si="41"/>
        <v>12</v>
      </c>
      <c r="J144" s="73">
        <f t="shared" si="45"/>
        <v>2028</v>
      </c>
      <c r="K144" s="82">
        <f t="shared" si="38"/>
        <v>47088</v>
      </c>
    </row>
    <row r="145" spans="2:11" outlineLevel="1">
      <c r="B145" s="74">
        <f t="shared" si="42"/>
        <v>47119</v>
      </c>
      <c r="C145" s="69">
        <v>193399.8209502399</v>
      </c>
      <c r="D145" s="70">
        <f>IF(F145&lt;&gt;0,VLOOKUP($J145,'Table 1'!$B$13:$C$33,2,FALSE)/12*1000*Study_MW,0)</f>
        <v>0</v>
      </c>
      <c r="E145" s="70">
        <f t="shared" si="43"/>
        <v>193399.8209502399</v>
      </c>
      <c r="F145" s="69">
        <v>9968.8230107449999</v>
      </c>
      <c r="G145" s="72">
        <f t="shared" si="44"/>
        <v>19.40046690986307</v>
      </c>
      <c r="I145" s="60">
        <f>I25</f>
        <v>14</v>
      </c>
      <c r="J145" s="73">
        <f t="shared" si="45"/>
        <v>2029</v>
      </c>
      <c r="K145" s="74">
        <f t="shared" si="38"/>
        <v>47119</v>
      </c>
    </row>
    <row r="146" spans="2:11" outlineLevel="1">
      <c r="B146" s="78">
        <f t="shared" si="42"/>
        <v>47150</v>
      </c>
      <c r="C146" s="75">
        <v>191395.63891936839</v>
      </c>
      <c r="D146" s="71">
        <f>IF(F146&lt;&gt;0,VLOOKUP($J146,'Table 1'!$B$13:$C$33,2,FALSE)/12*1000*Study_MW,0)</f>
        <v>0</v>
      </c>
      <c r="E146" s="71">
        <f t="shared" si="43"/>
        <v>191395.63891936839</v>
      </c>
      <c r="F146" s="75">
        <v>11157.058257598999</v>
      </c>
      <c r="G146" s="76">
        <f t="shared" si="44"/>
        <v>17.154668775616553</v>
      </c>
      <c r="I146" s="77">
        <f t="shared" si="41"/>
        <v>15</v>
      </c>
      <c r="J146" s="73">
        <f t="shared" si="45"/>
        <v>2029</v>
      </c>
      <c r="K146" s="78">
        <f t="shared" si="38"/>
        <v>47150</v>
      </c>
    </row>
    <row r="147" spans="2:11" outlineLevel="1">
      <c r="B147" s="78">
        <f t="shared" si="42"/>
        <v>47178</v>
      </c>
      <c r="C147" s="75">
        <v>184423.19606029987</v>
      </c>
      <c r="D147" s="71">
        <f>IF(F147&lt;&gt;0,VLOOKUP($J147,'Table 1'!$B$13:$C$33,2,FALSE)/12*1000*Study_MW,0)</f>
        <v>0</v>
      </c>
      <c r="E147" s="71">
        <f t="shared" si="43"/>
        <v>184423.19606029987</v>
      </c>
      <c r="F147" s="75">
        <v>17268.409031389001</v>
      </c>
      <c r="G147" s="76">
        <f t="shared" si="44"/>
        <v>10.679802390890298</v>
      </c>
      <c r="I147" s="77">
        <f t="shared" si="41"/>
        <v>16</v>
      </c>
      <c r="J147" s="73">
        <f t="shared" si="45"/>
        <v>2029</v>
      </c>
      <c r="K147" s="78">
        <f t="shared" si="38"/>
        <v>47178</v>
      </c>
    </row>
    <row r="148" spans="2:11" outlineLevel="1">
      <c r="B148" s="78">
        <f t="shared" si="42"/>
        <v>47209</v>
      </c>
      <c r="C148" s="75">
        <v>220805.54356066883</v>
      </c>
      <c r="D148" s="71">
        <f>IF(F148&lt;&gt;0,VLOOKUP($J148,'Table 1'!$B$13:$C$33,2,FALSE)/12*1000*Study_MW,0)</f>
        <v>0</v>
      </c>
      <c r="E148" s="71">
        <f t="shared" si="43"/>
        <v>220805.54356066883</v>
      </c>
      <c r="F148" s="75">
        <v>20071.655621016998</v>
      </c>
      <c r="G148" s="76">
        <f t="shared" si="44"/>
        <v>11.000863492768563</v>
      </c>
      <c r="I148" s="77">
        <f t="shared" si="41"/>
        <v>17</v>
      </c>
      <c r="J148" s="73">
        <f t="shared" si="45"/>
        <v>2029</v>
      </c>
      <c r="K148" s="78">
        <f t="shared" si="38"/>
        <v>47209</v>
      </c>
    </row>
    <row r="149" spans="2:11" outlineLevel="1">
      <c r="B149" s="78">
        <f t="shared" si="42"/>
        <v>47239</v>
      </c>
      <c r="C149" s="75">
        <v>350667.5540676415</v>
      </c>
      <c r="D149" s="71">
        <f>IF(F149&lt;&gt;0,VLOOKUP($J149,'Table 1'!$B$13:$C$33,2,FALSE)/12*1000*Study_MW,0)</f>
        <v>0</v>
      </c>
      <c r="E149" s="71">
        <f t="shared" si="43"/>
        <v>350667.5540676415</v>
      </c>
      <c r="F149" s="75">
        <v>23235.3935619</v>
      </c>
      <c r="G149" s="76">
        <f t="shared" si="44"/>
        <v>15.091956722551283</v>
      </c>
      <c r="I149" s="77">
        <f t="shared" si="41"/>
        <v>18</v>
      </c>
      <c r="J149" s="73">
        <f t="shared" si="45"/>
        <v>2029</v>
      </c>
      <c r="K149" s="78">
        <f t="shared" si="38"/>
        <v>47239</v>
      </c>
    </row>
    <row r="150" spans="2:11" outlineLevel="1">
      <c r="B150" s="78">
        <f t="shared" si="42"/>
        <v>47270</v>
      </c>
      <c r="C150" s="75">
        <v>448585.97909721732</v>
      </c>
      <c r="D150" s="71">
        <f>IF(F150&lt;&gt;0,VLOOKUP($J150,'Table 1'!$B$13:$C$33,2,FALSE)/12*1000*Study_MW,0)</f>
        <v>0</v>
      </c>
      <c r="E150" s="71">
        <f t="shared" si="43"/>
        <v>448585.97909721732</v>
      </c>
      <c r="F150" s="75">
        <v>24684.809433712999</v>
      </c>
      <c r="G150" s="76">
        <f t="shared" si="44"/>
        <v>18.172551840103171</v>
      </c>
      <c r="I150" s="77">
        <f t="shared" si="41"/>
        <v>19</v>
      </c>
      <c r="J150" s="73">
        <f t="shared" si="45"/>
        <v>2029</v>
      </c>
      <c r="K150" s="78">
        <f t="shared" si="38"/>
        <v>47270</v>
      </c>
    </row>
    <row r="151" spans="2:11" outlineLevel="1">
      <c r="B151" s="78">
        <f t="shared" si="42"/>
        <v>47300</v>
      </c>
      <c r="C151" s="75">
        <v>655425.85132107139</v>
      </c>
      <c r="D151" s="71">
        <f>IF(F151&lt;&gt;0,VLOOKUP($J151,'Table 1'!$B$13:$C$33,2,FALSE)/12*1000*Study_MW,0)</f>
        <v>0</v>
      </c>
      <c r="E151" s="71">
        <f t="shared" si="43"/>
        <v>655425.85132107139</v>
      </c>
      <c r="F151" s="75">
        <v>22341.863289995999</v>
      </c>
      <c r="G151" s="76">
        <f t="shared" si="44"/>
        <v>29.336221550265726</v>
      </c>
      <c r="I151" s="77">
        <f t="shared" si="41"/>
        <v>20</v>
      </c>
      <c r="J151" s="73">
        <f t="shared" si="45"/>
        <v>2029</v>
      </c>
      <c r="K151" s="78">
        <f t="shared" si="38"/>
        <v>47300</v>
      </c>
    </row>
    <row r="152" spans="2:11" outlineLevel="1">
      <c r="B152" s="78">
        <f t="shared" si="42"/>
        <v>47331</v>
      </c>
      <c r="C152" s="75">
        <v>646486.51399177313</v>
      </c>
      <c r="D152" s="71">
        <f>IF(F152&lt;&gt;0,VLOOKUP($J152,'Table 1'!$B$13:$C$33,2,FALSE)/12*1000*Study_MW,0)</f>
        <v>0</v>
      </c>
      <c r="E152" s="71">
        <f t="shared" si="43"/>
        <v>646486.51399177313</v>
      </c>
      <c r="F152" s="75">
        <v>22377.222740327001</v>
      </c>
      <c r="G152" s="76">
        <f t="shared" si="44"/>
        <v>28.890382041320557</v>
      </c>
      <c r="I152" s="77">
        <f t="shared" si="41"/>
        <v>21</v>
      </c>
      <c r="J152" s="73">
        <f t="shared" si="45"/>
        <v>2029</v>
      </c>
      <c r="K152" s="78">
        <f t="shared" si="38"/>
        <v>47331</v>
      </c>
    </row>
    <row r="153" spans="2:11" outlineLevel="1">
      <c r="B153" s="78">
        <f t="shared" si="42"/>
        <v>47362</v>
      </c>
      <c r="C153" s="75">
        <v>321810.82181459665</v>
      </c>
      <c r="D153" s="71">
        <f>IF(F153&lt;&gt;0,VLOOKUP($J153,'Table 1'!$B$13:$C$33,2,FALSE)/12*1000*Study_MW,0)</f>
        <v>0</v>
      </c>
      <c r="E153" s="71">
        <f t="shared" si="43"/>
        <v>321810.82181459665</v>
      </c>
      <c r="F153" s="75">
        <v>19724.474751075999</v>
      </c>
      <c r="G153" s="76">
        <f t="shared" si="44"/>
        <v>16.31530501449938</v>
      </c>
      <c r="I153" s="77">
        <f t="shared" si="41"/>
        <v>22</v>
      </c>
      <c r="J153" s="73">
        <f t="shared" si="45"/>
        <v>2029</v>
      </c>
      <c r="K153" s="78">
        <f t="shared" si="38"/>
        <v>47362</v>
      </c>
    </row>
    <row r="154" spans="2:11" outlineLevel="1">
      <c r="B154" s="78">
        <f t="shared" si="42"/>
        <v>47392</v>
      </c>
      <c r="C154" s="75">
        <v>283036.25060594082</v>
      </c>
      <c r="D154" s="71">
        <f>IF(F154&lt;&gt;0,VLOOKUP($J154,'Table 1'!$B$13:$C$33,2,FALSE)/12*1000*Study_MW,0)</f>
        <v>0</v>
      </c>
      <c r="E154" s="71">
        <f t="shared" si="43"/>
        <v>283036.25060594082</v>
      </c>
      <c r="F154" s="75">
        <v>15990.945026993</v>
      </c>
      <c r="G154" s="76">
        <f t="shared" si="44"/>
        <v>17.699782603727957</v>
      </c>
      <c r="I154" s="77">
        <f t="shared" si="41"/>
        <v>23</v>
      </c>
      <c r="J154" s="73">
        <f t="shared" si="45"/>
        <v>2029</v>
      </c>
      <c r="K154" s="78">
        <f t="shared" ref="K154:K192" si="46">IF(ISNUMBER(F154),IF(F154&lt;&gt;0,B154,""),"")</f>
        <v>47392</v>
      </c>
    </row>
    <row r="155" spans="2:11" outlineLevel="1">
      <c r="B155" s="78">
        <f t="shared" si="42"/>
        <v>47423</v>
      </c>
      <c r="C155" s="75">
        <v>247567.25911220908</v>
      </c>
      <c r="D155" s="71">
        <f>IF(F155&lt;&gt;0,VLOOKUP($J155,'Table 1'!$B$13:$C$33,2,FALSE)/12*1000*Study_MW,0)</f>
        <v>0</v>
      </c>
      <c r="E155" s="71">
        <f t="shared" si="43"/>
        <v>247567.25911220908</v>
      </c>
      <c r="F155" s="75">
        <v>10770.217734733</v>
      </c>
      <c r="G155" s="76">
        <f t="shared" si="44"/>
        <v>22.986281727046851</v>
      </c>
      <c r="I155" s="77">
        <f t="shared" si="41"/>
        <v>24</v>
      </c>
      <c r="J155" s="73">
        <f t="shared" si="45"/>
        <v>2029</v>
      </c>
      <c r="K155" s="78">
        <f t="shared" si="46"/>
        <v>47423</v>
      </c>
    </row>
    <row r="156" spans="2:11" outlineLevel="1">
      <c r="B156" s="82">
        <f t="shared" si="42"/>
        <v>47453</v>
      </c>
      <c r="C156" s="79">
        <v>213541.04408159852</v>
      </c>
      <c r="D156" s="80">
        <f>IF(F156&lt;&gt;0,VLOOKUP($J156,'Table 1'!$B$13:$C$33,2,FALSE)/12*1000*Study_MW,0)</f>
        <v>0</v>
      </c>
      <c r="E156" s="80">
        <f t="shared" si="43"/>
        <v>213541.04408159852</v>
      </c>
      <c r="F156" s="79">
        <v>8266.6722532580006</v>
      </c>
      <c r="G156" s="81">
        <f t="shared" si="44"/>
        <v>25.831560456196783</v>
      </c>
      <c r="I156" s="64">
        <f t="shared" si="41"/>
        <v>25</v>
      </c>
      <c r="J156" s="73">
        <f t="shared" si="45"/>
        <v>2029</v>
      </c>
      <c r="K156" s="82">
        <f t="shared" si="46"/>
        <v>47453</v>
      </c>
    </row>
    <row r="157" spans="2:11" outlineLevel="1">
      <c r="B157" s="74">
        <f t="shared" si="42"/>
        <v>47484</v>
      </c>
      <c r="C157" s="69">
        <v>229585.57168057561</v>
      </c>
      <c r="D157" s="70">
        <f>IF(F157&lt;&gt;0,VLOOKUP($J157,'Table 1'!$B$13:$C$33,2,FALSE)/12*1000*Study_MW,0)</f>
        <v>0</v>
      </c>
      <c r="E157" s="70">
        <f t="shared" si="43"/>
        <v>229585.57168057561</v>
      </c>
      <c r="F157" s="69">
        <v>9918.9789596430001</v>
      </c>
      <c r="G157" s="72">
        <f t="shared" si="44"/>
        <v>23.146089190700206</v>
      </c>
      <c r="I157" s="60">
        <f>I37</f>
        <v>27</v>
      </c>
      <c r="J157" s="73">
        <f t="shared" si="45"/>
        <v>2030</v>
      </c>
      <c r="K157" s="74">
        <f t="shared" si="46"/>
        <v>47484</v>
      </c>
    </row>
    <row r="158" spans="2:11" outlineLevel="1">
      <c r="B158" s="78">
        <f t="shared" si="42"/>
        <v>47515</v>
      </c>
      <c r="C158" s="75">
        <v>202602.13149502873</v>
      </c>
      <c r="D158" s="71">
        <f>IF(F158&lt;&gt;0,VLOOKUP($J158,'Table 1'!$B$13:$C$33,2,FALSE)/12*1000*Study_MW,0)</f>
        <v>0</v>
      </c>
      <c r="E158" s="71">
        <f t="shared" si="43"/>
        <v>202602.13149502873</v>
      </c>
      <c r="F158" s="75">
        <v>11101.272964674999</v>
      </c>
      <c r="G158" s="76">
        <f t="shared" si="44"/>
        <v>18.250351301127573</v>
      </c>
      <c r="I158" s="77">
        <f t="shared" si="41"/>
        <v>28</v>
      </c>
      <c r="J158" s="73">
        <f t="shared" si="45"/>
        <v>2030</v>
      </c>
      <c r="K158" s="78">
        <f t="shared" si="46"/>
        <v>47515</v>
      </c>
    </row>
    <row r="159" spans="2:11" outlineLevel="1">
      <c r="B159" s="78">
        <f t="shared" si="42"/>
        <v>47543</v>
      </c>
      <c r="C159" s="75">
        <v>309546.88666212559</v>
      </c>
      <c r="D159" s="71">
        <f>IF(F159&lt;&gt;0,VLOOKUP($J159,'Table 1'!$B$13:$C$33,2,FALSE)/12*1000*Study_MW,0)</f>
        <v>0</v>
      </c>
      <c r="E159" s="71">
        <f t="shared" si="43"/>
        <v>309546.88666212559</v>
      </c>
      <c r="F159" s="75">
        <v>17182.067002485001</v>
      </c>
      <c r="G159" s="76">
        <f t="shared" si="44"/>
        <v>18.015695470012808</v>
      </c>
      <c r="I159" s="77">
        <f t="shared" si="41"/>
        <v>29</v>
      </c>
      <c r="J159" s="73">
        <f t="shared" si="45"/>
        <v>2030</v>
      </c>
      <c r="K159" s="78">
        <f t="shared" si="46"/>
        <v>47543</v>
      </c>
    </row>
    <row r="160" spans="2:11" outlineLevel="1">
      <c r="B160" s="78">
        <f t="shared" si="42"/>
        <v>47574</v>
      </c>
      <c r="C160" s="75">
        <v>283711.52773815393</v>
      </c>
      <c r="D160" s="71">
        <f>IF(F160&lt;&gt;0,VLOOKUP($J160,'Table 1'!$B$13:$C$33,2,FALSE)/12*1000*Study_MW,0)</f>
        <v>0</v>
      </c>
      <c r="E160" s="71">
        <f t="shared" si="43"/>
        <v>283711.52773815393</v>
      </c>
      <c r="F160" s="75">
        <v>19971.297327736</v>
      </c>
      <c r="G160" s="76">
        <f t="shared" si="44"/>
        <v>14.205963843126872</v>
      </c>
      <c r="I160" s="77">
        <f t="shared" si="41"/>
        <v>30</v>
      </c>
      <c r="J160" s="73">
        <f t="shared" si="45"/>
        <v>2030</v>
      </c>
      <c r="K160" s="78">
        <f t="shared" si="46"/>
        <v>47574</v>
      </c>
    </row>
    <row r="161" spans="2:11" outlineLevel="1">
      <c r="B161" s="78">
        <f t="shared" si="42"/>
        <v>47604</v>
      </c>
      <c r="C161" s="75">
        <v>406202.84397296607</v>
      </c>
      <c r="D161" s="71">
        <f>IF(F161&lt;&gt;0,VLOOKUP($J161,'Table 1'!$B$13:$C$33,2,FALSE)/12*1000*Study_MW,0)</f>
        <v>0</v>
      </c>
      <c r="E161" s="71">
        <f t="shared" si="43"/>
        <v>406202.84397296607</v>
      </c>
      <c r="F161" s="75">
        <v>23119.21662024</v>
      </c>
      <c r="G161" s="76">
        <f t="shared" si="44"/>
        <v>17.569922486791825</v>
      </c>
      <c r="I161" s="77">
        <f t="shared" si="41"/>
        <v>31</v>
      </c>
      <c r="J161" s="73">
        <f t="shared" si="45"/>
        <v>2030</v>
      </c>
      <c r="K161" s="78">
        <f t="shared" si="46"/>
        <v>47604</v>
      </c>
    </row>
    <row r="162" spans="2:11" outlineLevel="1">
      <c r="B162" s="78">
        <f t="shared" si="42"/>
        <v>47635</v>
      </c>
      <c r="C162" s="75">
        <v>546612.19685927033</v>
      </c>
      <c r="D162" s="71">
        <f>IF(F162&lt;&gt;0,VLOOKUP($J162,'Table 1'!$B$13:$C$33,2,FALSE)/12*1000*Study_MW,0)</f>
        <v>0</v>
      </c>
      <c r="E162" s="71">
        <f t="shared" si="43"/>
        <v>546612.19685927033</v>
      </c>
      <c r="F162" s="75">
        <v>24561.385352337998</v>
      </c>
      <c r="G162" s="76">
        <f t="shared" si="44"/>
        <v>22.254941609278497</v>
      </c>
      <c r="I162" s="77">
        <f t="shared" si="41"/>
        <v>32</v>
      </c>
      <c r="J162" s="73">
        <f t="shared" si="45"/>
        <v>2030</v>
      </c>
      <c r="K162" s="78">
        <f t="shared" si="46"/>
        <v>47635</v>
      </c>
    </row>
    <row r="163" spans="2:11" outlineLevel="1">
      <c r="B163" s="78">
        <f t="shared" si="42"/>
        <v>47665</v>
      </c>
      <c r="C163" s="75">
        <v>1120494.5988085866</v>
      </c>
      <c r="D163" s="71">
        <f>IF(F163&lt;&gt;0,VLOOKUP($J163,'Table 1'!$B$13:$C$33,2,FALSE)/12*1000*Study_MW,0)</f>
        <v>0</v>
      </c>
      <c r="E163" s="71">
        <f t="shared" si="43"/>
        <v>1120494.5988085866</v>
      </c>
      <c r="F163" s="75">
        <v>22230.154258643001</v>
      </c>
      <c r="G163" s="76">
        <f t="shared" si="44"/>
        <v>50.404265565226225</v>
      </c>
      <c r="I163" s="77">
        <f t="shared" si="41"/>
        <v>33</v>
      </c>
      <c r="J163" s="73">
        <f t="shared" si="45"/>
        <v>2030</v>
      </c>
      <c r="K163" s="78">
        <f t="shared" si="46"/>
        <v>47665</v>
      </c>
    </row>
    <row r="164" spans="2:11" outlineLevel="1">
      <c r="B164" s="78">
        <f t="shared" si="42"/>
        <v>47696</v>
      </c>
      <c r="C164" s="75">
        <v>783624.75303435326</v>
      </c>
      <c r="D164" s="71">
        <f>IF(F164&lt;&gt;0,VLOOKUP($J164,'Table 1'!$B$13:$C$33,2,FALSE)/12*1000*Study_MW,0)</f>
        <v>0</v>
      </c>
      <c r="E164" s="71">
        <f t="shared" si="43"/>
        <v>783624.75303435326</v>
      </c>
      <c r="F164" s="75">
        <v>22265.336856809001</v>
      </c>
      <c r="G164" s="76">
        <f t="shared" si="44"/>
        <v>35.194830335329584</v>
      </c>
      <c r="I164" s="77">
        <f t="shared" si="41"/>
        <v>34</v>
      </c>
      <c r="J164" s="73">
        <f t="shared" si="45"/>
        <v>2030</v>
      </c>
      <c r="K164" s="78">
        <f t="shared" si="46"/>
        <v>47696</v>
      </c>
    </row>
    <row r="165" spans="2:11" outlineLevel="1">
      <c r="B165" s="78">
        <f t="shared" si="42"/>
        <v>47727</v>
      </c>
      <c r="C165" s="75">
        <v>413156.92416653037</v>
      </c>
      <c r="D165" s="71">
        <f>IF(F165&lt;&gt;0,VLOOKUP($J165,'Table 1'!$B$13:$C$33,2,FALSE)/12*1000*Study_MW,0)</f>
        <v>0</v>
      </c>
      <c r="E165" s="71">
        <f t="shared" si="43"/>
        <v>413156.92416653037</v>
      </c>
      <c r="F165" s="75">
        <v>19625.852665089998</v>
      </c>
      <c r="G165" s="76">
        <f t="shared" si="44"/>
        <v>21.051667472335819</v>
      </c>
      <c r="I165" s="77">
        <f t="shared" si="41"/>
        <v>35</v>
      </c>
      <c r="J165" s="73">
        <f t="shared" si="45"/>
        <v>2030</v>
      </c>
      <c r="K165" s="78">
        <f t="shared" si="46"/>
        <v>47727</v>
      </c>
    </row>
    <row r="166" spans="2:11" outlineLevel="1">
      <c r="B166" s="78">
        <f t="shared" si="42"/>
        <v>47757</v>
      </c>
      <c r="C166" s="75">
        <v>330221.57396361232</v>
      </c>
      <c r="D166" s="71">
        <f>IF(F166&lt;&gt;0,VLOOKUP($J166,'Table 1'!$B$13:$C$33,2,FALSE)/12*1000*Study_MW,0)</f>
        <v>0</v>
      </c>
      <c r="E166" s="71">
        <f t="shared" si="43"/>
        <v>330221.57396361232</v>
      </c>
      <c r="F166" s="75">
        <v>15910.990282552</v>
      </c>
      <c r="G166" s="76">
        <f t="shared" si="44"/>
        <v>20.754306809283484</v>
      </c>
      <c r="I166" s="77">
        <f t="shared" si="41"/>
        <v>36</v>
      </c>
      <c r="J166" s="73">
        <f t="shared" si="45"/>
        <v>2030</v>
      </c>
      <c r="K166" s="78">
        <f t="shared" si="46"/>
        <v>47757</v>
      </c>
    </row>
    <row r="167" spans="2:11" outlineLevel="1">
      <c r="B167" s="78">
        <f t="shared" si="42"/>
        <v>47788</v>
      </c>
      <c r="C167" s="75">
        <v>254032.68857702613</v>
      </c>
      <c r="D167" s="71">
        <f>IF(F167&lt;&gt;0,VLOOKUP($J167,'Table 1'!$B$13:$C$33,2,FALSE)/12*1000*Study_MW,0)</f>
        <v>0</v>
      </c>
      <c r="E167" s="71">
        <f t="shared" si="43"/>
        <v>254032.68857702613</v>
      </c>
      <c r="F167" s="75">
        <v>10716.366628043999</v>
      </c>
      <c r="G167" s="76">
        <f t="shared" si="44"/>
        <v>23.705113626127716</v>
      </c>
      <c r="I167" s="77">
        <f t="shared" si="41"/>
        <v>37</v>
      </c>
      <c r="J167" s="73">
        <f t="shared" si="45"/>
        <v>2030</v>
      </c>
      <c r="K167" s="78">
        <f t="shared" si="46"/>
        <v>47788</v>
      </c>
    </row>
    <row r="168" spans="2:11" outlineLevel="1">
      <c r="B168" s="82">
        <f t="shared" si="42"/>
        <v>47818</v>
      </c>
      <c r="C168" s="79">
        <v>243045.74869897962</v>
      </c>
      <c r="D168" s="80">
        <f>IF(F168&lt;&gt;0,VLOOKUP($J168,'Table 1'!$B$13:$C$33,2,FALSE)/12*1000*Study_MW,0)</f>
        <v>0</v>
      </c>
      <c r="E168" s="80">
        <f t="shared" si="43"/>
        <v>243045.74869897962</v>
      </c>
      <c r="F168" s="79">
        <v>8225.3388763059993</v>
      </c>
      <c r="G168" s="81">
        <f t="shared" si="44"/>
        <v>29.54841768271698</v>
      </c>
      <c r="I168" s="64">
        <f t="shared" si="41"/>
        <v>38</v>
      </c>
      <c r="J168" s="73">
        <f t="shared" si="45"/>
        <v>2030</v>
      </c>
      <c r="K168" s="82">
        <f t="shared" si="46"/>
        <v>47818</v>
      </c>
    </row>
    <row r="169" spans="2:11" outlineLevel="1">
      <c r="B169" s="74">
        <f t="shared" si="42"/>
        <v>47849</v>
      </c>
      <c r="C169" s="69">
        <v>222909.30685555935</v>
      </c>
      <c r="D169" s="70">
        <f>IF(F169&lt;&gt;0,VLOOKUP($J169,'Table 1'!$B$13:$C$33,2,FALSE)/12*1000*Study_MW,0)</f>
        <v>0</v>
      </c>
      <c r="E169" s="70">
        <f t="shared" si="43"/>
        <v>222909.30685555935</v>
      </c>
      <c r="F169" s="69">
        <v>9869.3840474730005</v>
      </c>
      <c r="G169" s="72">
        <f t="shared" si="44"/>
        <v>22.585939080223959</v>
      </c>
      <c r="I169" s="60">
        <f>I49</f>
        <v>40</v>
      </c>
      <c r="J169" s="73">
        <f t="shared" si="45"/>
        <v>2031</v>
      </c>
      <c r="K169" s="74">
        <f t="shared" si="46"/>
        <v>47849</v>
      </c>
    </row>
    <row r="170" spans="2:11" outlineLevel="1">
      <c r="B170" s="78">
        <f t="shared" si="42"/>
        <v>47880</v>
      </c>
      <c r="C170" s="75">
        <v>225097.29064393044</v>
      </c>
      <c r="D170" s="71">
        <f>IF(F170&lt;&gt;0,VLOOKUP($J170,'Table 1'!$B$13:$C$33,2,FALSE)/12*1000*Study_MW,0)</f>
        <v>0</v>
      </c>
      <c r="E170" s="71">
        <f t="shared" si="43"/>
        <v>225097.29064393044</v>
      </c>
      <c r="F170" s="75">
        <v>11045.766550793</v>
      </c>
      <c r="G170" s="76">
        <f t="shared" si="44"/>
        <v>20.378602934331454</v>
      </c>
      <c r="I170" s="77">
        <f t="shared" si="41"/>
        <v>41</v>
      </c>
      <c r="J170" s="73">
        <f t="shared" si="45"/>
        <v>2031</v>
      </c>
      <c r="K170" s="78">
        <f t="shared" si="46"/>
        <v>47880</v>
      </c>
    </row>
    <row r="171" spans="2:11" outlineLevel="1">
      <c r="B171" s="78">
        <f t="shared" si="42"/>
        <v>47908</v>
      </c>
      <c r="C171" s="75">
        <v>308543.82335793972</v>
      </c>
      <c r="D171" s="71">
        <f>IF(F171&lt;&gt;0,VLOOKUP($J171,'Table 1'!$B$13:$C$33,2,FALSE)/12*1000*Study_MW,0)</f>
        <v>0</v>
      </c>
      <c r="E171" s="71">
        <f t="shared" si="43"/>
        <v>308543.82335793972</v>
      </c>
      <c r="F171" s="75">
        <v>17096.156637282998</v>
      </c>
      <c r="G171" s="76">
        <f t="shared" si="44"/>
        <v>18.047554775268775</v>
      </c>
      <c r="I171" s="77">
        <f t="shared" si="41"/>
        <v>42</v>
      </c>
      <c r="J171" s="73">
        <f t="shared" si="45"/>
        <v>2031</v>
      </c>
      <c r="K171" s="78">
        <f t="shared" si="46"/>
        <v>47908</v>
      </c>
    </row>
    <row r="172" spans="2:11" outlineLevel="1">
      <c r="B172" s="78">
        <f t="shared" si="42"/>
        <v>47939</v>
      </c>
      <c r="C172" s="75">
        <v>295267.9484333992</v>
      </c>
      <c r="D172" s="71">
        <f>IF(F172&lt;&gt;0,VLOOKUP($J172,'Table 1'!$B$13:$C$33,2,FALSE)/12*1000*Study_MW,0)</f>
        <v>0</v>
      </c>
      <c r="E172" s="71">
        <f t="shared" si="43"/>
        <v>295267.9484333992</v>
      </c>
      <c r="F172" s="75">
        <v>19871.440824912999</v>
      </c>
      <c r="G172" s="76">
        <f t="shared" si="44"/>
        <v>14.858909881522994</v>
      </c>
      <c r="I172" s="77">
        <f t="shared" si="41"/>
        <v>43</v>
      </c>
      <c r="J172" s="73">
        <f t="shared" si="45"/>
        <v>2031</v>
      </c>
      <c r="K172" s="78">
        <f t="shared" si="46"/>
        <v>47939</v>
      </c>
    </row>
    <row r="173" spans="2:11" outlineLevel="1">
      <c r="B173" s="78">
        <f t="shared" si="42"/>
        <v>47969</v>
      </c>
      <c r="C173" s="75">
        <v>345139.56415590644</v>
      </c>
      <c r="D173" s="71">
        <f>IF(F173&lt;&gt;0,VLOOKUP($J173,'Table 1'!$B$13:$C$33,2,FALSE)/12*1000*Study_MW,0)</f>
        <v>0</v>
      </c>
      <c r="E173" s="71">
        <f t="shared" si="43"/>
        <v>345139.56415590644</v>
      </c>
      <c r="F173" s="75">
        <v>23003.62049641</v>
      </c>
      <c r="G173" s="76">
        <f t="shared" si="44"/>
        <v>15.003706230059297</v>
      </c>
      <c r="I173" s="77">
        <f t="shared" si="41"/>
        <v>44</v>
      </c>
      <c r="J173" s="73">
        <f t="shared" si="45"/>
        <v>2031</v>
      </c>
      <c r="K173" s="78">
        <f t="shared" si="46"/>
        <v>47969</v>
      </c>
    </row>
    <row r="174" spans="2:11" outlineLevel="1">
      <c r="B174" s="78">
        <f t="shared" si="42"/>
        <v>48000</v>
      </c>
      <c r="C174" s="75">
        <v>553109.92848986387</v>
      </c>
      <c r="D174" s="71">
        <f>IF(F174&lt;&gt;0,VLOOKUP($J174,'Table 1'!$B$13:$C$33,2,FALSE)/12*1000*Study_MW,0)</f>
        <v>0</v>
      </c>
      <c r="E174" s="71">
        <f t="shared" si="43"/>
        <v>553109.92848986387</v>
      </c>
      <c r="F174" s="75">
        <v>24438.578505164001</v>
      </c>
      <c r="G174" s="76">
        <f t="shared" si="44"/>
        <v>22.632655511161946</v>
      </c>
      <c r="I174" s="77">
        <f t="shared" si="41"/>
        <v>45</v>
      </c>
      <c r="J174" s="73">
        <f t="shared" si="45"/>
        <v>2031</v>
      </c>
      <c r="K174" s="78">
        <f t="shared" si="46"/>
        <v>48000</v>
      </c>
    </row>
    <row r="175" spans="2:11" outlineLevel="1">
      <c r="B175" s="78">
        <f t="shared" si="42"/>
        <v>48030</v>
      </c>
      <c r="C175" s="75">
        <v>1725278.9932051599</v>
      </c>
      <c r="D175" s="71">
        <f>IF(F175&lt;&gt;0,VLOOKUP($J175,'Table 1'!$B$13:$C$33,2,FALSE)/12*1000*Study_MW,0)</f>
        <v>0</v>
      </c>
      <c r="E175" s="71">
        <f t="shared" si="43"/>
        <v>1725278.9932051599</v>
      </c>
      <c r="F175" s="75">
        <v>22119.003342971999</v>
      </c>
      <c r="G175" s="76">
        <f t="shared" si="44"/>
        <v>77.999852274236531</v>
      </c>
      <c r="I175" s="77">
        <f t="shared" si="41"/>
        <v>46</v>
      </c>
      <c r="J175" s="73">
        <f t="shared" si="45"/>
        <v>2031</v>
      </c>
      <c r="K175" s="78">
        <f t="shared" si="46"/>
        <v>48030</v>
      </c>
    </row>
    <row r="176" spans="2:11" outlineLevel="1">
      <c r="B176" s="78">
        <f t="shared" si="42"/>
        <v>48061</v>
      </c>
      <c r="C176" s="75">
        <v>810349.93588680029</v>
      </c>
      <c r="D176" s="71">
        <f>IF(F176&lt;&gt;0,VLOOKUP($J176,'Table 1'!$B$13:$C$33,2,FALSE)/12*1000*Study_MW,0)</f>
        <v>0</v>
      </c>
      <c r="E176" s="71">
        <f t="shared" si="43"/>
        <v>810349.93588680029</v>
      </c>
      <c r="F176" s="75">
        <v>22154.010044668001</v>
      </c>
      <c r="G176" s="76">
        <f t="shared" si="44"/>
        <v>36.578025118384126</v>
      </c>
      <c r="I176" s="77">
        <f t="shared" si="41"/>
        <v>47</v>
      </c>
      <c r="J176" s="73">
        <f t="shared" si="45"/>
        <v>2031</v>
      </c>
      <c r="K176" s="78">
        <f t="shared" si="46"/>
        <v>48061</v>
      </c>
    </row>
    <row r="177" spans="2:11" outlineLevel="1">
      <c r="B177" s="78">
        <f t="shared" si="42"/>
        <v>48092</v>
      </c>
      <c r="C177" s="75">
        <v>451302.95247521996</v>
      </c>
      <c r="D177" s="71">
        <f>IF(F177&lt;&gt;0,VLOOKUP($J177,'Table 1'!$B$13:$C$33,2,FALSE)/12*1000*Study_MW,0)</f>
        <v>0</v>
      </c>
      <c r="E177" s="71">
        <f t="shared" si="43"/>
        <v>451302.95247521996</v>
      </c>
      <c r="F177" s="75">
        <v>19527.723217094001</v>
      </c>
      <c r="G177" s="76">
        <f t="shared" si="44"/>
        <v>23.110884328807082</v>
      </c>
      <c r="I177" s="77">
        <f t="shared" si="41"/>
        <v>48</v>
      </c>
      <c r="J177" s="73">
        <f t="shared" si="45"/>
        <v>2031</v>
      </c>
      <c r="K177" s="78">
        <f t="shared" si="46"/>
        <v>48092</v>
      </c>
    </row>
    <row r="178" spans="2:11" outlineLevel="1">
      <c r="B178" s="78">
        <f t="shared" si="42"/>
        <v>48122</v>
      </c>
      <c r="C178" s="75">
        <v>354083.64222291112</v>
      </c>
      <c r="D178" s="71">
        <f>IF(F178&lt;&gt;0,VLOOKUP($J178,'Table 1'!$B$13:$C$33,2,FALSE)/12*1000*Study_MW,0)</f>
        <v>0</v>
      </c>
      <c r="E178" s="71">
        <f t="shared" si="43"/>
        <v>354083.64222291112</v>
      </c>
      <c r="F178" s="75">
        <v>15831.435331535</v>
      </c>
      <c r="G178" s="76">
        <f t="shared" si="44"/>
        <v>22.365858483949573</v>
      </c>
      <c r="I178" s="77">
        <f t="shared" si="41"/>
        <v>49</v>
      </c>
      <c r="J178" s="73">
        <f t="shared" si="45"/>
        <v>2031</v>
      </c>
      <c r="K178" s="78">
        <f t="shared" si="46"/>
        <v>48122</v>
      </c>
    </row>
    <row r="179" spans="2:11" outlineLevel="1">
      <c r="B179" s="78">
        <f t="shared" si="42"/>
        <v>48153</v>
      </c>
      <c r="C179" s="75">
        <v>252024.22834464908</v>
      </c>
      <c r="D179" s="71">
        <f>IF(F179&lt;&gt;0,VLOOKUP($J179,'Table 1'!$B$13:$C$33,2,FALSE)/12*1000*Study_MW,0)</f>
        <v>0</v>
      </c>
      <c r="E179" s="71">
        <f t="shared" si="43"/>
        <v>252024.22834464908</v>
      </c>
      <c r="F179" s="75">
        <v>10662.784821376001</v>
      </c>
      <c r="G179" s="76">
        <f t="shared" si="44"/>
        <v>23.635873045042477</v>
      </c>
      <c r="I179" s="77">
        <f t="shared" si="41"/>
        <v>50</v>
      </c>
      <c r="J179" s="73">
        <f t="shared" si="45"/>
        <v>2031</v>
      </c>
      <c r="K179" s="78">
        <f t="shared" si="46"/>
        <v>48153</v>
      </c>
    </row>
    <row r="180" spans="2:11" outlineLevel="1">
      <c r="B180" s="82">
        <f t="shared" si="42"/>
        <v>48183</v>
      </c>
      <c r="C180" s="79">
        <v>244706.32000023127</v>
      </c>
      <c r="D180" s="80">
        <f>IF(F180&lt;&gt;0,VLOOKUP($J180,'Table 1'!$B$13:$C$33,2,FALSE)/12*1000*Study_MW,0)</f>
        <v>0</v>
      </c>
      <c r="E180" s="80">
        <f t="shared" si="43"/>
        <v>244706.32000023127</v>
      </c>
      <c r="F180" s="79">
        <v>8184.21222304</v>
      </c>
      <c r="G180" s="81">
        <f t="shared" si="44"/>
        <v>29.899801389722011</v>
      </c>
      <c r="I180" s="64">
        <f t="shared" si="41"/>
        <v>51</v>
      </c>
      <c r="J180" s="73">
        <f t="shared" si="45"/>
        <v>2031</v>
      </c>
      <c r="K180" s="82">
        <f t="shared" si="46"/>
        <v>48183</v>
      </c>
    </row>
    <row r="181" spans="2:11" outlineLevel="1" collapsed="1">
      <c r="B181" s="74">
        <f t="shared" si="42"/>
        <v>48214</v>
      </c>
      <c r="C181" s="69">
        <v>225700.42019504309</v>
      </c>
      <c r="D181" s="70">
        <f>IF(F181&lt;&gt;0,VLOOKUP($J181,'Table 1'!$B$13:$C$33,2,FALSE)/12*1000*Study_MW,0)</f>
        <v>0</v>
      </c>
      <c r="E181" s="70">
        <f t="shared" si="43"/>
        <v>225700.42019504309</v>
      </c>
      <c r="F181" s="69">
        <v>9820.0369692530003</v>
      </c>
      <c r="G181" s="72">
        <f t="shared" si="44"/>
        <v>22.983662984337204</v>
      </c>
      <c r="I181" s="60">
        <f>I61</f>
        <v>53</v>
      </c>
      <c r="J181" s="73">
        <f t="shared" si="45"/>
        <v>2032</v>
      </c>
      <c r="K181" s="74">
        <f t="shared" si="46"/>
        <v>48214</v>
      </c>
    </row>
    <row r="182" spans="2:11" outlineLevel="1">
      <c r="B182" s="78">
        <f t="shared" si="42"/>
        <v>48245</v>
      </c>
      <c r="C182" s="75">
        <v>217455.43565508723</v>
      </c>
      <c r="D182" s="71">
        <f>IF(F182&lt;&gt;0,VLOOKUP($J182,'Table 1'!$B$13:$C$33,2,FALSE)/12*1000*Study_MW,0)</f>
        <v>0</v>
      </c>
      <c r="E182" s="71">
        <f t="shared" si="43"/>
        <v>217455.43565508723</v>
      </c>
      <c r="F182" s="75">
        <v>11651.895648406</v>
      </c>
      <c r="G182" s="76">
        <f t="shared" si="44"/>
        <v>18.662665905769206</v>
      </c>
      <c r="I182" s="77">
        <f t="shared" si="41"/>
        <v>54</v>
      </c>
      <c r="J182" s="73">
        <f t="shared" si="45"/>
        <v>2032</v>
      </c>
      <c r="K182" s="78">
        <f t="shared" si="46"/>
        <v>48245</v>
      </c>
    </row>
    <row r="183" spans="2:11" outlineLevel="1">
      <c r="B183" s="78">
        <f t="shared" si="42"/>
        <v>48274</v>
      </c>
      <c r="C183" s="75">
        <v>273432.77950277925</v>
      </c>
      <c r="D183" s="71">
        <f>IF(F183&lt;&gt;0,VLOOKUP($J183,'Table 1'!$B$13:$C$33,2,FALSE)/12*1000*Study_MW,0)</f>
        <v>0</v>
      </c>
      <c r="E183" s="71">
        <f t="shared" si="43"/>
        <v>273432.77950277925</v>
      </c>
      <c r="F183" s="75">
        <v>17010.675874596</v>
      </c>
      <c r="G183" s="76">
        <f t="shared" si="44"/>
        <v>16.074186676563976</v>
      </c>
      <c r="I183" s="77">
        <f t="shared" si="41"/>
        <v>55</v>
      </c>
      <c r="J183" s="73">
        <f t="shared" si="45"/>
        <v>2032</v>
      </c>
      <c r="K183" s="78">
        <f t="shared" si="46"/>
        <v>48274</v>
      </c>
    </row>
    <row r="184" spans="2:11" outlineLevel="1">
      <c r="B184" s="78">
        <f t="shared" si="42"/>
        <v>48305</v>
      </c>
      <c r="C184" s="75">
        <v>302134.53888589144</v>
      </c>
      <c r="D184" s="71">
        <f>IF(F184&lt;&gt;0,VLOOKUP($J184,'Table 1'!$B$13:$C$33,2,FALSE)/12*1000*Study_MW,0)</f>
        <v>0</v>
      </c>
      <c r="E184" s="71">
        <f t="shared" si="43"/>
        <v>302134.53888589144</v>
      </c>
      <c r="F184" s="75">
        <v>19772.083557893999</v>
      </c>
      <c r="G184" s="76">
        <f t="shared" si="44"/>
        <v>15.280864963028355</v>
      </c>
      <c r="I184" s="77">
        <f t="shared" si="41"/>
        <v>56</v>
      </c>
      <c r="J184" s="73">
        <f t="shared" si="45"/>
        <v>2032</v>
      </c>
      <c r="K184" s="78">
        <f t="shared" si="46"/>
        <v>48305</v>
      </c>
    </row>
    <row r="185" spans="2:11" outlineLevel="1">
      <c r="B185" s="78">
        <f t="shared" si="42"/>
        <v>48335</v>
      </c>
      <c r="C185" s="75">
        <v>415781.20600545406</v>
      </c>
      <c r="D185" s="71">
        <f>IF(F185&lt;&gt;0,VLOOKUP($J185,'Table 1'!$B$13:$C$33,2,FALSE)/12*1000*Study_MW,0)</f>
        <v>0</v>
      </c>
      <c r="E185" s="71">
        <f t="shared" si="43"/>
        <v>415781.20600545406</v>
      </c>
      <c r="F185" s="75">
        <v>22888.602351754998</v>
      </c>
      <c r="G185" s="76">
        <f t="shared" si="44"/>
        <v>18.165425726554847</v>
      </c>
      <c r="I185" s="77">
        <f t="shared" si="41"/>
        <v>57</v>
      </c>
      <c r="J185" s="73">
        <f t="shared" si="45"/>
        <v>2032</v>
      </c>
      <c r="K185" s="78">
        <f t="shared" si="46"/>
        <v>48335</v>
      </c>
    </row>
    <row r="186" spans="2:11" outlineLevel="1">
      <c r="B186" s="78">
        <f t="shared" si="42"/>
        <v>48366</v>
      </c>
      <c r="C186" s="75">
        <v>581844.48389676213</v>
      </c>
      <c r="D186" s="71">
        <f>IF(F186&lt;&gt;0,VLOOKUP($J186,'Table 1'!$B$13:$C$33,2,FALSE)/12*1000*Study_MW,0)</f>
        <v>0</v>
      </c>
      <c r="E186" s="71">
        <f t="shared" si="43"/>
        <v>581844.48389676213</v>
      </c>
      <c r="F186" s="75">
        <v>24316.385486691001</v>
      </c>
      <c r="G186" s="76">
        <f t="shared" si="44"/>
        <v>23.928082741377043</v>
      </c>
      <c r="I186" s="77">
        <f t="shared" si="41"/>
        <v>58</v>
      </c>
      <c r="J186" s="73">
        <f t="shared" si="45"/>
        <v>2032</v>
      </c>
      <c r="K186" s="78">
        <f t="shared" si="46"/>
        <v>48366</v>
      </c>
    </row>
    <row r="187" spans="2:11" outlineLevel="1">
      <c r="B187" s="78">
        <f t="shared" si="42"/>
        <v>48396</v>
      </c>
      <c r="C187" s="75">
        <v>1446420.370759964</v>
      </c>
      <c r="D187" s="71">
        <f>IF(F187&lt;&gt;0,VLOOKUP($J187,'Table 1'!$B$13:$C$33,2,FALSE)/12*1000*Study_MW,0)</f>
        <v>0</v>
      </c>
      <c r="E187" s="71">
        <f t="shared" si="43"/>
        <v>1446420.370759964</v>
      </c>
      <c r="F187" s="75">
        <v>22008.407742436</v>
      </c>
      <c r="G187" s="76">
        <f t="shared" si="44"/>
        <v>65.721263786430882</v>
      </c>
      <c r="I187" s="77">
        <f t="shared" si="41"/>
        <v>59</v>
      </c>
      <c r="J187" s="73">
        <f t="shared" si="45"/>
        <v>2032</v>
      </c>
      <c r="K187" s="78">
        <f t="shared" si="46"/>
        <v>48396</v>
      </c>
    </row>
    <row r="188" spans="2:11" outlineLevel="1">
      <c r="B188" s="78">
        <f t="shared" si="42"/>
        <v>48427</v>
      </c>
      <c r="C188" s="75">
        <v>858784.37056684494</v>
      </c>
      <c r="D188" s="71">
        <f>IF(F188&lt;&gt;0,VLOOKUP($J188,'Table 1'!$B$13:$C$33,2,FALSE)/12*1000*Study_MW,0)</f>
        <v>0</v>
      </c>
      <c r="E188" s="71">
        <f t="shared" si="43"/>
        <v>858784.37056684494</v>
      </c>
      <c r="F188" s="75">
        <v>22043.239363876</v>
      </c>
      <c r="G188" s="76">
        <f t="shared" si="44"/>
        <v>38.959082029214038</v>
      </c>
      <c r="I188" s="77">
        <f t="shared" si="41"/>
        <v>60</v>
      </c>
      <c r="J188" s="73">
        <f t="shared" si="45"/>
        <v>2032</v>
      </c>
      <c r="K188" s="78">
        <f t="shared" si="46"/>
        <v>48427</v>
      </c>
    </row>
    <row r="189" spans="2:11" outlineLevel="1">
      <c r="B189" s="78">
        <f t="shared" si="42"/>
        <v>48458</v>
      </c>
      <c r="C189" s="75">
        <v>461603.12997418642</v>
      </c>
      <c r="D189" s="71">
        <f>IF(F189&lt;&gt;0,VLOOKUP($J189,'Table 1'!$B$13:$C$33,2,FALSE)/12*1000*Study_MW,0)</f>
        <v>0</v>
      </c>
      <c r="E189" s="71">
        <f t="shared" si="43"/>
        <v>461603.12997418642</v>
      </c>
      <c r="F189" s="75">
        <v>19430.08398231</v>
      </c>
      <c r="G189" s="76">
        <f t="shared" si="44"/>
        <v>23.757135089814852</v>
      </c>
      <c r="I189" s="77">
        <f t="shared" si="41"/>
        <v>61</v>
      </c>
      <c r="J189" s="73">
        <f t="shared" si="45"/>
        <v>2032</v>
      </c>
      <c r="K189" s="78">
        <f t="shared" si="46"/>
        <v>48458</v>
      </c>
    </row>
    <row r="190" spans="2:11" outlineLevel="1">
      <c r="B190" s="78">
        <f t="shared" si="42"/>
        <v>48488</v>
      </c>
      <c r="C190" s="75">
        <v>389685.45132949948</v>
      </c>
      <c r="D190" s="71">
        <f>IF(F190&lt;&gt;0,VLOOKUP($J190,'Table 1'!$B$13:$C$33,2,FALSE)/12*1000*Study_MW,0)</f>
        <v>0</v>
      </c>
      <c r="E190" s="71">
        <f t="shared" si="43"/>
        <v>389685.45132949948</v>
      </c>
      <c r="F190" s="75">
        <v>15752.278098088</v>
      </c>
      <c r="G190" s="76">
        <f t="shared" si="44"/>
        <v>24.73835523363438</v>
      </c>
      <c r="I190" s="77">
        <f t="shared" si="41"/>
        <v>62</v>
      </c>
      <c r="J190" s="73">
        <f t="shared" si="45"/>
        <v>2032</v>
      </c>
      <c r="K190" s="78">
        <f t="shared" si="46"/>
        <v>48488</v>
      </c>
    </row>
    <row r="191" spans="2:11" outlineLevel="1">
      <c r="B191" s="78">
        <f t="shared" si="42"/>
        <v>48519</v>
      </c>
      <c r="C191" s="75">
        <v>270063.84673452377</v>
      </c>
      <c r="D191" s="71">
        <f>IF(F191&lt;&gt;0,VLOOKUP($J191,'Table 1'!$B$13:$C$33,2,FALSE)/12*1000*Study_MW,0)</f>
        <v>0</v>
      </c>
      <c r="E191" s="71">
        <f t="shared" si="43"/>
        <v>270063.84673452377</v>
      </c>
      <c r="F191" s="75">
        <v>10609.470912450999</v>
      </c>
      <c r="G191" s="76">
        <f t="shared" si="44"/>
        <v>25.45497781775186</v>
      </c>
      <c r="I191" s="77">
        <f t="shared" si="41"/>
        <v>63</v>
      </c>
      <c r="J191" s="73">
        <f t="shared" si="45"/>
        <v>2032</v>
      </c>
      <c r="K191" s="78">
        <f t="shared" si="46"/>
        <v>48519</v>
      </c>
    </row>
    <row r="192" spans="2:11" outlineLevel="1">
      <c r="B192" s="82">
        <f t="shared" si="42"/>
        <v>48549</v>
      </c>
      <c r="C192" s="79">
        <v>255428.83192181587</v>
      </c>
      <c r="D192" s="80">
        <f>IF(F192&lt;&gt;0,VLOOKUP($J192,'Table 1'!$B$13:$C$33,2,FALSE)/12*1000*Study_MW,0)</f>
        <v>0</v>
      </c>
      <c r="E192" s="80">
        <f t="shared" si="43"/>
        <v>255428.83192181587</v>
      </c>
      <c r="F192" s="79">
        <v>8143.2911255689996</v>
      </c>
      <c r="G192" s="81">
        <f t="shared" si="44"/>
        <v>31.366781315210339</v>
      </c>
      <c r="I192" s="64">
        <f t="shared" si="41"/>
        <v>64</v>
      </c>
      <c r="J192" s="73">
        <f t="shared" si="45"/>
        <v>2032</v>
      </c>
      <c r="K192" s="82">
        <f t="shared" si="46"/>
        <v>48549</v>
      </c>
    </row>
    <row r="193" spans="2:11">
      <c r="B193" s="74">
        <f t="shared" si="42"/>
        <v>48580</v>
      </c>
      <c r="C193" s="69">
        <v>232543.35214239359</v>
      </c>
      <c r="D193" s="70">
        <f>IF(F193&lt;&gt;0,VLOOKUP($J193,'Table 1'!$B$13:$C$33,2,FALSE)/12*1000*Study_MW,0)</f>
        <v>0</v>
      </c>
      <c r="E193" s="70">
        <f t="shared" ref="E193:E216" si="47">C193+D193</f>
        <v>232543.35214239359</v>
      </c>
      <c r="F193" s="69">
        <v>9770.9368781979992</v>
      </c>
      <c r="G193" s="72">
        <f t="shared" ref="G193:G216" si="48">IF(ISNUMBER($F193),E193/$F193,"")</f>
        <v>23.799493850100514</v>
      </c>
      <c r="I193" s="60">
        <f>I73</f>
        <v>66</v>
      </c>
      <c r="J193" s="73">
        <f t="shared" ref="J193:J216" si="49">YEAR(B193)</f>
        <v>2033</v>
      </c>
      <c r="K193" s="74">
        <f t="shared" ref="K193:K216" si="50">IF(ISNUMBER(F193),IF(F193&lt;&gt;0,B193,""),"")</f>
        <v>48580</v>
      </c>
    </row>
    <row r="194" spans="2:11">
      <c r="B194" s="78">
        <f t="shared" si="42"/>
        <v>48611</v>
      </c>
      <c r="C194" s="75">
        <v>247522.98903259635</v>
      </c>
      <c r="D194" s="71">
        <f>IF(F194&lt;&gt;0,VLOOKUP($J194,'Table 1'!$B$13:$C$33,2,FALSE)/12*1000*Study_MW,0)</f>
        <v>0</v>
      </c>
      <c r="E194" s="71">
        <f t="shared" si="47"/>
        <v>247522.98903259635</v>
      </c>
      <c r="F194" s="75">
        <v>10935.585025910001</v>
      </c>
      <c r="G194" s="76">
        <f t="shared" si="48"/>
        <v>22.634636230812792</v>
      </c>
      <c r="I194" s="77">
        <f t="shared" si="41"/>
        <v>67</v>
      </c>
      <c r="J194" s="73">
        <f t="shared" si="49"/>
        <v>2033</v>
      </c>
      <c r="K194" s="78">
        <f t="shared" si="50"/>
        <v>48611</v>
      </c>
    </row>
    <row r="195" spans="2:11">
      <c r="B195" s="78">
        <f t="shared" si="42"/>
        <v>48639</v>
      </c>
      <c r="C195" s="75">
        <v>325275.14721059799</v>
      </c>
      <c r="D195" s="71">
        <f>IF(F195&lt;&gt;0,VLOOKUP($J195,'Table 1'!$B$13:$C$33,2,FALSE)/12*1000*Study_MW,0)</f>
        <v>0</v>
      </c>
      <c r="E195" s="71">
        <f t="shared" si="47"/>
        <v>325275.14721059799</v>
      </c>
      <c r="F195" s="75">
        <v>16925.622464084001</v>
      </c>
      <c r="G195" s="76">
        <f t="shared" si="48"/>
        <v>19.217913426866783</v>
      </c>
      <c r="I195" s="77">
        <f t="shared" si="41"/>
        <v>68</v>
      </c>
      <c r="J195" s="73">
        <f t="shared" si="49"/>
        <v>2033</v>
      </c>
      <c r="K195" s="78">
        <f t="shared" si="50"/>
        <v>48639</v>
      </c>
    </row>
    <row r="196" spans="2:11">
      <c r="B196" s="78">
        <f t="shared" si="42"/>
        <v>48670</v>
      </c>
      <c r="C196" s="75">
        <v>294793.29524920881</v>
      </c>
      <c r="D196" s="71">
        <f>IF(F196&lt;&gt;0,VLOOKUP($J196,'Table 1'!$B$13:$C$33,2,FALSE)/12*1000*Study_MW,0)</f>
        <v>0</v>
      </c>
      <c r="E196" s="71">
        <f t="shared" si="47"/>
        <v>294793.29524920881</v>
      </c>
      <c r="F196" s="75">
        <v>19673.223193246999</v>
      </c>
      <c r="G196" s="76">
        <f t="shared" si="48"/>
        <v>14.984494017757045</v>
      </c>
      <c r="I196" s="77">
        <f t="shared" si="41"/>
        <v>69</v>
      </c>
      <c r="J196" s="73">
        <f t="shared" si="49"/>
        <v>2033</v>
      </c>
      <c r="K196" s="78">
        <f t="shared" si="50"/>
        <v>48670</v>
      </c>
    </row>
    <row r="197" spans="2:11">
      <c r="B197" s="78">
        <f t="shared" si="42"/>
        <v>48700</v>
      </c>
      <c r="C197" s="75">
        <v>393093.62470552325</v>
      </c>
      <c r="D197" s="71">
        <f>IF(F197&lt;&gt;0,VLOOKUP($J197,'Table 1'!$B$13:$C$33,2,FALSE)/12*1000*Study_MW,0)</f>
        <v>0</v>
      </c>
      <c r="E197" s="71">
        <f t="shared" si="47"/>
        <v>393093.62470552325</v>
      </c>
      <c r="F197" s="75">
        <v>22774.159315730001</v>
      </c>
      <c r="G197" s="76">
        <f t="shared" si="48"/>
        <v>17.260510882349688</v>
      </c>
      <c r="I197" s="77">
        <f t="shared" si="41"/>
        <v>70</v>
      </c>
      <c r="J197" s="73">
        <f t="shared" si="49"/>
        <v>2033</v>
      </c>
      <c r="K197" s="78">
        <f t="shared" si="50"/>
        <v>48700</v>
      </c>
    </row>
    <row r="198" spans="2:11">
      <c r="B198" s="78">
        <f t="shared" si="42"/>
        <v>48731</v>
      </c>
      <c r="C198" s="75">
        <v>613499.30457088351</v>
      </c>
      <c r="D198" s="71">
        <f>IF(F198&lt;&gt;0,VLOOKUP($J198,'Table 1'!$B$13:$C$33,2,FALSE)/12*1000*Study_MW,0)</f>
        <v>0</v>
      </c>
      <c r="E198" s="71">
        <f t="shared" si="47"/>
        <v>613499.30457088351</v>
      </c>
      <c r="F198" s="75">
        <v>24194.803632618001</v>
      </c>
      <c r="G198" s="76">
        <f t="shared" si="48"/>
        <v>25.356655664020355</v>
      </c>
      <c r="I198" s="77">
        <f t="shared" ref="I198:I204" si="51">I78</f>
        <v>71</v>
      </c>
      <c r="J198" s="73">
        <f t="shared" si="49"/>
        <v>2033</v>
      </c>
      <c r="K198" s="78">
        <f t="shared" si="50"/>
        <v>48731</v>
      </c>
    </row>
    <row r="199" spans="2:11">
      <c r="B199" s="78">
        <f t="shared" si="42"/>
        <v>48761</v>
      </c>
      <c r="C199" s="75">
        <v>1306013.9931197166</v>
      </c>
      <c r="D199" s="71">
        <f>IF(F199&lt;&gt;0,VLOOKUP($J199,'Table 1'!$B$13:$C$33,2,FALSE)/12*1000*Study_MW,0)</f>
        <v>0</v>
      </c>
      <c r="E199" s="71">
        <f t="shared" si="47"/>
        <v>1306013.9931197166</v>
      </c>
      <c r="F199" s="75">
        <v>21898.365986641002</v>
      </c>
      <c r="G199" s="76">
        <f t="shared" si="48"/>
        <v>59.63979202450286</v>
      </c>
      <c r="I199" s="77">
        <f t="shared" si="51"/>
        <v>72</v>
      </c>
      <c r="J199" s="73">
        <f t="shared" si="49"/>
        <v>2033</v>
      </c>
      <c r="K199" s="78">
        <f t="shared" si="50"/>
        <v>48761</v>
      </c>
    </row>
    <row r="200" spans="2:11">
      <c r="B200" s="78">
        <f t="shared" si="42"/>
        <v>48792</v>
      </c>
      <c r="C200" s="75">
        <v>1025876.2180060148</v>
      </c>
      <c r="D200" s="71">
        <f>IF(F200&lt;&gt;0,VLOOKUP($J200,'Table 1'!$B$13:$C$33,2,FALSE)/12*1000*Study_MW,0)</f>
        <v>0</v>
      </c>
      <c r="E200" s="71">
        <f t="shared" si="47"/>
        <v>1025876.2180060148</v>
      </c>
      <c r="F200" s="75">
        <v>21933.023464372</v>
      </c>
      <c r="G200" s="76">
        <f t="shared" si="48"/>
        <v>46.773132745353053</v>
      </c>
      <c r="I200" s="77">
        <f t="shared" si="51"/>
        <v>73</v>
      </c>
      <c r="J200" s="73">
        <f t="shared" si="49"/>
        <v>2033</v>
      </c>
      <c r="K200" s="78">
        <f t="shared" si="50"/>
        <v>48792</v>
      </c>
    </row>
    <row r="201" spans="2:11">
      <c r="B201" s="78">
        <f t="shared" si="42"/>
        <v>48823</v>
      </c>
      <c r="C201" s="75">
        <v>502351.8010944128</v>
      </c>
      <c r="D201" s="71">
        <f>IF(F201&lt;&gt;0,VLOOKUP($J201,'Table 1'!$B$13:$C$33,2,FALSE)/12*1000*Study_MW,0)</f>
        <v>0</v>
      </c>
      <c r="E201" s="71">
        <f t="shared" si="47"/>
        <v>502351.8010944128</v>
      </c>
      <c r="F201" s="75">
        <v>19332.933901965</v>
      </c>
      <c r="G201" s="76">
        <f t="shared" si="48"/>
        <v>25.984250690649379</v>
      </c>
      <c r="I201" s="77">
        <f t="shared" si="51"/>
        <v>74</v>
      </c>
      <c r="J201" s="73">
        <f t="shared" si="49"/>
        <v>2033</v>
      </c>
      <c r="K201" s="78">
        <f t="shared" si="50"/>
        <v>48823</v>
      </c>
    </row>
    <row r="202" spans="2:11">
      <c r="B202" s="78">
        <f t="shared" si="42"/>
        <v>48853</v>
      </c>
      <c r="C202" s="75">
        <v>366860.55679386854</v>
      </c>
      <c r="D202" s="71">
        <f>IF(F202&lt;&gt;0,VLOOKUP($J202,'Table 1'!$B$13:$C$33,2,FALSE)/12*1000*Study_MW,0)</f>
        <v>0</v>
      </c>
      <c r="E202" s="71">
        <f t="shared" si="47"/>
        <v>366860.55679386854</v>
      </c>
      <c r="F202" s="75">
        <v>15673.516739963001</v>
      </c>
      <c r="G202" s="76">
        <f t="shared" si="48"/>
        <v>23.406397101582101</v>
      </c>
      <c r="I202" s="77">
        <f t="shared" si="51"/>
        <v>75</v>
      </c>
      <c r="J202" s="73">
        <f t="shared" si="49"/>
        <v>2033</v>
      </c>
      <c r="K202" s="78">
        <f t="shared" si="50"/>
        <v>48853</v>
      </c>
    </row>
    <row r="203" spans="2:11">
      <c r="B203" s="78">
        <f t="shared" si="42"/>
        <v>48884</v>
      </c>
      <c r="C203" s="75">
        <v>267564.0719691515</v>
      </c>
      <c r="D203" s="71">
        <f>IF(F203&lt;&gt;0,VLOOKUP($J203,'Table 1'!$B$13:$C$33,2,FALSE)/12*1000*Study_MW,0)</f>
        <v>0</v>
      </c>
      <c r="E203" s="71">
        <f t="shared" si="47"/>
        <v>267564.0719691515</v>
      </c>
      <c r="F203" s="75">
        <v>10556.423568218001</v>
      </c>
      <c r="G203" s="76">
        <f t="shared" si="48"/>
        <v>25.346090959697843</v>
      </c>
      <c r="I203" s="77">
        <f t="shared" si="51"/>
        <v>76</v>
      </c>
      <c r="J203" s="73">
        <f t="shared" si="49"/>
        <v>2033</v>
      </c>
      <c r="K203" s="78">
        <f t="shared" si="50"/>
        <v>48884</v>
      </c>
    </row>
    <row r="204" spans="2:11">
      <c r="B204" s="82">
        <f t="shared" si="42"/>
        <v>48914</v>
      </c>
      <c r="C204" s="79">
        <v>291681.91838660836</v>
      </c>
      <c r="D204" s="80">
        <f>IF(F204&lt;&gt;0,VLOOKUP($J204,'Table 1'!$B$13:$C$33,2,FALSE)/12*1000*Study_MW,0)</f>
        <v>0</v>
      </c>
      <c r="E204" s="80">
        <f t="shared" si="47"/>
        <v>291681.91838660836</v>
      </c>
      <c r="F204" s="79">
        <v>8102.5746728639997</v>
      </c>
      <c r="G204" s="81">
        <f t="shared" si="48"/>
        <v>35.998670813052584</v>
      </c>
      <c r="I204" s="64">
        <f t="shared" si="51"/>
        <v>77</v>
      </c>
      <c r="J204" s="73">
        <f t="shared" si="49"/>
        <v>2033</v>
      </c>
      <c r="K204" s="82">
        <f t="shared" si="50"/>
        <v>48914</v>
      </c>
    </row>
    <row r="205" spans="2:11" outlineLevel="1">
      <c r="B205" s="74">
        <f t="shared" si="42"/>
        <v>48945</v>
      </c>
      <c r="C205" s="69">
        <v>256134.15693947673</v>
      </c>
      <c r="D205" s="70">
        <f>IF(F205&lt;&gt;0,VLOOKUP($J205,'Table 1'!$B$13:$C$33,2,FALSE)/12*1000*Study_MW,0)</f>
        <v>0</v>
      </c>
      <c r="E205" s="70">
        <f t="shared" si="47"/>
        <v>256134.15693947673</v>
      </c>
      <c r="F205" s="69">
        <v>9722.0821058349993</v>
      </c>
      <c r="G205" s="72">
        <f t="shared" si="48"/>
        <v>26.345607263052234</v>
      </c>
      <c r="I205" s="60">
        <f>I85</f>
        <v>79</v>
      </c>
      <c r="J205" s="73">
        <f t="shared" si="49"/>
        <v>2034</v>
      </c>
      <c r="K205" s="74">
        <f t="shared" si="50"/>
        <v>48945</v>
      </c>
    </row>
    <row r="206" spans="2:11" outlineLevel="1">
      <c r="B206" s="78">
        <f t="shared" ref="B206:B263" si="52">EDATE(B205,1)</f>
        <v>48976</v>
      </c>
      <c r="C206" s="75">
        <v>277283.69208565354</v>
      </c>
      <c r="D206" s="71">
        <f>IF(F206&lt;&gt;0,VLOOKUP($J206,'Table 1'!$B$13:$C$33,2,FALSE)/12*1000*Study_MW,0)</f>
        <v>0</v>
      </c>
      <c r="E206" s="71">
        <f t="shared" si="47"/>
        <v>277283.69208565354</v>
      </c>
      <c r="F206" s="75">
        <v>10880.907094991</v>
      </c>
      <c r="G206" s="76">
        <f t="shared" si="48"/>
        <v>25.483508834782757</v>
      </c>
      <c r="I206" s="77">
        <f t="shared" ref="I206:I240" si="53">I86</f>
        <v>80</v>
      </c>
      <c r="J206" s="73">
        <f t="shared" si="49"/>
        <v>2034</v>
      </c>
      <c r="K206" s="78">
        <f t="shared" si="50"/>
        <v>48976</v>
      </c>
    </row>
    <row r="207" spans="2:11" outlineLevel="1">
      <c r="B207" s="78">
        <f t="shared" si="52"/>
        <v>49004</v>
      </c>
      <c r="C207" s="75">
        <v>307529.23505675793</v>
      </c>
      <c r="D207" s="71">
        <f>IF(F207&lt;&gt;0,VLOOKUP($J207,'Table 1'!$B$13:$C$33,2,FALSE)/12*1000*Study_MW,0)</f>
        <v>0</v>
      </c>
      <c r="E207" s="71">
        <f t="shared" si="47"/>
        <v>307529.23505675793</v>
      </c>
      <c r="F207" s="75">
        <v>16840.994447208999</v>
      </c>
      <c r="G207" s="76">
        <f t="shared" si="48"/>
        <v>18.260752713906612</v>
      </c>
      <c r="I207" s="77">
        <f t="shared" si="53"/>
        <v>81</v>
      </c>
      <c r="J207" s="73">
        <f t="shared" si="49"/>
        <v>2034</v>
      </c>
      <c r="K207" s="78">
        <f t="shared" si="50"/>
        <v>49004</v>
      </c>
    </row>
    <row r="208" spans="2:11" outlineLevel="1">
      <c r="B208" s="78">
        <f t="shared" si="52"/>
        <v>49035</v>
      </c>
      <c r="C208" s="75">
        <v>317264.95605441928</v>
      </c>
      <c r="D208" s="71">
        <f>IF(F208&lt;&gt;0,VLOOKUP($J208,'Table 1'!$B$13:$C$33,2,FALSE)/12*1000*Study_MW,0)</f>
        <v>0</v>
      </c>
      <c r="E208" s="71">
        <f t="shared" si="47"/>
        <v>317264.95605441928</v>
      </c>
      <c r="F208" s="75">
        <v>19574.857037596001</v>
      </c>
      <c r="G208" s="76">
        <f t="shared" si="48"/>
        <v>16.207778960789938</v>
      </c>
      <c r="I208" s="77">
        <f t="shared" si="53"/>
        <v>82</v>
      </c>
      <c r="J208" s="73">
        <f t="shared" si="49"/>
        <v>2034</v>
      </c>
      <c r="K208" s="78">
        <f t="shared" si="50"/>
        <v>49035</v>
      </c>
    </row>
    <row r="209" spans="2:13" outlineLevel="1">
      <c r="B209" s="78">
        <f t="shared" si="52"/>
        <v>49065</v>
      </c>
      <c r="C209" s="75">
        <v>347172.49317422509</v>
      </c>
      <c r="D209" s="71">
        <f>IF(F209&lt;&gt;0,VLOOKUP($J209,'Table 1'!$B$13:$C$33,2,FALSE)/12*1000*Study_MW,0)</f>
        <v>0</v>
      </c>
      <c r="E209" s="71">
        <f t="shared" si="47"/>
        <v>347172.49317422509</v>
      </c>
      <c r="F209" s="75">
        <v>22660.288648558999</v>
      </c>
      <c r="G209" s="76">
        <f t="shared" si="48"/>
        <v>15.320744521773879</v>
      </c>
      <c r="I209" s="77">
        <f t="shared" si="53"/>
        <v>83</v>
      </c>
      <c r="J209" s="73">
        <f t="shared" si="49"/>
        <v>2034</v>
      </c>
      <c r="K209" s="78">
        <f t="shared" si="50"/>
        <v>49065</v>
      </c>
    </row>
    <row r="210" spans="2:13" outlineLevel="1">
      <c r="B210" s="78">
        <f t="shared" si="52"/>
        <v>49096</v>
      </c>
      <c r="C210" s="75">
        <v>620935.44181290269</v>
      </c>
      <c r="D210" s="71">
        <f>IF(F210&lt;&gt;0,VLOOKUP($J210,'Table 1'!$B$13:$C$33,2,FALSE)/12*1000*Study_MW,0)</f>
        <v>0</v>
      </c>
      <c r="E210" s="71">
        <f t="shared" si="47"/>
        <v>620935.44181290269</v>
      </c>
      <c r="F210" s="75">
        <v>24073.829498447001</v>
      </c>
      <c r="G210" s="76">
        <f t="shared" si="48"/>
        <v>25.792965005960482</v>
      </c>
      <c r="I210" s="77">
        <f t="shared" si="53"/>
        <v>84</v>
      </c>
      <c r="J210" s="73">
        <f t="shared" si="49"/>
        <v>2034</v>
      </c>
      <c r="K210" s="78">
        <f t="shared" si="50"/>
        <v>49096</v>
      </c>
    </row>
    <row r="211" spans="2:13" outlineLevel="1">
      <c r="B211" s="78">
        <f t="shared" si="52"/>
        <v>49126</v>
      </c>
      <c r="C211" s="75">
        <v>1326008.8392998576</v>
      </c>
      <c r="D211" s="71">
        <f>IF(F211&lt;&gt;0,VLOOKUP($J211,'Table 1'!$B$13:$C$33,2,FALSE)/12*1000*Study_MW,0)</f>
        <v>0</v>
      </c>
      <c r="E211" s="71">
        <f t="shared" si="47"/>
        <v>1326008.8392998576</v>
      </c>
      <c r="F211" s="75">
        <v>21788.873778583999</v>
      </c>
      <c r="G211" s="76">
        <f t="shared" si="48"/>
        <v>60.857153645232209</v>
      </c>
      <c r="I211" s="77">
        <f t="shared" si="53"/>
        <v>85</v>
      </c>
      <c r="J211" s="73">
        <f t="shared" si="49"/>
        <v>2034</v>
      </c>
      <c r="K211" s="78">
        <f t="shared" si="50"/>
        <v>49126</v>
      </c>
    </row>
    <row r="212" spans="2:13" outlineLevel="1">
      <c r="B212" s="78">
        <f t="shared" si="52"/>
        <v>49157</v>
      </c>
      <c r="C212" s="75">
        <v>1021229.4196520746</v>
      </c>
      <c r="D212" s="71">
        <f>IF(F212&lt;&gt;0,VLOOKUP($J212,'Table 1'!$B$13:$C$33,2,FALSE)/12*1000*Study_MW,0)</f>
        <v>0</v>
      </c>
      <c r="E212" s="71">
        <f t="shared" si="47"/>
        <v>1021229.4196520746</v>
      </c>
      <c r="F212" s="75">
        <v>21823.358054156</v>
      </c>
      <c r="G212" s="76">
        <f t="shared" si="48"/>
        <v>46.79524650229498</v>
      </c>
      <c r="I212" s="77">
        <f t="shared" si="53"/>
        <v>86</v>
      </c>
      <c r="J212" s="73">
        <f t="shared" si="49"/>
        <v>2034</v>
      </c>
      <c r="K212" s="78">
        <f t="shared" si="50"/>
        <v>49157</v>
      </c>
    </row>
    <row r="213" spans="2:13" outlineLevel="1">
      <c r="B213" s="78">
        <f t="shared" si="52"/>
        <v>49188</v>
      </c>
      <c r="C213" s="75">
        <v>491717.47135213017</v>
      </c>
      <c r="D213" s="71">
        <f>IF(F213&lt;&gt;0,VLOOKUP($J213,'Table 1'!$B$13:$C$33,2,FALSE)/12*1000*Study_MW,0)</f>
        <v>0</v>
      </c>
      <c r="E213" s="71">
        <f t="shared" si="47"/>
        <v>491717.47135213017</v>
      </c>
      <c r="F213" s="75">
        <v>19236.268859808999</v>
      </c>
      <c r="G213" s="76">
        <f t="shared" si="48"/>
        <v>25.561998271894218</v>
      </c>
      <c r="I213" s="77">
        <f t="shared" si="53"/>
        <v>87</v>
      </c>
      <c r="J213" s="73">
        <f t="shared" si="49"/>
        <v>2034</v>
      </c>
      <c r="K213" s="78">
        <f t="shared" si="50"/>
        <v>49188</v>
      </c>
    </row>
    <row r="214" spans="2:13" outlineLevel="1">
      <c r="B214" s="78">
        <f t="shared" si="52"/>
        <v>49218</v>
      </c>
      <c r="C214" s="75">
        <v>367266.1781424582</v>
      </c>
      <c r="D214" s="71">
        <f>IF(F214&lt;&gt;0,VLOOKUP($J214,'Table 1'!$B$13:$C$33,2,FALSE)/12*1000*Study_MW,0)</f>
        <v>0</v>
      </c>
      <c r="E214" s="71">
        <f t="shared" si="47"/>
        <v>367266.1781424582</v>
      </c>
      <c r="F214" s="75">
        <v>15595.149173010999</v>
      </c>
      <c r="G214" s="76">
        <f t="shared" si="48"/>
        <v>23.550026618408364</v>
      </c>
      <c r="I214" s="77">
        <f t="shared" si="53"/>
        <v>88</v>
      </c>
      <c r="J214" s="73">
        <f t="shared" si="49"/>
        <v>2034</v>
      </c>
      <c r="K214" s="78">
        <f t="shared" si="50"/>
        <v>49218</v>
      </c>
    </row>
    <row r="215" spans="2:13" outlineLevel="1">
      <c r="B215" s="78">
        <f t="shared" si="52"/>
        <v>49249</v>
      </c>
      <c r="C215" s="75">
        <v>275870.70932513475</v>
      </c>
      <c r="D215" s="71">
        <f>IF(F215&lt;&gt;0,VLOOKUP($J215,'Table 1'!$B$13:$C$33,2,FALSE)/12*1000*Study_MW,0)</f>
        <v>0</v>
      </c>
      <c r="E215" s="71">
        <f t="shared" si="47"/>
        <v>275870.70932513475</v>
      </c>
      <c r="F215" s="75">
        <v>10503.641427840999</v>
      </c>
      <c r="G215" s="76">
        <f t="shared" si="48"/>
        <v>26.264292361876578</v>
      </c>
      <c r="I215" s="77">
        <f t="shared" si="53"/>
        <v>89</v>
      </c>
      <c r="J215" s="73">
        <f t="shared" si="49"/>
        <v>2034</v>
      </c>
      <c r="K215" s="78">
        <f t="shared" si="50"/>
        <v>49249</v>
      </c>
    </row>
    <row r="216" spans="2:13" outlineLevel="1">
      <c r="B216" s="82">
        <f t="shared" si="52"/>
        <v>49279</v>
      </c>
      <c r="C216" s="79">
        <v>289335.69641789794</v>
      </c>
      <c r="D216" s="80">
        <f>IF(F216&lt;&gt;0,VLOOKUP($J216,'Table 1'!$B$13:$C$33,2,FALSE)/12*1000*Study_MW,0)</f>
        <v>0</v>
      </c>
      <c r="E216" s="80">
        <f t="shared" si="47"/>
        <v>289335.69641789794</v>
      </c>
      <c r="F216" s="79">
        <v>8062.0617895280002</v>
      </c>
      <c r="G216" s="81">
        <f t="shared" si="48"/>
        <v>35.888548608461775</v>
      </c>
      <c r="I216" s="64">
        <f t="shared" si="53"/>
        <v>90</v>
      </c>
      <c r="J216" s="73">
        <f t="shared" si="49"/>
        <v>2034</v>
      </c>
      <c r="K216" s="82">
        <f t="shared" si="50"/>
        <v>49279</v>
      </c>
    </row>
    <row r="217" spans="2:13" outlineLevel="1">
      <c r="B217" s="74">
        <f t="shared" si="52"/>
        <v>49310</v>
      </c>
      <c r="C217" s="69">
        <v>263455.15552201867</v>
      </c>
      <c r="D217" s="70">
        <f>IF(F217&lt;&gt;0,VLOOKUP($J217,'Table 1'!$B$13:$C$33,2,FALSE)/12*1000*Study_MW,0)</f>
        <v>0</v>
      </c>
      <c r="E217" s="70">
        <f t="shared" ref="E217:E240" si="54">C217+D217</f>
        <v>263455.15552201867</v>
      </c>
      <c r="F217" s="69">
        <v>9673.4718024920003</v>
      </c>
      <c r="G217" s="72">
        <f t="shared" ref="G217:G240" si="55">IF(ISNUMBER($F217),E217/$F217,"")</f>
        <v>27.234808856748774</v>
      </c>
      <c r="I217" s="60">
        <f>I97</f>
        <v>92</v>
      </c>
      <c r="J217" s="73">
        <f t="shared" ref="J217:J240" si="56">YEAR(B217)</f>
        <v>2035</v>
      </c>
      <c r="K217" s="74">
        <f t="shared" ref="K217:K240" si="57">IF(ISNUMBER(F217),IF(F217&lt;&gt;0,B217,""),"")</f>
        <v>49310</v>
      </c>
      <c r="M217" s="41">
        <v>0.02</v>
      </c>
    </row>
    <row r="218" spans="2:13" outlineLevel="1">
      <c r="B218" s="78">
        <f t="shared" si="52"/>
        <v>49341</v>
      </c>
      <c r="C218" s="75">
        <v>274866.22558262944</v>
      </c>
      <c r="D218" s="71">
        <f>IF(F218&lt;&gt;0,VLOOKUP($J218,'Table 1'!$B$13:$C$33,2,FALSE)/12*1000*Study_MW,0)</f>
        <v>0</v>
      </c>
      <c r="E218" s="71">
        <f t="shared" si="54"/>
        <v>274866.22558262944</v>
      </c>
      <c r="F218" s="75">
        <v>10826.502581758999</v>
      </c>
      <c r="G218" s="76">
        <f t="shared" si="55"/>
        <v>25.388275069156403</v>
      </c>
      <c r="I218" s="77">
        <f t="shared" si="53"/>
        <v>93</v>
      </c>
      <c r="J218" s="73">
        <f t="shared" si="56"/>
        <v>2035</v>
      </c>
      <c r="K218" s="78">
        <f t="shared" si="57"/>
        <v>49341</v>
      </c>
      <c r="M218" s="41">
        <v>0.02</v>
      </c>
    </row>
    <row r="219" spans="2:13" outlineLevel="1">
      <c r="B219" s="78">
        <f t="shared" si="52"/>
        <v>49369</v>
      </c>
      <c r="C219" s="75">
        <v>308948.87294524908</v>
      </c>
      <c r="D219" s="71">
        <f>IF(F219&lt;&gt;0,VLOOKUP($J219,'Table 1'!$B$13:$C$33,2,FALSE)/12*1000*Study_MW,0)</f>
        <v>0</v>
      </c>
      <c r="E219" s="71">
        <f t="shared" si="54"/>
        <v>308948.87294524908</v>
      </c>
      <c r="F219" s="75">
        <v>16756.789482550001</v>
      </c>
      <c r="G219" s="76">
        <f t="shared" si="55"/>
        <v>18.437235442205612</v>
      </c>
      <c r="I219" s="77">
        <f t="shared" si="53"/>
        <v>94</v>
      </c>
      <c r="J219" s="73">
        <f t="shared" si="56"/>
        <v>2035</v>
      </c>
      <c r="K219" s="78">
        <f t="shared" si="57"/>
        <v>49369</v>
      </c>
      <c r="M219" s="41">
        <v>0.02</v>
      </c>
    </row>
    <row r="220" spans="2:13" outlineLevel="1">
      <c r="B220" s="78">
        <f t="shared" si="52"/>
        <v>49400</v>
      </c>
      <c r="C220" s="75">
        <v>289299.19215595722</v>
      </c>
      <c r="D220" s="71">
        <f>IF(F220&lt;&gt;0,VLOOKUP($J220,'Table 1'!$B$13:$C$33,2,FALSE)/12*1000*Study_MW,0)</f>
        <v>0</v>
      </c>
      <c r="E220" s="71">
        <f t="shared" si="54"/>
        <v>289299.19215595722</v>
      </c>
      <c r="F220" s="75">
        <v>19476.982747385999</v>
      </c>
      <c r="G220" s="76">
        <f t="shared" si="55"/>
        <v>14.853388530869033</v>
      </c>
      <c r="I220" s="77">
        <f t="shared" si="53"/>
        <v>95</v>
      </c>
      <c r="J220" s="73">
        <f t="shared" si="56"/>
        <v>2035</v>
      </c>
      <c r="K220" s="78">
        <f t="shared" si="57"/>
        <v>49400</v>
      </c>
      <c r="M220" s="41">
        <v>0.02</v>
      </c>
    </row>
    <row r="221" spans="2:13" outlineLevel="1">
      <c r="B221" s="78">
        <f t="shared" si="52"/>
        <v>49430</v>
      </c>
      <c r="C221" s="75">
        <v>433606.1801302731</v>
      </c>
      <c r="D221" s="71">
        <f>IF(F221&lt;&gt;0,VLOOKUP($J221,'Table 1'!$B$13:$C$33,2,FALSE)/12*1000*Study_MW,0)</f>
        <v>0</v>
      </c>
      <c r="E221" s="71">
        <f t="shared" si="54"/>
        <v>433606.1801302731</v>
      </c>
      <c r="F221" s="75">
        <v>22546.987123285999</v>
      </c>
      <c r="G221" s="76">
        <f t="shared" si="55"/>
        <v>19.2312248975587</v>
      </c>
      <c r="I221" s="77">
        <f t="shared" si="53"/>
        <v>96</v>
      </c>
      <c r="J221" s="73">
        <f t="shared" si="56"/>
        <v>2035</v>
      </c>
      <c r="K221" s="78">
        <f t="shared" si="57"/>
        <v>49430</v>
      </c>
      <c r="M221" s="41">
        <v>0.02</v>
      </c>
    </row>
    <row r="222" spans="2:13" outlineLevel="1">
      <c r="B222" s="78">
        <f t="shared" si="52"/>
        <v>49461</v>
      </c>
      <c r="C222" s="75">
        <v>676152.83346384764</v>
      </c>
      <c r="D222" s="71">
        <f>IF(F222&lt;&gt;0,VLOOKUP($J222,'Table 1'!$B$13:$C$33,2,FALSE)/12*1000*Study_MW,0)</f>
        <v>0</v>
      </c>
      <c r="E222" s="71">
        <f t="shared" si="54"/>
        <v>676152.83346384764</v>
      </c>
      <c r="F222" s="75">
        <v>23953.460388875999</v>
      </c>
      <c r="G222" s="76">
        <f t="shared" si="55"/>
        <v>28.227772626031662</v>
      </c>
      <c r="I222" s="77">
        <f t="shared" si="53"/>
        <v>97</v>
      </c>
      <c r="J222" s="73">
        <f t="shared" si="56"/>
        <v>2035</v>
      </c>
      <c r="K222" s="78">
        <f t="shared" si="57"/>
        <v>49461</v>
      </c>
      <c r="M222" s="41">
        <v>0.02</v>
      </c>
    </row>
    <row r="223" spans="2:13" outlineLevel="1">
      <c r="B223" s="78">
        <f t="shared" si="52"/>
        <v>49491</v>
      </c>
      <c r="C223" s="75">
        <v>1404445.5687747896</v>
      </c>
      <c r="D223" s="71">
        <f>IF(F223&lt;&gt;0,VLOOKUP($J223,'Table 1'!$B$13:$C$33,2,FALSE)/12*1000*Study_MW,0)</f>
        <v>0</v>
      </c>
      <c r="E223" s="71">
        <f t="shared" si="54"/>
        <v>1404445.5687747896</v>
      </c>
      <c r="F223" s="75">
        <v>21679.929776279001</v>
      </c>
      <c r="G223" s="76">
        <f t="shared" si="55"/>
        <v>64.780909498676394</v>
      </c>
      <c r="I223" s="77">
        <f t="shared" si="53"/>
        <v>98</v>
      </c>
      <c r="J223" s="73">
        <f t="shared" si="56"/>
        <v>2035</v>
      </c>
      <c r="K223" s="78">
        <f t="shared" si="57"/>
        <v>49491</v>
      </c>
      <c r="M223" s="41">
        <v>0.02</v>
      </c>
    </row>
    <row r="224" spans="2:13" outlineLevel="1">
      <c r="B224" s="78">
        <f t="shared" si="52"/>
        <v>49522</v>
      </c>
      <c r="C224" s="75">
        <v>1140150.5344656706</v>
      </c>
      <c r="D224" s="71">
        <f>IF(F224&lt;&gt;0,VLOOKUP($J224,'Table 1'!$B$13:$C$33,2,FALSE)/12*1000*Study_MW,0)</f>
        <v>0</v>
      </c>
      <c r="E224" s="71">
        <f t="shared" si="54"/>
        <v>1140150.5344656706</v>
      </c>
      <c r="F224" s="75">
        <v>21714.241570784001</v>
      </c>
      <c r="G224" s="76">
        <f t="shared" si="55"/>
        <v>52.507039251129832</v>
      </c>
      <c r="I224" s="77">
        <f t="shared" si="53"/>
        <v>99</v>
      </c>
      <c r="J224" s="73">
        <f t="shared" si="56"/>
        <v>2035</v>
      </c>
      <c r="K224" s="78">
        <f t="shared" si="57"/>
        <v>49522</v>
      </c>
      <c r="M224" s="41">
        <v>0.02</v>
      </c>
    </row>
    <row r="225" spans="2:20" outlineLevel="1">
      <c r="B225" s="78">
        <f t="shared" si="52"/>
        <v>49553</v>
      </c>
      <c r="C225" s="75">
        <v>586666.91575214267</v>
      </c>
      <c r="D225" s="71">
        <f>IF(F225&lt;&gt;0,VLOOKUP($J225,'Table 1'!$B$13:$C$33,2,FALSE)/12*1000*Study_MW,0)</f>
        <v>0</v>
      </c>
      <c r="E225" s="71">
        <f t="shared" si="54"/>
        <v>586666.91575214267</v>
      </c>
      <c r="F225" s="75">
        <v>19140.087919826001</v>
      </c>
      <c r="G225" s="76">
        <f t="shared" si="55"/>
        <v>30.651213213312971</v>
      </c>
      <c r="I225" s="77">
        <f t="shared" si="53"/>
        <v>100</v>
      </c>
      <c r="J225" s="73">
        <f t="shared" si="56"/>
        <v>2035</v>
      </c>
      <c r="K225" s="78">
        <f t="shared" si="57"/>
        <v>49553</v>
      </c>
      <c r="M225" s="41">
        <v>0.02</v>
      </c>
    </row>
    <row r="226" spans="2:20" outlineLevel="1">
      <c r="B226" s="78">
        <f t="shared" si="52"/>
        <v>49583</v>
      </c>
      <c r="C226" s="75">
        <v>397483.83018809557</v>
      </c>
      <c r="D226" s="71">
        <f>IF(F226&lt;&gt;0,VLOOKUP($J226,'Table 1'!$B$13:$C$33,2,FALSE)/12*1000*Study_MW,0)</f>
        <v>0</v>
      </c>
      <c r="E226" s="71">
        <f t="shared" si="54"/>
        <v>397483.83018809557</v>
      </c>
      <c r="F226" s="75">
        <v>15517.173450023</v>
      </c>
      <c r="G226" s="76">
        <f t="shared" si="55"/>
        <v>25.615736749240657</v>
      </c>
      <c r="I226" s="77">
        <f t="shared" si="53"/>
        <v>101</v>
      </c>
      <c r="J226" s="73">
        <f t="shared" si="56"/>
        <v>2035</v>
      </c>
      <c r="K226" s="78">
        <f t="shared" si="57"/>
        <v>49583</v>
      </c>
      <c r="M226" s="41">
        <v>0.02</v>
      </c>
    </row>
    <row r="227" spans="2:20" outlineLevel="1">
      <c r="B227" s="78">
        <f t="shared" si="52"/>
        <v>49614</v>
      </c>
      <c r="C227" s="75">
        <v>312468.91393142939</v>
      </c>
      <c r="D227" s="71">
        <f>IF(F227&lt;&gt;0,VLOOKUP($J227,'Table 1'!$B$13:$C$33,2,FALSE)/12*1000*Study_MW,0)</f>
        <v>0</v>
      </c>
      <c r="E227" s="71">
        <f t="shared" si="54"/>
        <v>312468.91393142939</v>
      </c>
      <c r="F227" s="75">
        <v>10451.123227994</v>
      </c>
      <c r="G227" s="76">
        <f t="shared" si="55"/>
        <v>29.898117849616536</v>
      </c>
      <c r="I227" s="77">
        <f t="shared" si="53"/>
        <v>102</v>
      </c>
      <c r="J227" s="73">
        <f t="shared" si="56"/>
        <v>2035</v>
      </c>
      <c r="K227" s="78">
        <f t="shared" si="57"/>
        <v>49614</v>
      </c>
      <c r="M227" s="41">
        <v>0.02</v>
      </c>
      <c r="T227" s="193"/>
    </row>
    <row r="228" spans="2:20" outlineLevel="1">
      <c r="B228" s="82">
        <f t="shared" si="52"/>
        <v>49644</v>
      </c>
      <c r="C228" s="79">
        <v>475228.89482828975</v>
      </c>
      <c r="D228" s="80">
        <f>IF(F228&lt;&gt;0,VLOOKUP($J228,'Table 1'!$B$13:$C$33,2,FALSE)/12*1000*Study_MW,0)</f>
        <v>0</v>
      </c>
      <c r="E228" s="80">
        <f t="shared" si="54"/>
        <v>475228.89482828975</v>
      </c>
      <c r="F228" s="79">
        <v>8021.751483041</v>
      </c>
      <c r="G228" s="81">
        <f t="shared" si="55"/>
        <v>59.242535228495164</v>
      </c>
      <c r="I228" s="64">
        <f t="shared" si="53"/>
        <v>103</v>
      </c>
      <c r="J228" s="73">
        <f t="shared" si="56"/>
        <v>2035</v>
      </c>
      <c r="K228" s="82">
        <f t="shared" si="57"/>
        <v>49644</v>
      </c>
      <c r="M228" s="41">
        <v>0.02</v>
      </c>
      <c r="T228" s="193"/>
    </row>
    <row r="229" spans="2:20" outlineLevel="1">
      <c r="B229" s="74">
        <f t="shared" si="52"/>
        <v>49675</v>
      </c>
      <c r="C229" s="69">
        <v>282023.24101570249</v>
      </c>
      <c r="D229" s="70">
        <f>IF(F229&lt;&gt;0,VLOOKUP($J229,'Table 1'!$B$13:$C$33,2,FALSE)/12*1000*Study_MW,0)</f>
        <v>0</v>
      </c>
      <c r="E229" s="70">
        <f t="shared" si="54"/>
        <v>282023.24101570249</v>
      </c>
      <c r="F229" s="69">
        <v>9625.1042743359994</v>
      </c>
      <c r="G229" s="72">
        <f t="shared" si="55"/>
        <v>29.300798513703192</v>
      </c>
      <c r="I229" s="60">
        <f>I109</f>
        <v>105</v>
      </c>
      <c r="J229" s="73">
        <f t="shared" si="56"/>
        <v>2036</v>
      </c>
      <c r="K229" s="74">
        <f t="shared" si="57"/>
        <v>49675</v>
      </c>
      <c r="M229" s="41">
        <v>0.02</v>
      </c>
      <c r="T229" s="193"/>
    </row>
    <row r="230" spans="2:20" outlineLevel="1">
      <c r="B230" s="78">
        <f t="shared" si="52"/>
        <v>49706</v>
      </c>
      <c r="C230" s="75">
        <v>281539.0118073523</v>
      </c>
      <c r="D230" s="71">
        <f>IF(F230&lt;&gt;0,VLOOKUP($J230,'Table 1'!$B$13:$C$33,2,FALSE)/12*1000*Study_MW,0)</f>
        <v>0</v>
      </c>
      <c r="E230" s="71">
        <f t="shared" si="54"/>
        <v>281539.0118073523</v>
      </c>
      <c r="F230" s="75">
        <v>11420.599681321</v>
      </c>
      <c r="G230" s="76">
        <f t="shared" si="55"/>
        <v>24.651858892123183</v>
      </c>
      <c r="I230" s="77">
        <f t="shared" si="53"/>
        <v>106</v>
      </c>
      <c r="J230" s="73">
        <f t="shared" si="56"/>
        <v>2036</v>
      </c>
      <c r="K230" s="78">
        <f t="shared" si="57"/>
        <v>49706</v>
      </c>
      <c r="M230" s="41">
        <v>0.02</v>
      </c>
      <c r="T230" s="193"/>
    </row>
    <row r="231" spans="2:20" outlineLevel="1">
      <c r="B231" s="78">
        <f t="shared" si="52"/>
        <v>49735</v>
      </c>
      <c r="C231" s="75">
        <v>346101.27599957585</v>
      </c>
      <c r="D231" s="71">
        <f>IF(F231&lt;&gt;0,VLOOKUP($J231,'Table 1'!$B$13:$C$33,2,FALSE)/12*1000*Study_MW,0)</f>
        <v>0</v>
      </c>
      <c r="E231" s="71">
        <f t="shared" si="54"/>
        <v>346101.27599957585</v>
      </c>
      <c r="F231" s="75">
        <v>16673.005468015999</v>
      </c>
      <c r="G231" s="76">
        <f t="shared" si="55"/>
        <v>20.758181640586969</v>
      </c>
      <c r="I231" s="77">
        <f t="shared" si="53"/>
        <v>107</v>
      </c>
      <c r="J231" s="73">
        <f t="shared" si="56"/>
        <v>2036</v>
      </c>
      <c r="K231" s="78">
        <f t="shared" si="57"/>
        <v>49735</v>
      </c>
      <c r="M231" s="41">
        <v>0.02</v>
      </c>
      <c r="T231" s="193"/>
    </row>
    <row r="232" spans="2:20" outlineLevel="1">
      <c r="B232" s="78">
        <f t="shared" si="52"/>
        <v>49766</v>
      </c>
      <c r="C232" s="75">
        <v>375630.63488709927</v>
      </c>
      <c r="D232" s="71">
        <f>IF(F232&lt;&gt;0,VLOOKUP($J232,'Table 1'!$B$13:$C$33,2,FALSE)/12*1000*Study_MW,0)</f>
        <v>0</v>
      </c>
      <c r="E232" s="71">
        <f t="shared" si="54"/>
        <v>375630.63488709927</v>
      </c>
      <c r="F232" s="75">
        <v>19379.597925475999</v>
      </c>
      <c r="G232" s="76">
        <f t="shared" si="55"/>
        <v>19.382787833451559</v>
      </c>
      <c r="I232" s="77">
        <f t="shared" si="53"/>
        <v>108</v>
      </c>
      <c r="J232" s="73">
        <f t="shared" si="56"/>
        <v>2036</v>
      </c>
      <c r="K232" s="78">
        <f t="shared" si="57"/>
        <v>49766</v>
      </c>
      <c r="M232" s="41">
        <v>0.02</v>
      </c>
      <c r="T232" s="193"/>
    </row>
    <row r="233" spans="2:20" outlineLevel="1">
      <c r="B233" s="78">
        <f t="shared" si="52"/>
        <v>49796</v>
      </c>
      <c r="C233" s="75">
        <v>433811.18337890506</v>
      </c>
      <c r="D233" s="71">
        <f>IF(F233&lt;&gt;0,VLOOKUP($J233,'Table 1'!$B$13:$C$33,2,FALSE)/12*1000*Study_MW,0)</f>
        <v>0</v>
      </c>
      <c r="E233" s="71">
        <f t="shared" si="54"/>
        <v>433811.18337890506</v>
      </c>
      <c r="F233" s="75">
        <v>22434.25216905</v>
      </c>
      <c r="G233" s="76">
        <f t="shared" si="55"/>
        <v>19.337002192450402</v>
      </c>
      <c r="I233" s="77">
        <f t="shared" si="53"/>
        <v>109</v>
      </c>
      <c r="J233" s="73">
        <f t="shared" si="56"/>
        <v>2036</v>
      </c>
      <c r="K233" s="78">
        <f t="shared" si="57"/>
        <v>49796</v>
      </c>
      <c r="M233" s="41">
        <v>0.02</v>
      </c>
      <c r="T233" s="193"/>
    </row>
    <row r="234" spans="2:20" outlineLevel="1">
      <c r="B234" s="78">
        <f t="shared" si="52"/>
        <v>49827</v>
      </c>
      <c r="C234" s="75">
        <v>716178.56322681904</v>
      </c>
      <c r="D234" s="71">
        <f>IF(F234&lt;&gt;0,VLOOKUP($J234,'Table 1'!$B$13:$C$33,2,FALSE)/12*1000*Study_MW,0)</f>
        <v>0</v>
      </c>
      <c r="E234" s="71">
        <f t="shared" si="54"/>
        <v>716178.56322681904</v>
      </c>
      <c r="F234" s="75">
        <v>23833.692976306</v>
      </c>
      <c r="G234" s="76">
        <f t="shared" si="55"/>
        <v>30.048996768515899</v>
      </c>
      <c r="I234" s="77">
        <f t="shared" si="53"/>
        <v>110</v>
      </c>
      <c r="J234" s="73">
        <f t="shared" si="56"/>
        <v>2036</v>
      </c>
      <c r="K234" s="78">
        <f t="shared" si="57"/>
        <v>49827</v>
      </c>
      <c r="M234" s="41">
        <v>0.02</v>
      </c>
      <c r="T234" s="193"/>
    </row>
    <row r="235" spans="2:20" outlineLevel="1">
      <c r="B235" s="78">
        <f t="shared" si="52"/>
        <v>49857</v>
      </c>
      <c r="C235" s="75">
        <v>1439519.9380162358</v>
      </c>
      <c r="D235" s="71">
        <f>IF(F235&lt;&gt;0,VLOOKUP($J235,'Table 1'!$B$13:$C$33,2,FALSE)/12*1000*Study_MW,0)</f>
        <v>0</v>
      </c>
      <c r="E235" s="71">
        <f t="shared" si="54"/>
        <v>1439519.9380162358</v>
      </c>
      <c r="F235" s="75">
        <v>21571.529650789002</v>
      </c>
      <c r="G235" s="76">
        <f t="shared" si="55"/>
        <v>66.732399663812615</v>
      </c>
      <c r="I235" s="77">
        <f t="shared" si="53"/>
        <v>111</v>
      </c>
      <c r="J235" s="73">
        <f t="shared" si="56"/>
        <v>2036</v>
      </c>
      <c r="K235" s="78">
        <f t="shared" si="57"/>
        <v>49857</v>
      </c>
      <c r="M235" s="41">
        <v>0.02</v>
      </c>
      <c r="T235" s="193"/>
    </row>
    <row r="236" spans="2:20" outlineLevel="1">
      <c r="B236" s="78">
        <f t="shared" si="52"/>
        <v>49888</v>
      </c>
      <c r="C236" s="75">
        <v>1192058.0325305164</v>
      </c>
      <c r="D236" s="71">
        <f>IF(F236&lt;&gt;0,VLOOKUP($J236,'Table 1'!$B$13:$C$33,2,FALSE)/12*1000*Study_MW,0)</f>
        <v>0</v>
      </c>
      <c r="E236" s="71">
        <f t="shared" si="54"/>
        <v>1192058.0325305164</v>
      </c>
      <c r="F236" s="75">
        <v>21605.669878547</v>
      </c>
      <c r="G236" s="76">
        <f t="shared" si="55"/>
        <v>55.173389171985413</v>
      </c>
      <c r="I236" s="77">
        <f t="shared" si="53"/>
        <v>112</v>
      </c>
      <c r="J236" s="73">
        <f t="shared" si="56"/>
        <v>2036</v>
      </c>
      <c r="K236" s="78">
        <f t="shared" si="57"/>
        <v>49888</v>
      </c>
      <c r="M236" s="41">
        <v>0.02</v>
      </c>
      <c r="T236" s="193"/>
    </row>
    <row r="237" spans="2:20" outlineLevel="1">
      <c r="B237" s="78">
        <f t="shared" si="52"/>
        <v>49919</v>
      </c>
      <c r="C237" s="75">
        <v>857206.12170931697</v>
      </c>
      <c r="D237" s="71">
        <f>IF(F237&lt;&gt;0,VLOOKUP($J237,'Table 1'!$B$13:$C$33,2,FALSE)/12*1000*Study_MW,0)</f>
        <v>0</v>
      </c>
      <c r="E237" s="71">
        <f t="shared" si="54"/>
        <v>857206.12170931697</v>
      </c>
      <c r="F237" s="75">
        <v>19044.38696181</v>
      </c>
      <c r="G237" s="76">
        <f t="shared" si="55"/>
        <v>45.010959052044335</v>
      </c>
      <c r="I237" s="77">
        <f t="shared" si="53"/>
        <v>113</v>
      </c>
      <c r="J237" s="73">
        <f t="shared" si="56"/>
        <v>2036</v>
      </c>
      <c r="K237" s="78">
        <f t="shared" si="57"/>
        <v>49919</v>
      </c>
      <c r="M237" s="41">
        <v>0.02</v>
      </c>
      <c r="T237" s="193"/>
    </row>
    <row r="238" spans="2:20" outlineLevel="1">
      <c r="B238" s="78">
        <f t="shared" si="52"/>
        <v>49949</v>
      </c>
      <c r="C238" s="75">
        <v>506956.08646628261</v>
      </c>
      <c r="D238" s="71">
        <f>IF(F238&lt;&gt;0,VLOOKUP($J238,'Table 1'!$B$13:$C$33,2,FALSE)/12*1000*Study_MW,0)</f>
        <v>0</v>
      </c>
      <c r="E238" s="71">
        <f t="shared" si="54"/>
        <v>506956.08646628261</v>
      </c>
      <c r="F238" s="75">
        <v>15439.587539423999</v>
      </c>
      <c r="G238" s="76">
        <f t="shared" si="55"/>
        <v>32.834820565756871</v>
      </c>
      <c r="I238" s="77">
        <f t="shared" si="53"/>
        <v>114</v>
      </c>
      <c r="J238" s="73">
        <f t="shared" si="56"/>
        <v>2036</v>
      </c>
      <c r="K238" s="78">
        <f t="shared" si="57"/>
        <v>49949</v>
      </c>
      <c r="M238" s="41">
        <v>0.02</v>
      </c>
      <c r="T238" s="193"/>
    </row>
    <row r="239" spans="2:20" outlineLevel="1">
      <c r="B239" s="78">
        <f t="shared" si="52"/>
        <v>49980</v>
      </c>
      <c r="C239" s="75">
        <v>349982.95439988375</v>
      </c>
      <c r="D239" s="71">
        <f>IF(F239&lt;&gt;0,VLOOKUP($J239,'Table 1'!$B$13:$C$33,2,FALSE)/12*1000*Study_MW,0)</f>
        <v>0</v>
      </c>
      <c r="E239" s="71">
        <f t="shared" si="54"/>
        <v>349982.95439988375</v>
      </c>
      <c r="F239" s="75">
        <v>10398.867604778001</v>
      </c>
      <c r="G239" s="76">
        <f t="shared" si="55"/>
        <v>33.655871745023077</v>
      </c>
      <c r="I239" s="77">
        <f t="shared" si="53"/>
        <v>115</v>
      </c>
      <c r="J239" s="73">
        <f t="shared" si="56"/>
        <v>2036</v>
      </c>
      <c r="K239" s="78">
        <f t="shared" si="57"/>
        <v>49980</v>
      </c>
      <c r="M239" s="41">
        <v>0.02</v>
      </c>
      <c r="T239" s="193"/>
    </row>
    <row r="240" spans="2:20" outlineLevel="1">
      <c r="B240" s="82">
        <f t="shared" si="52"/>
        <v>50010</v>
      </c>
      <c r="C240" s="79">
        <v>503739.05511248112</v>
      </c>
      <c r="D240" s="80">
        <f>IF(F240&lt;&gt;0,VLOOKUP($J240,'Table 1'!$B$13:$C$33,2,FALSE)/12*1000*Study_MW,0)</f>
        <v>0</v>
      </c>
      <c r="E240" s="80">
        <f t="shared" si="54"/>
        <v>503739.05511248112</v>
      </c>
      <c r="F240" s="79">
        <v>7981.6427116770001</v>
      </c>
      <c r="G240" s="81">
        <f t="shared" si="55"/>
        <v>63.112203002462124</v>
      </c>
      <c r="I240" s="64">
        <f t="shared" si="53"/>
        <v>116</v>
      </c>
      <c r="J240" s="73">
        <f t="shared" si="56"/>
        <v>2036</v>
      </c>
      <c r="K240" s="82">
        <f t="shared" si="57"/>
        <v>50010</v>
      </c>
      <c r="M240" s="41">
        <v>0.02</v>
      </c>
      <c r="T240" s="193"/>
    </row>
    <row r="241" spans="2:20" outlineLevel="1">
      <c r="B241" s="212">
        <f t="shared" si="52"/>
        <v>50041</v>
      </c>
      <c r="C241" s="201">
        <f t="shared" ref="C241:C263" si="58">(C229*(1+M241))*IF(AND(MONTH(K241)=2,OR(J229=2036,J229=2040)),28/29,1)</f>
        <v>287945.72907703219</v>
      </c>
      <c r="D241" s="202">
        <f>IF(ISNUMBER($F241)*SUM(F241:F252)&lt;&gt;0,VLOOKUP($J241,'Table 1'!$B$13:$C$33,2,FALSE)/12*1000*Study_MW,0)</f>
        <v>0</v>
      </c>
      <c r="E241" s="202">
        <f t="shared" ref="E241:E263" si="59">C241+D241</f>
        <v>287945.72907703219</v>
      </c>
      <c r="F241" s="201">
        <v>9625.1042743359994</v>
      </c>
      <c r="G241" s="203">
        <f t="shared" ref="G241:G263" si="60">IFERROR(E241/$F241,0)</f>
        <v>29.916115282490953</v>
      </c>
      <c r="I241" s="60">
        <f>I121</f>
        <v>118</v>
      </c>
      <c r="J241" s="73">
        <f t="shared" ref="J241:J264" si="61">YEAR(B241)</f>
        <v>2037</v>
      </c>
      <c r="K241" s="74">
        <f t="shared" ref="K241:K264" si="62">IF(ISNUMBER(F241),IF(F241&lt;&gt;0,B241,""),"")</f>
        <v>50041</v>
      </c>
      <c r="M241" s="41">
        <v>2.1000000000000001E-2</v>
      </c>
      <c r="T241" s="193"/>
    </row>
    <row r="242" spans="2:20" outlineLevel="1">
      <c r="B242" s="213">
        <f t="shared" si="52"/>
        <v>50072</v>
      </c>
      <c r="C242" s="195">
        <f t="shared" si="58"/>
        <v>277539.21619133058</v>
      </c>
      <c r="D242" s="196">
        <f>IF(ISNUMBER($F242)*SUM(F242:F253)&lt;&gt;0,VLOOKUP($J242,'Table 1'!$B$13:$C$33,2,FALSE)/12*1000*Study_MW,0)</f>
        <v>0</v>
      </c>
      <c r="E242" s="196">
        <f t="shared" si="59"/>
        <v>277539.21619133058</v>
      </c>
      <c r="F242" s="195">
        <v>11026.785899206483</v>
      </c>
      <c r="G242" s="197">
        <f t="shared" si="60"/>
        <v>25.169547928857767</v>
      </c>
      <c r="I242" s="77">
        <f t="shared" ref="I242:I264" si="63">I122</f>
        <v>119</v>
      </c>
      <c r="J242" s="73">
        <f t="shared" si="61"/>
        <v>2037</v>
      </c>
      <c r="K242" s="78">
        <f t="shared" si="62"/>
        <v>50072</v>
      </c>
      <c r="M242" s="41">
        <v>2.1000000000000001E-2</v>
      </c>
      <c r="T242" s="193"/>
    </row>
    <row r="243" spans="2:20" outlineLevel="1">
      <c r="B243" s="213">
        <f t="shared" si="52"/>
        <v>50100</v>
      </c>
      <c r="C243" s="195">
        <f t="shared" si="58"/>
        <v>353369.40279556689</v>
      </c>
      <c r="D243" s="196">
        <f>IF(ISNUMBER($F243)*SUM(F243:F254)&lt;&gt;0,VLOOKUP($J243,'Table 1'!$B$13:$C$33,2,FALSE)/12*1000*Study_MW,0)</f>
        <v>0</v>
      </c>
      <c r="E243" s="196">
        <f t="shared" si="59"/>
        <v>353369.40279556689</v>
      </c>
      <c r="F243" s="195">
        <v>16673.005468015999</v>
      </c>
      <c r="G243" s="197">
        <f t="shared" si="60"/>
        <v>21.19410345503929</v>
      </c>
      <c r="I243" s="77">
        <f t="shared" si="63"/>
        <v>120</v>
      </c>
      <c r="J243" s="73">
        <f t="shared" si="61"/>
        <v>2037</v>
      </c>
      <c r="K243" s="78">
        <f t="shared" si="62"/>
        <v>50100</v>
      </c>
      <c r="M243" s="41">
        <v>2.1000000000000001E-2</v>
      </c>
      <c r="T243" s="193"/>
    </row>
    <row r="244" spans="2:20" outlineLevel="1">
      <c r="B244" s="213">
        <f t="shared" si="52"/>
        <v>50131</v>
      </c>
      <c r="C244" s="195">
        <f t="shared" si="58"/>
        <v>383518.8782197283</v>
      </c>
      <c r="D244" s="196">
        <f>IF(ISNUMBER($F244)*SUM(F244:F255)&lt;&gt;0,VLOOKUP($J244,'Table 1'!$B$13:$C$33,2,FALSE)/12*1000*Study_MW,0)</f>
        <v>0</v>
      </c>
      <c r="E244" s="196">
        <f t="shared" si="59"/>
        <v>383518.8782197283</v>
      </c>
      <c r="F244" s="195">
        <v>19379.597925475999</v>
      </c>
      <c r="G244" s="197">
        <f t="shared" si="60"/>
        <v>19.789826377954039</v>
      </c>
      <c r="I244" s="77">
        <f t="shared" si="63"/>
        <v>121</v>
      </c>
      <c r="J244" s="73">
        <f t="shared" si="61"/>
        <v>2037</v>
      </c>
      <c r="K244" s="78">
        <f t="shared" si="62"/>
        <v>50131</v>
      </c>
      <c r="M244" s="41">
        <v>2.1000000000000001E-2</v>
      </c>
      <c r="T244" s="193"/>
    </row>
    <row r="245" spans="2:20" outlineLevel="1">
      <c r="B245" s="213">
        <f t="shared" si="52"/>
        <v>50161</v>
      </c>
      <c r="C245" s="195">
        <f t="shared" si="58"/>
        <v>442921.21822986205</v>
      </c>
      <c r="D245" s="196">
        <f>IF(ISNUMBER($F245)*SUM(F245:F256)&lt;&gt;0,VLOOKUP($J245,'Table 1'!$B$13:$C$33,2,FALSE)/12*1000*Study_MW,0)</f>
        <v>0</v>
      </c>
      <c r="E245" s="196">
        <f t="shared" si="59"/>
        <v>442921.21822986205</v>
      </c>
      <c r="F245" s="195">
        <v>22434.25216905</v>
      </c>
      <c r="G245" s="197">
        <f t="shared" si="60"/>
        <v>19.743079238491863</v>
      </c>
      <c r="I245" s="77">
        <f t="shared" si="63"/>
        <v>122</v>
      </c>
      <c r="J245" s="73">
        <f t="shared" si="61"/>
        <v>2037</v>
      </c>
      <c r="K245" s="78">
        <f t="shared" si="62"/>
        <v>50161</v>
      </c>
      <c r="M245" s="41">
        <v>2.1000000000000001E-2</v>
      </c>
      <c r="T245" s="193"/>
    </row>
    <row r="246" spans="2:20" outlineLevel="1">
      <c r="B246" s="213">
        <f t="shared" si="52"/>
        <v>50192</v>
      </c>
      <c r="C246" s="195">
        <f t="shared" si="58"/>
        <v>731218.31305458222</v>
      </c>
      <c r="D246" s="196">
        <f>IF(ISNUMBER($F246)*SUM(F246:F257)&lt;&gt;0,VLOOKUP($J246,'Table 1'!$B$13:$C$33,2,FALSE)/12*1000*Study_MW,0)</f>
        <v>0</v>
      </c>
      <c r="E246" s="196">
        <f t="shared" si="59"/>
        <v>731218.31305458222</v>
      </c>
      <c r="F246" s="195">
        <v>23833.692976306</v>
      </c>
      <c r="G246" s="197">
        <f t="shared" si="60"/>
        <v>30.680025700654731</v>
      </c>
      <c r="I246" s="77">
        <f t="shared" si="63"/>
        <v>123</v>
      </c>
      <c r="J246" s="73">
        <f t="shared" si="61"/>
        <v>2037</v>
      </c>
      <c r="K246" s="78">
        <f t="shared" si="62"/>
        <v>50192</v>
      </c>
      <c r="M246" s="41">
        <v>2.1000000000000001E-2</v>
      </c>
      <c r="T246" s="193"/>
    </row>
    <row r="247" spans="2:20" outlineLevel="1">
      <c r="B247" s="213">
        <f t="shared" si="52"/>
        <v>50222</v>
      </c>
      <c r="C247" s="195">
        <f t="shared" si="58"/>
        <v>1469749.8567145767</v>
      </c>
      <c r="D247" s="196">
        <f>IF(ISNUMBER($F247)*SUM(F247:F258)&lt;&gt;0,VLOOKUP($J247,'Table 1'!$B$13:$C$33,2,FALSE)/12*1000*Study_MW,0)</f>
        <v>0</v>
      </c>
      <c r="E247" s="196">
        <f t="shared" si="59"/>
        <v>1469749.8567145767</v>
      </c>
      <c r="F247" s="195">
        <v>21571.529650789002</v>
      </c>
      <c r="G247" s="197">
        <f t="shared" si="60"/>
        <v>68.13378005675267</v>
      </c>
      <c r="I247" s="77">
        <f t="shared" si="63"/>
        <v>124</v>
      </c>
      <c r="J247" s="73">
        <f t="shared" si="61"/>
        <v>2037</v>
      </c>
      <c r="K247" s="78">
        <f t="shared" si="62"/>
        <v>50222</v>
      </c>
      <c r="M247" s="41">
        <v>2.1000000000000001E-2</v>
      </c>
      <c r="T247" s="193"/>
    </row>
    <row r="248" spans="2:20" outlineLevel="1">
      <c r="B248" s="213">
        <f t="shared" si="52"/>
        <v>50253</v>
      </c>
      <c r="C248" s="195">
        <f t="shared" si="58"/>
        <v>1217091.2512136572</v>
      </c>
      <c r="D248" s="196">
        <f>IF(ISNUMBER($F248)*SUM(F248:F259)&lt;&gt;0,VLOOKUP($J248,'Table 1'!$B$13:$C$33,2,FALSE)/12*1000*Study_MW,0)</f>
        <v>0</v>
      </c>
      <c r="E248" s="196">
        <f t="shared" si="59"/>
        <v>1217091.2512136572</v>
      </c>
      <c r="F248" s="195">
        <v>21605.669878547</v>
      </c>
      <c r="G248" s="197">
        <f t="shared" si="60"/>
        <v>56.332030344597101</v>
      </c>
      <c r="I248" s="77">
        <f t="shared" si="63"/>
        <v>125</v>
      </c>
      <c r="J248" s="73">
        <f t="shared" si="61"/>
        <v>2037</v>
      </c>
      <c r="K248" s="78">
        <f t="shared" si="62"/>
        <v>50253</v>
      </c>
      <c r="M248" s="41">
        <v>2.1000000000000001E-2</v>
      </c>
      <c r="T248" s="193"/>
    </row>
    <row r="249" spans="2:20" outlineLevel="1">
      <c r="B249" s="213">
        <f t="shared" si="52"/>
        <v>50284</v>
      </c>
      <c r="C249" s="195">
        <f t="shared" si="58"/>
        <v>875207.45026521257</v>
      </c>
      <c r="D249" s="196">
        <f>IF(ISNUMBER($F249)*SUM(F249:F260)&lt;&gt;0,VLOOKUP($J249,'Table 1'!$B$13:$C$33,2,FALSE)/12*1000*Study_MW,0)</f>
        <v>0</v>
      </c>
      <c r="E249" s="196">
        <f t="shared" si="59"/>
        <v>875207.45026521257</v>
      </c>
      <c r="F249" s="195">
        <v>19044.38696181</v>
      </c>
      <c r="G249" s="197">
        <f t="shared" si="60"/>
        <v>45.956189192137266</v>
      </c>
      <c r="I249" s="77">
        <f t="shared" si="63"/>
        <v>126</v>
      </c>
      <c r="J249" s="73">
        <f t="shared" si="61"/>
        <v>2037</v>
      </c>
      <c r="K249" s="78">
        <f t="shared" si="62"/>
        <v>50284</v>
      </c>
      <c r="M249" s="41">
        <v>2.1000000000000001E-2</v>
      </c>
      <c r="T249" s="193"/>
    </row>
    <row r="250" spans="2:20" outlineLevel="1">
      <c r="B250" s="213">
        <f t="shared" si="52"/>
        <v>50314</v>
      </c>
      <c r="C250" s="195">
        <f t="shared" si="58"/>
        <v>517602.16428207449</v>
      </c>
      <c r="D250" s="196">
        <f>IF(ISNUMBER($F250)*SUM(F250:F261)&lt;&gt;0,VLOOKUP($J250,'Table 1'!$B$13:$C$33,2,FALSE)/12*1000*Study_MW,0)</f>
        <v>0</v>
      </c>
      <c r="E250" s="196">
        <f t="shared" si="59"/>
        <v>517602.16428207449</v>
      </c>
      <c r="F250" s="195">
        <v>15439.587539423999</v>
      </c>
      <c r="G250" s="197">
        <f t="shared" si="60"/>
        <v>33.524351797637756</v>
      </c>
      <c r="I250" s="77">
        <f t="shared" si="63"/>
        <v>127</v>
      </c>
      <c r="J250" s="73">
        <f t="shared" si="61"/>
        <v>2037</v>
      </c>
      <c r="K250" s="78">
        <f t="shared" si="62"/>
        <v>50314</v>
      </c>
      <c r="M250" s="41">
        <v>2.1000000000000001E-2</v>
      </c>
      <c r="T250" s="193"/>
    </row>
    <row r="251" spans="2:20" outlineLevel="1">
      <c r="B251" s="213">
        <f t="shared" si="52"/>
        <v>50345</v>
      </c>
      <c r="C251" s="195">
        <f t="shared" si="58"/>
        <v>357332.59644228127</v>
      </c>
      <c r="D251" s="196">
        <f>IF(ISNUMBER($F251)*SUM(F251:F262)&lt;&gt;0,VLOOKUP($J251,'Table 1'!$B$13:$C$33,2,FALSE)/12*1000*Study_MW,0)</f>
        <v>0</v>
      </c>
      <c r="E251" s="196">
        <f t="shared" si="59"/>
        <v>357332.59644228127</v>
      </c>
      <c r="F251" s="195">
        <v>10398.867604778001</v>
      </c>
      <c r="G251" s="197">
        <f t="shared" si="60"/>
        <v>34.362645051668558</v>
      </c>
      <c r="I251" s="77">
        <f t="shared" si="63"/>
        <v>128</v>
      </c>
      <c r="J251" s="73">
        <f t="shared" si="61"/>
        <v>2037</v>
      </c>
      <c r="K251" s="78">
        <f t="shared" si="62"/>
        <v>50345</v>
      </c>
      <c r="M251" s="41">
        <v>2.1000000000000001E-2</v>
      </c>
      <c r="O251" s="193"/>
      <c r="P251" s="193"/>
      <c r="T251" s="193"/>
    </row>
    <row r="252" spans="2:20" outlineLevel="1" collapsed="1">
      <c r="B252" s="214">
        <f t="shared" si="52"/>
        <v>50375</v>
      </c>
      <c r="C252" s="198">
        <f t="shared" si="58"/>
        <v>514317.57526984316</v>
      </c>
      <c r="D252" s="199">
        <f>IF(ISNUMBER($F252)*SUM(F252:F263)&lt;&gt;0,VLOOKUP($J252,'Table 1'!$B$13:$C$33,2,FALSE)/12*1000*Study_MW,0)</f>
        <v>0</v>
      </c>
      <c r="E252" s="199">
        <f t="shared" si="59"/>
        <v>514317.57526984316</v>
      </c>
      <c r="F252" s="198">
        <v>7981.6427116770001</v>
      </c>
      <c r="G252" s="200">
        <f t="shared" si="60"/>
        <v>64.437559265513826</v>
      </c>
      <c r="I252" s="64">
        <f t="shared" si="63"/>
        <v>129</v>
      </c>
      <c r="J252" s="73">
        <f t="shared" si="61"/>
        <v>2037</v>
      </c>
      <c r="K252" s="82">
        <f t="shared" si="62"/>
        <v>50375</v>
      </c>
      <c r="M252" s="41">
        <v>2.1000000000000001E-2</v>
      </c>
      <c r="O252" s="193"/>
      <c r="P252" s="193"/>
      <c r="T252" s="193"/>
    </row>
    <row r="253" spans="2:20" outlineLevel="1">
      <c r="B253" s="212">
        <f t="shared" si="52"/>
        <v>50406</v>
      </c>
      <c r="C253" s="201">
        <f t="shared" si="58"/>
        <v>293992.58938764984</v>
      </c>
      <c r="D253" s="202">
        <f>IF(ISNUMBER($F253)*SUM(F253:F264)&lt;&gt;0,VLOOKUP($J253,'Table 1'!$B$13:$C$33,2,FALSE)/12*1000*Study_MW,0)</f>
        <v>0</v>
      </c>
      <c r="E253" s="202">
        <f t="shared" si="59"/>
        <v>293992.58938764984</v>
      </c>
      <c r="F253" s="201">
        <v>9625.1042743359994</v>
      </c>
      <c r="G253" s="203">
        <f t="shared" si="60"/>
        <v>30.544353703423262</v>
      </c>
      <c r="I253" s="60">
        <f>I133</f>
        <v>1</v>
      </c>
      <c r="J253" s="73">
        <f t="shared" si="61"/>
        <v>2038</v>
      </c>
      <c r="K253" s="74">
        <f t="shared" si="62"/>
        <v>50406</v>
      </c>
      <c r="M253" s="41">
        <v>2.1000000000000001E-2</v>
      </c>
      <c r="O253" s="193"/>
      <c r="P253" s="193"/>
      <c r="T253" s="193"/>
    </row>
    <row r="254" spans="2:20" outlineLevel="1">
      <c r="B254" s="213">
        <f t="shared" si="52"/>
        <v>50437</v>
      </c>
      <c r="C254" s="195">
        <f t="shared" si="58"/>
        <v>283367.53973134852</v>
      </c>
      <c r="D254" s="196">
        <f>IF(ISNUMBER($F254)*SUM(F254:F265)&lt;&gt;0,VLOOKUP($J254,'Table 1'!$B$13:$C$33,2,FALSE)/12*1000*Study_MW,0)</f>
        <v>0</v>
      </c>
      <c r="E254" s="196">
        <f t="shared" si="59"/>
        <v>283367.53973134852</v>
      </c>
      <c r="F254" s="195">
        <v>11026.785899206483</v>
      </c>
      <c r="G254" s="197">
        <f t="shared" si="60"/>
        <v>25.698108435363782</v>
      </c>
      <c r="I254" s="77">
        <f t="shared" si="63"/>
        <v>2</v>
      </c>
      <c r="J254" s="73">
        <f t="shared" si="61"/>
        <v>2038</v>
      </c>
      <c r="K254" s="78">
        <f t="shared" si="62"/>
        <v>50437</v>
      </c>
      <c r="M254" s="41">
        <v>2.1000000000000001E-2</v>
      </c>
      <c r="O254" s="193"/>
      <c r="P254" s="193"/>
      <c r="T254" s="193"/>
    </row>
    <row r="255" spans="2:20" outlineLevel="1">
      <c r="B255" s="213">
        <f t="shared" si="52"/>
        <v>50465</v>
      </c>
      <c r="C255" s="195">
        <f t="shared" si="58"/>
        <v>360790.16025427374</v>
      </c>
      <c r="D255" s="196">
        <f>IF(ISNUMBER($F255)*SUM(F255:F266)&lt;&gt;0,VLOOKUP($J255,'Table 1'!$B$13:$C$33,2,FALSE)/12*1000*Study_MW,0)</f>
        <v>0</v>
      </c>
      <c r="E255" s="196">
        <f t="shared" si="59"/>
        <v>360790.16025427374</v>
      </c>
      <c r="F255" s="195">
        <v>16673.005468015999</v>
      </c>
      <c r="G255" s="197">
        <f t="shared" si="60"/>
        <v>21.639179627595112</v>
      </c>
      <c r="I255" s="77">
        <f t="shared" si="63"/>
        <v>3</v>
      </c>
      <c r="J255" s="73">
        <f t="shared" si="61"/>
        <v>2038</v>
      </c>
      <c r="K255" s="78">
        <f t="shared" si="62"/>
        <v>50465</v>
      </c>
      <c r="M255" s="41">
        <v>2.1000000000000001E-2</v>
      </c>
      <c r="O255" s="193"/>
      <c r="P255" s="193"/>
      <c r="T255" s="193"/>
    </row>
    <row r="256" spans="2:20" outlineLevel="1">
      <c r="B256" s="213">
        <f t="shared" si="52"/>
        <v>50496</v>
      </c>
      <c r="C256" s="195">
        <f t="shared" si="58"/>
        <v>391572.77466234256</v>
      </c>
      <c r="D256" s="196">
        <f>IF(ISNUMBER($F256)*SUM(F256:F267)&lt;&gt;0,VLOOKUP($J256,'Table 1'!$B$13:$C$33,2,FALSE)/12*1000*Study_MW,0)</f>
        <v>0</v>
      </c>
      <c r="E256" s="196">
        <f t="shared" si="59"/>
        <v>391572.77466234256</v>
      </c>
      <c r="F256" s="195">
        <v>19379.597925475999</v>
      </c>
      <c r="G256" s="197">
        <f t="shared" si="60"/>
        <v>20.205412731891073</v>
      </c>
      <c r="I256" s="77">
        <f t="shared" si="63"/>
        <v>4</v>
      </c>
      <c r="J256" s="73">
        <f t="shared" si="61"/>
        <v>2038</v>
      </c>
      <c r="K256" s="78">
        <f t="shared" si="62"/>
        <v>50496</v>
      </c>
      <c r="M256" s="41">
        <v>2.1000000000000001E-2</v>
      </c>
      <c r="O256" s="193"/>
      <c r="P256" s="193"/>
      <c r="T256" s="193"/>
    </row>
    <row r="257" spans="2:20" outlineLevel="1">
      <c r="B257" s="213">
        <f t="shared" si="52"/>
        <v>50526</v>
      </c>
      <c r="C257" s="195">
        <f t="shared" si="58"/>
        <v>452222.5638126891</v>
      </c>
      <c r="D257" s="196">
        <f>IF(ISNUMBER($F257)*SUM(F257:F268)&lt;&gt;0,VLOOKUP($J257,'Table 1'!$B$13:$C$33,2,FALSE)/12*1000*Study_MW,0)</f>
        <v>0</v>
      </c>
      <c r="E257" s="196">
        <f t="shared" si="59"/>
        <v>452222.5638126891</v>
      </c>
      <c r="F257" s="195">
        <v>22434.25216905</v>
      </c>
      <c r="G257" s="197">
        <f t="shared" si="60"/>
        <v>20.157683902500189</v>
      </c>
      <c r="I257" s="77">
        <f t="shared" si="63"/>
        <v>5</v>
      </c>
      <c r="J257" s="73">
        <f t="shared" si="61"/>
        <v>2038</v>
      </c>
      <c r="K257" s="78">
        <f t="shared" si="62"/>
        <v>50526</v>
      </c>
      <c r="M257" s="41">
        <v>2.1000000000000001E-2</v>
      </c>
      <c r="O257" s="193"/>
      <c r="P257" s="193"/>
      <c r="T257" s="193"/>
    </row>
    <row r="258" spans="2:20" outlineLevel="1">
      <c r="B258" s="213">
        <f t="shared" si="52"/>
        <v>50557</v>
      </c>
      <c r="C258" s="195">
        <f t="shared" si="58"/>
        <v>746573.89762872842</v>
      </c>
      <c r="D258" s="196">
        <f>IF(ISNUMBER($F258)*SUM(F258:F269)&lt;&gt;0,VLOOKUP($J258,'Table 1'!$B$13:$C$33,2,FALSE)/12*1000*Study_MW,0)</f>
        <v>0</v>
      </c>
      <c r="E258" s="196">
        <f t="shared" si="59"/>
        <v>746573.89762872842</v>
      </c>
      <c r="F258" s="195">
        <v>23833.692976306</v>
      </c>
      <c r="G258" s="197">
        <f t="shared" si="60"/>
        <v>31.324306240368479</v>
      </c>
      <c r="I258" s="77">
        <f t="shared" si="63"/>
        <v>6</v>
      </c>
      <c r="J258" s="73">
        <f t="shared" si="61"/>
        <v>2038</v>
      </c>
      <c r="K258" s="78">
        <f t="shared" si="62"/>
        <v>50557</v>
      </c>
      <c r="M258" s="41">
        <v>2.1000000000000001E-2</v>
      </c>
      <c r="O258" s="193"/>
      <c r="P258" s="193"/>
      <c r="T258" s="193"/>
    </row>
    <row r="259" spans="2:20" outlineLevel="1">
      <c r="B259" s="213">
        <f t="shared" si="52"/>
        <v>50587</v>
      </c>
      <c r="C259" s="195">
        <f t="shared" si="58"/>
        <v>1500614.6037055827</v>
      </c>
      <c r="D259" s="196">
        <f>IF(ISNUMBER($F259)*SUM(F259:F270)&lt;&gt;0,VLOOKUP($J259,'Table 1'!$B$13:$C$33,2,FALSE)/12*1000*Study_MW,0)</f>
        <v>0</v>
      </c>
      <c r="E259" s="196">
        <f t="shared" si="59"/>
        <v>1500614.6037055827</v>
      </c>
      <c r="F259" s="195">
        <v>21571.529650789002</v>
      </c>
      <c r="G259" s="197">
        <f t="shared" si="60"/>
        <v>69.564589437944477</v>
      </c>
      <c r="I259" s="77">
        <f t="shared" si="63"/>
        <v>7</v>
      </c>
      <c r="J259" s="73">
        <f t="shared" si="61"/>
        <v>2038</v>
      </c>
      <c r="K259" s="78">
        <f t="shared" si="62"/>
        <v>50587</v>
      </c>
      <c r="M259" s="41">
        <v>2.1000000000000001E-2</v>
      </c>
      <c r="O259" s="193"/>
      <c r="P259" s="193"/>
    </row>
    <row r="260" spans="2:20" outlineLevel="1">
      <c r="B260" s="213">
        <f t="shared" si="52"/>
        <v>50618</v>
      </c>
      <c r="C260" s="195">
        <f t="shared" si="58"/>
        <v>1242650.1674891438</v>
      </c>
      <c r="D260" s="196">
        <f>IF(ISNUMBER($F260)*SUM(F260:F271)&lt;&gt;0,VLOOKUP($J260,'Table 1'!$B$13:$C$33,2,FALSE)/12*1000*Study_MW,0)</f>
        <v>0</v>
      </c>
      <c r="E260" s="196">
        <f t="shared" si="59"/>
        <v>1242650.1674891438</v>
      </c>
      <c r="F260" s="195">
        <v>21605.669878547</v>
      </c>
      <c r="G260" s="197">
        <f t="shared" si="60"/>
        <v>57.515002981833632</v>
      </c>
      <c r="I260" s="77">
        <f t="shared" si="63"/>
        <v>8</v>
      </c>
      <c r="J260" s="73">
        <f t="shared" si="61"/>
        <v>2038</v>
      </c>
      <c r="K260" s="78">
        <f t="shared" si="62"/>
        <v>50618</v>
      </c>
      <c r="M260" s="41">
        <v>2.1000000000000001E-2</v>
      </c>
      <c r="O260" s="193"/>
      <c r="P260" s="193"/>
    </row>
    <row r="261" spans="2:20" outlineLevel="1">
      <c r="B261" s="213">
        <f t="shared" si="52"/>
        <v>50649</v>
      </c>
      <c r="C261" s="195">
        <f t="shared" si="58"/>
        <v>893586.80672078195</v>
      </c>
      <c r="D261" s="196">
        <f>IF(ISNUMBER($F261)*SUM(F261:F272)&lt;&gt;0,VLOOKUP($J261,'Table 1'!$B$13:$C$33,2,FALSE)/12*1000*Study_MW,0)</f>
        <v>0</v>
      </c>
      <c r="E261" s="196">
        <f t="shared" si="59"/>
        <v>893586.80672078195</v>
      </c>
      <c r="F261" s="195">
        <v>19044.38696181</v>
      </c>
      <c r="G261" s="197">
        <f t="shared" si="60"/>
        <v>46.921269165172141</v>
      </c>
      <c r="I261" s="77">
        <f t="shared" si="63"/>
        <v>9</v>
      </c>
      <c r="J261" s="73">
        <f t="shared" si="61"/>
        <v>2038</v>
      </c>
      <c r="K261" s="78">
        <f t="shared" si="62"/>
        <v>50649</v>
      </c>
      <c r="M261" s="41">
        <v>2.1000000000000001E-2</v>
      </c>
      <c r="O261" s="193"/>
      <c r="P261" s="193"/>
    </row>
    <row r="262" spans="2:20" outlineLevel="1">
      <c r="B262" s="213">
        <f t="shared" si="52"/>
        <v>50679</v>
      </c>
      <c r="C262" s="195">
        <f t="shared" si="58"/>
        <v>528471.80973199802</v>
      </c>
      <c r="D262" s="196">
        <f>IF(ISNUMBER($F262)*SUM(F262:F273)&lt;&gt;0,VLOOKUP($J262,'Table 1'!$B$13:$C$33,2,FALSE)/12*1000*Study_MW,0)</f>
        <v>0</v>
      </c>
      <c r="E262" s="196">
        <f t="shared" si="59"/>
        <v>528471.80973199802</v>
      </c>
      <c r="F262" s="195">
        <v>15439.587539423999</v>
      </c>
      <c r="G262" s="197">
        <f t="shared" si="60"/>
        <v>34.228363185388147</v>
      </c>
      <c r="I262" s="77">
        <f t="shared" si="63"/>
        <v>10</v>
      </c>
      <c r="J262" s="73">
        <f t="shared" si="61"/>
        <v>2038</v>
      </c>
      <c r="K262" s="78">
        <f t="shared" si="62"/>
        <v>50679</v>
      </c>
      <c r="M262" s="41">
        <v>2.1000000000000001E-2</v>
      </c>
    </row>
    <row r="263" spans="2:20" outlineLevel="1">
      <c r="B263" s="213">
        <f t="shared" si="52"/>
        <v>50710</v>
      </c>
      <c r="C263" s="195">
        <f t="shared" si="58"/>
        <v>364836.58096756914</v>
      </c>
      <c r="D263" s="196">
        <f>IF(ISNUMBER($F263)*SUM(F263:F274)&lt;&gt;0,VLOOKUP($J263,'Table 1'!$B$13:$C$33,2,FALSE)/12*1000*Study_MW,0)</f>
        <v>0</v>
      </c>
      <c r="E263" s="196">
        <f t="shared" si="59"/>
        <v>364836.58096756914</v>
      </c>
      <c r="F263" s="195">
        <v>10398.867604778001</v>
      </c>
      <c r="G263" s="197">
        <f t="shared" si="60"/>
        <v>35.084260597753598</v>
      </c>
      <c r="I263" s="77">
        <f t="shared" si="63"/>
        <v>11</v>
      </c>
      <c r="J263" s="73">
        <f t="shared" si="61"/>
        <v>2038</v>
      </c>
      <c r="K263" s="78">
        <f t="shared" si="62"/>
        <v>50710</v>
      </c>
      <c r="M263" s="41">
        <v>2.1000000000000001E-2</v>
      </c>
    </row>
    <row r="264" spans="2:20" outlineLevel="1">
      <c r="B264" s="214"/>
      <c r="C264" s="198"/>
      <c r="D264" s="199"/>
      <c r="E264" s="199"/>
      <c r="F264" s="198"/>
      <c r="G264" s="200"/>
      <c r="I264" s="64">
        <f t="shared" si="63"/>
        <v>12</v>
      </c>
      <c r="J264" s="73">
        <f t="shared" si="61"/>
        <v>1900</v>
      </c>
      <c r="K264" s="82" t="str">
        <f t="shared" si="62"/>
        <v/>
      </c>
      <c r="M264" s="41" t="e">
        <v>#N/A</v>
      </c>
    </row>
    <row r="265" spans="2:20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102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108</v>
      </c>
      <c r="D5" s="126" t="s">
        <v>103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104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47.41</v>
      </c>
      <c r="D10" s="141">
        <v>2</v>
      </c>
      <c r="E10" s="135">
        <f t="shared" ref="E10:E32" si="0">SUM(C10:C10)*D10/12</f>
        <v>7.9016666666666664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49.76</v>
      </c>
      <c r="D12" s="141">
        <v>12</v>
      </c>
      <c r="E12" s="135">
        <f t="shared" si="0"/>
        <v>49.76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50.95</v>
      </c>
      <c r="D13" s="141">
        <v>12</v>
      </c>
      <c r="E13" s="135">
        <f t="shared" si="0"/>
        <v>50.95000000000001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52.12</v>
      </c>
      <c r="D14" s="141">
        <v>12</v>
      </c>
      <c r="E14" s="135">
        <f t="shared" si="0"/>
        <v>52.12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53.32</v>
      </c>
      <c r="D15" s="141">
        <v>12</v>
      </c>
      <c r="E15" s="135">
        <f t="shared" si="0"/>
        <v>53.32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54.49</v>
      </c>
      <c r="D16" s="141">
        <v>12</v>
      </c>
      <c r="E16" s="135">
        <f t="shared" si="0"/>
        <v>54.49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55.69</v>
      </c>
      <c r="D17" s="141">
        <v>12</v>
      </c>
      <c r="E17" s="135">
        <f t="shared" si="0"/>
        <v>55.69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56.92</v>
      </c>
      <c r="D18" s="141">
        <v>12</v>
      </c>
      <c r="E18" s="135">
        <f t="shared" si="0"/>
        <v>56.919999999999995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58.12</v>
      </c>
      <c r="D19" s="141">
        <v>12</v>
      </c>
      <c r="E19" s="135">
        <f t="shared" si="0"/>
        <v>58.12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59.28</v>
      </c>
      <c r="D20" s="141">
        <v>12</v>
      </c>
      <c r="E20" s="135">
        <f t="shared" si="0"/>
        <v>59.28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60.47</v>
      </c>
      <c r="D21" s="141">
        <v>12</v>
      </c>
      <c r="E21" s="135">
        <f t="shared" si="0"/>
        <v>60.47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61.68</v>
      </c>
      <c r="D22" s="141">
        <v>12</v>
      </c>
      <c r="E22" s="135">
        <f t="shared" si="0"/>
        <v>61.68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62.91</v>
      </c>
      <c r="D23" s="141">
        <v>12</v>
      </c>
      <c r="E23" s="135">
        <f t="shared" si="0"/>
        <v>62.91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64.17</v>
      </c>
      <c r="D24" s="141">
        <v>12</v>
      </c>
      <c r="E24" s="135">
        <f t="shared" si="0"/>
        <v>64.17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65.45</v>
      </c>
      <c r="D25" s="141">
        <v>12</v>
      </c>
      <c r="E25" s="135">
        <f t="shared" si="0"/>
        <v>65.45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66.760000000000005</v>
      </c>
      <c r="D26" s="141">
        <v>12</v>
      </c>
      <c r="E26" s="135">
        <f t="shared" si="0"/>
        <v>66.760000000000005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68.16</v>
      </c>
      <c r="D27" s="141">
        <v>12</v>
      </c>
      <c r="E27" s="135">
        <f t="shared" si="0"/>
        <v>68.16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69.59</v>
      </c>
      <c r="D28" s="141">
        <v>12</v>
      </c>
      <c r="E28" s="135">
        <f t="shared" si="0"/>
        <v>69.59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71.05</v>
      </c>
      <c r="D29" s="141">
        <v>12</v>
      </c>
      <c r="E29" s="135">
        <f t="shared" si="0"/>
        <v>71.05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72.540000000000006</v>
      </c>
      <c r="D30" s="141">
        <v>12</v>
      </c>
      <c r="E30" s="135">
        <f t="shared" si="0"/>
        <v>72.540000000000006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74.14</v>
      </c>
      <c r="D31" s="141">
        <v>12</v>
      </c>
      <c r="E31" s="135">
        <f t="shared" si="0"/>
        <v>74.14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75.77</v>
      </c>
      <c r="D32" s="141">
        <v>12</v>
      </c>
      <c r="E32" s="135">
        <f t="shared" si="0"/>
        <v>75.77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105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328" t="s">
        <v>109</v>
      </c>
      <c r="C36" s="329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June 29,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0.02</v>
      </c>
      <c r="E41" s="86"/>
      <c r="F41" s="88">
        <f>C49+1</f>
        <v>2026</v>
      </c>
      <c r="G41" s="41">
        <v>2.1999999999999999E-2</v>
      </c>
      <c r="H41" s="86"/>
      <c r="I41" s="88">
        <f>F49+1</f>
        <v>2035</v>
      </c>
      <c r="J41" s="88"/>
      <c r="K41" s="41">
        <v>0.02</v>
      </c>
    </row>
    <row r="42" spans="2:14">
      <c r="C42" s="88">
        <f t="shared" ref="C42:C49" si="4">C41+1</f>
        <v>2018</v>
      </c>
      <c r="D42" s="41">
        <v>2.3E-2</v>
      </c>
      <c r="E42" s="86"/>
      <c r="F42" s="88">
        <f t="shared" ref="F42:F49" si="5">F41+1</f>
        <v>2027</v>
      </c>
      <c r="G42" s="41">
        <v>2.1999999999999999E-2</v>
      </c>
      <c r="H42" s="86"/>
      <c r="I42" s="88">
        <f t="shared" ref="I42:I49" si="6">I41+1</f>
        <v>2036</v>
      </c>
      <c r="J42" s="88"/>
      <c r="K42" s="41">
        <v>0.02</v>
      </c>
    </row>
    <row r="43" spans="2:14">
      <c r="C43" s="88">
        <f t="shared" si="4"/>
        <v>2019</v>
      </c>
      <c r="D43" s="41">
        <v>2.1999999999999999E-2</v>
      </c>
      <c r="E43" s="86"/>
      <c r="F43" s="88">
        <f t="shared" si="5"/>
        <v>2028</v>
      </c>
      <c r="G43" s="41">
        <v>2.1999999999999999E-2</v>
      </c>
      <c r="H43" s="86"/>
      <c r="I43" s="88">
        <f t="shared" si="6"/>
        <v>2037</v>
      </c>
      <c r="J43" s="88"/>
      <c r="K43" s="41">
        <v>2.1000000000000001E-2</v>
      </c>
    </row>
    <row r="44" spans="2:14">
      <c r="C44" s="88">
        <f t="shared" si="4"/>
        <v>2020</v>
      </c>
      <c r="D44" s="41">
        <v>2.5000000000000001E-2</v>
      </c>
      <c r="E44" s="86"/>
      <c r="F44" s="88">
        <f t="shared" si="5"/>
        <v>2029</v>
      </c>
      <c r="G44" s="41">
        <v>2.1000000000000001E-2</v>
      </c>
      <c r="H44" s="86"/>
      <c r="I44" s="88">
        <f t="shared" si="6"/>
        <v>2038</v>
      </c>
      <c r="J44" s="88"/>
      <c r="K44" s="41">
        <v>2.1000000000000001E-2</v>
      </c>
    </row>
    <row r="45" spans="2:14">
      <c r="C45" s="88">
        <f t="shared" si="4"/>
        <v>2021</v>
      </c>
      <c r="D45" s="41">
        <v>2.4E-2</v>
      </c>
      <c r="E45" s="86"/>
      <c r="F45" s="88">
        <f t="shared" si="5"/>
        <v>2030</v>
      </c>
      <c r="G45" s="41">
        <v>0.02</v>
      </c>
      <c r="H45" s="86"/>
      <c r="I45" s="88">
        <f t="shared" si="6"/>
        <v>2039</v>
      </c>
      <c r="J45" s="88"/>
      <c r="K45" s="41">
        <v>2.1000000000000001E-2</v>
      </c>
    </row>
    <row r="46" spans="2:14">
      <c r="C46" s="88">
        <f t="shared" si="4"/>
        <v>2022</v>
      </c>
      <c r="D46" s="41">
        <v>2.4E-2</v>
      </c>
      <c r="E46" s="86"/>
      <c r="F46" s="88">
        <f t="shared" si="5"/>
        <v>2031</v>
      </c>
      <c r="G46" s="41">
        <v>0.02</v>
      </c>
      <c r="H46" s="86"/>
      <c r="I46" s="88">
        <f t="shared" si="6"/>
        <v>2040</v>
      </c>
      <c r="J46" s="88"/>
      <c r="K46" s="41">
        <v>2.1000000000000001E-2</v>
      </c>
    </row>
    <row r="47" spans="2:14" s="124" customFormat="1">
      <c r="C47" s="88">
        <f t="shared" si="4"/>
        <v>2023</v>
      </c>
      <c r="D47" s="41">
        <v>2.4E-2</v>
      </c>
      <c r="E47" s="87"/>
      <c r="F47" s="88">
        <f t="shared" si="5"/>
        <v>2032</v>
      </c>
      <c r="G47" s="41">
        <v>0.02</v>
      </c>
      <c r="H47" s="87"/>
      <c r="I47" s="88">
        <f t="shared" si="6"/>
        <v>2041</v>
      </c>
      <c r="J47" s="88"/>
      <c r="K47" s="41">
        <v>2.1999999999999999E-2</v>
      </c>
      <c r="N47" s="176"/>
    </row>
    <row r="48" spans="2:14" s="124" customFormat="1">
      <c r="C48" s="88">
        <f t="shared" si="4"/>
        <v>2024</v>
      </c>
      <c r="D48" s="41">
        <v>2.3E-2</v>
      </c>
      <c r="E48" s="87"/>
      <c r="F48" s="88">
        <f t="shared" si="5"/>
        <v>2033</v>
      </c>
      <c r="G48" s="41">
        <v>0.02</v>
      </c>
      <c r="H48" s="87"/>
      <c r="I48" s="88">
        <f t="shared" si="6"/>
        <v>2042</v>
      </c>
      <c r="J48" s="88"/>
      <c r="K48" s="41">
        <v>2.1999999999999999E-2</v>
      </c>
      <c r="N48" s="176"/>
    </row>
    <row r="49" spans="3:14" s="124" customFormat="1">
      <c r="C49" s="88">
        <f t="shared" si="4"/>
        <v>2025</v>
      </c>
      <c r="D49" s="41">
        <v>2.3E-2</v>
      </c>
      <c r="E49" s="87"/>
      <c r="F49" s="88">
        <f t="shared" si="5"/>
        <v>2034</v>
      </c>
      <c r="G49" s="41">
        <v>0.02</v>
      </c>
      <c r="H49" s="87"/>
      <c r="I49" s="88">
        <f t="shared" si="6"/>
        <v>2043</v>
      </c>
      <c r="J49" s="88"/>
      <c r="K49" s="41">
        <v>2.1999999999999999E-2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3" si="8">ROUND(E19*(1+$G66),2)</f>
        <v>46.24</v>
      </c>
      <c r="F20" s="135">
        <f t="shared" si="1"/>
        <v>17.02754455737222</v>
      </c>
      <c r="G20" s="133">
        <f t="shared" ref="G20:H23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3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>
        <f>$C$55</f>
        <v>1351.8149072293081</v>
      </c>
      <c r="D24" s="133">
        <f>C24*$C$62</f>
        <v>96.059849537504135</v>
      </c>
      <c r="E24" s="133">
        <f t="shared" ref="E24" si="12">ROUND(E23*(1+$K61),2)</f>
        <v>49.31</v>
      </c>
      <c r="F24" s="135">
        <f t="shared" ref="F24:F29" si="13">(D24+E24)/(8.76*$C$63)</f>
        <v>53.531392523753183</v>
      </c>
      <c r="G24" s="133">
        <f t="shared" ref="G24:H24" si="14">ROUND(G23*(1+$K61),2)</f>
        <v>0</v>
      </c>
      <c r="H24" s="143">
        <f t="shared" si="14"/>
        <v>0</v>
      </c>
      <c r="I24" s="135">
        <f t="shared" ref="I24:I29" si="15">F24+H24+G24</f>
        <v>53.531392523753183</v>
      </c>
      <c r="J24" s="135">
        <f t="shared" ref="J24:J29" si="16">ROUND(I24*$C$63*8.76,2)</f>
        <v>145.37</v>
      </c>
      <c r="K24" s="133">
        <f t="shared" ref="K24:K29" si="17">ROUND(K23*(1+$K61),2)</f>
        <v>0.81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>
        <f t="shared" ref="D25" si="18">ROUND(D24*(1+$K62),2)</f>
        <v>96.06</v>
      </c>
      <c r="E25" s="133">
        <f t="shared" ref="E25" si="19">ROUND(E24*(1+$K62),2)</f>
        <v>49.31</v>
      </c>
      <c r="F25" s="135">
        <f t="shared" si="13"/>
        <v>53.531447930475778</v>
      </c>
      <c r="G25" s="133">
        <f t="shared" ref="G25:H25" si="20">ROUND(G24*(1+$K62),2)</f>
        <v>0</v>
      </c>
      <c r="H25" s="143">
        <f t="shared" si="20"/>
        <v>0</v>
      </c>
      <c r="I25" s="135">
        <f t="shared" si="15"/>
        <v>53.531447930475778</v>
      </c>
      <c r="J25" s="135">
        <f t="shared" si="16"/>
        <v>145.37</v>
      </c>
      <c r="K25" s="133">
        <f t="shared" si="17"/>
        <v>0.81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>
        <f t="shared" ref="D26" si="21">ROUND(D25*(1+$K63),2)</f>
        <v>96.06</v>
      </c>
      <c r="E26" s="133">
        <f t="shared" ref="E26" si="22">ROUND(E25*(1+$K63),2)</f>
        <v>49.31</v>
      </c>
      <c r="F26" s="135">
        <f t="shared" si="13"/>
        <v>53.531447930475778</v>
      </c>
      <c r="G26" s="133">
        <f t="shared" ref="G26:H26" si="23">ROUND(G25*(1+$K63),2)</f>
        <v>0</v>
      </c>
      <c r="H26" s="143">
        <f t="shared" si="23"/>
        <v>0</v>
      </c>
      <c r="I26" s="135">
        <f t="shared" si="15"/>
        <v>53.531447930475778</v>
      </c>
      <c r="J26" s="135">
        <f t="shared" si="16"/>
        <v>145.37</v>
      </c>
      <c r="K26" s="133">
        <f t="shared" si="17"/>
        <v>0.81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>
        <f t="shared" ref="D27" si="24">ROUND(D26*(1+$K64),2)</f>
        <v>96.06</v>
      </c>
      <c r="E27" s="133">
        <f t="shared" ref="E27" si="25">ROUND(E26*(1+$K64),2)</f>
        <v>49.31</v>
      </c>
      <c r="F27" s="135">
        <f t="shared" si="13"/>
        <v>53.531447930475778</v>
      </c>
      <c r="G27" s="133">
        <f t="shared" ref="G27:H27" si="26">ROUND(G26*(1+$K64),2)</f>
        <v>0</v>
      </c>
      <c r="H27" s="143">
        <f t="shared" si="26"/>
        <v>0</v>
      </c>
      <c r="I27" s="135">
        <f t="shared" si="15"/>
        <v>53.531447930475778</v>
      </c>
      <c r="J27" s="135">
        <f t="shared" si="16"/>
        <v>145.37</v>
      </c>
      <c r="K27" s="133">
        <f t="shared" si="17"/>
        <v>0.81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>
        <f t="shared" ref="D28" si="27">ROUND(D27*(1+$K65),2)</f>
        <v>96.06</v>
      </c>
      <c r="E28" s="133">
        <f t="shared" ref="E28" si="28">ROUND(E27*(1+$K65),2)</f>
        <v>49.31</v>
      </c>
      <c r="F28" s="135">
        <f t="shared" si="13"/>
        <v>53.531447930475778</v>
      </c>
      <c r="G28" s="133">
        <f t="shared" ref="G28:H28" si="29">ROUND(G27*(1+$K65),2)</f>
        <v>0</v>
      </c>
      <c r="H28" s="143">
        <f t="shared" si="29"/>
        <v>0</v>
      </c>
      <c r="I28" s="135">
        <f t="shared" si="15"/>
        <v>53.531447930475778</v>
      </c>
      <c r="J28" s="135">
        <f t="shared" si="16"/>
        <v>145.37</v>
      </c>
      <c r="K28" s="133">
        <f t="shared" si="17"/>
        <v>0.81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>
        <f t="shared" ref="D29" si="30">ROUND(D28*(1+$K66),2)</f>
        <v>97.98</v>
      </c>
      <c r="E29" s="133">
        <f t="shared" ref="E29" si="31">ROUND(E28*(1+$K66),2)</f>
        <v>50.3</v>
      </c>
      <c r="F29" s="135">
        <f t="shared" si="13"/>
        <v>54.603034320223898</v>
      </c>
      <c r="G29" s="133">
        <f t="shared" ref="G29:H29" si="32">ROUND(G28*(1+$K66),2)</f>
        <v>0</v>
      </c>
      <c r="H29" s="143">
        <f t="shared" si="32"/>
        <v>0</v>
      </c>
      <c r="I29" s="135">
        <f t="shared" si="15"/>
        <v>54.603034320223898</v>
      </c>
      <c r="J29" s="135">
        <f t="shared" si="16"/>
        <v>148.28</v>
      </c>
      <c r="K29" s="133">
        <f t="shared" si="17"/>
        <v>0.83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ref="D30" si="33">ROUND(D29*(1+$K67),2)</f>
        <v>99.94</v>
      </c>
      <c r="E30" s="133">
        <f t="shared" ref="D30:E36" si="34">ROUND(E29*(1+$K67),2)</f>
        <v>51.31</v>
      </c>
      <c r="F30" s="135">
        <f t="shared" si="1"/>
        <v>55.696715274709092</v>
      </c>
      <c r="G30" s="133">
        <f t="shared" ref="G30:H36" si="35">ROUND(G29*(1+$K67),2)</f>
        <v>0</v>
      </c>
      <c r="H30" s="143">
        <f t="shared" si="35"/>
        <v>0</v>
      </c>
      <c r="I30" s="135">
        <f t="shared" si="2"/>
        <v>55.696715274709092</v>
      </c>
      <c r="J30" s="135">
        <f t="shared" si="3"/>
        <v>151.25</v>
      </c>
      <c r="K30" s="133">
        <f t="shared" ref="K30:K36" si="36">ROUND(K29*(1+$K67),2)</f>
        <v>0.85</v>
      </c>
      <c r="L30" s="124"/>
      <c r="P30" s="170">
        <f t="shared" ref="P30:P36" si="37">ROUND(P29*(1+$K67),2)</f>
        <v>0</v>
      </c>
    </row>
    <row r="31" spans="2:17">
      <c r="B31" s="141">
        <f t="shared" si="0"/>
        <v>2037</v>
      </c>
      <c r="C31" s="142"/>
      <c r="D31" s="133">
        <f t="shared" si="34"/>
        <v>102.04</v>
      </c>
      <c r="E31" s="133">
        <f t="shared" si="34"/>
        <v>52.39</v>
      </c>
      <c r="F31" s="135">
        <f t="shared" si="1"/>
        <v>56.867727205774052</v>
      </c>
      <c r="G31" s="133">
        <f t="shared" si="35"/>
        <v>0</v>
      </c>
      <c r="H31" s="143">
        <f t="shared" si="35"/>
        <v>0</v>
      </c>
      <c r="I31" s="135">
        <f t="shared" si="2"/>
        <v>56.867727205774052</v>
      </c>
      <c r="J31" s="135">
        <f t="shared" si="3"/>
        <v>154.43</v>
      </c>
      <c r="K31" s="133">
        <f t="shared" si="36"/>
        <v>0.87</v>
      </c>
      <c r="L31" s="124"/>
      <c r="P31" s="170">
        <f t="shared" si="37"/>
        <v>0</v>
      </c>
    </row>
    <row r="32" spans="2:17">
      <c r="B32" s="141">
        <f t="shared" si="0"/>
        <v>2038</v>
      </c>
      <c r="C32" s="142"/>
      <c r="D32" s="133">
        <f t="shared" ref="D32" si="38">ROUND(D31*(1+$K69),2)</f>
        <v>104.18</v>
      </c>
      <c r="E32" s="133">
        <f t="shared" si="34"/>
        <v>53.49</v>
      </c>
      <c r="F32" s="135">
        <f t="shared" si="1"/>
        <v>58.060833701576087</v>
      </c>
      <c r="G32" s="133">
        <f t="shared" si="35"/>
        <v>0</v>
      </c>
      <c r="H32" s="143">
        <f t="shared" si="35"/>
        <v>0</v>
      </c>
      <c r="I32" s="135">
        <f t="shared" si="2"/>
        <v>58.060833701576087</v>
      </c>
      <c r="J32" s="135">
        <f t="shared" si="3"/>
        <v>157.66999999999999</v>
      </c>
      <c r="K32" s="133">
        <f t="shared" si="36"/>
        <v>0.89</v>
      </c>
      <c r="L32" s="124"/>
      <c r="P32" s="170">
        <f t="shared" si="37"/>
        <v>0</v>
      </c>
    </row>
    <row r="33" spans="2:16">
      <c r="B33" s="141">
        <f t="shared" si="0"/>
        <v>2039</v>
      </c>
      <c r="C33" s="142"/>
      <c r="D33" s="133">
        <f t="shared" ref="D33" si="39">ROUND(D32*(1+$K70),2)</f>
        <v>106.37</v>
      </c>
      <c r="E33" s="133">
        <f t="shared" si="34"/>
        <v>54.61</v>
      </c>
      <c r="F33" s="135">
        <f t="shared" si="1"/>
        <v>59.279717189571379</v>
      </c>
      <c r="G33" s="133">
        <f t="shared" si="35"/>
        <v>0</v>
      </c>
      <c r="H33" s="143">
        <f t="shared" si="35"/>
        <v>0</v>
      </c>
      <c r="I33" s="135">
        <f t="shared" si="2"/>
        <v>59.279717189571379</v>
      </c>
      <c r="J33" s="135">
        <f t="shared" si="3"/>
        <v>160.97999999999999</v>
      </c>
      <c r="K33" s="133">
        <f t="shared" si="36"/>
        <v>0.91</v>
      </c>
      <c r="L33" s="124"/>
      <c r="P33" s="170">
        <f t="shared" si="37"/>
        <v>0</v>
      </c>
    </row>
    <row r="34" spans="2:16">
      <c r="B34" s="141">
        <f t="shared" si="0"/>
        <v>2040</v>
      </c>
      <c r="C34" s="142"/>
      <c r="D34" s="133">
        <f t="shared" ref="D34" si="40">ROUND(D33*(1+$K71),2)</f>
        <v>108.6</v>
      </c>
      <c r="E34" s="133">
        <f t="shared" si="34"/>
        <v>55.76</v>
      </c>
      <c r="F34" s="135">
        <f t="shared" si="1"/>
        <v>60.524377669759907</v>
      </c>
      <c r="G34" s="133">
        <f t="shared" si="35"/>
        <v>0</v>
      </c>
      <c r="H34" s="143">
        <f t="shared" si="35"/>
        <v>0</v>
      </c>
      <c r="I34" s="135">
        <f t="shared" si="2"/>
        <v>60.524377669759907</v>
      </c>
      <c r="J34" s="135">
        <f t="shared" si="3"/>
        <v>164.36</v>
      </c>
      <c r="K34" s="133">
        <f t="shared" si="36"/>
        <v>0.93</v>
      </c>
      <c r="L34" s="124"/>
      <c r="P34" s="170">
        <f t="shared" si="37"/>
        <v>0</v>
      </c>
    </row>
    <row r="35" spans="2:16">
      <c r="B35" s="141">
        <f t="shared" si="0"/>
        <v>2041</v>
      </c>
      <c r="C35" s="142"/>
      <c r="D35" s="133">
        <f t="shared" ref="D35" si="41">ROUND(D34*(1+$K72),2)</f>
        <v>110.99</v>
      </c>
      <c r="E35" s="133">
        <f t="shared" si="34"/>
        <v>56.99</v>
      </c>
      <c r="F35" s="135">
        <f t="shared" si="1"/>
        <v>61.857416408896746</v>
      </c>
      <c r="G35" s="133">
        <f t="shared" si="35"/>
        <v>0</v>
      </c>
      <c r="H35" s="143">
        <f t="shared" si="35"/>
        <v>0</v>
      </c>
      <c r="I35" s="135">
        <f t="shared" si="2"/>
        <v>61.857416408896746</v>
      </c>
      <c r="J35" s="135">
        <f t="shared" si="3"/>
        <v>167.98</v>
      </c>
      <c r="K35" s="133">
        <f t="shared" si="36"/>
        <v>0.95</v>
      </c>
      <c r="L35" s="124"/>
      <c r="P35" s="170">
        <f t="shared" si="37"/>
        <v>0</v>
      </c>
    </row>
    <row r="36" spans="2:16">
      <c r="B36" s="141">
        <f t="shared" si="0"/>
        <v>2042</v>
      </c>
      <c r="C36" s="142"/>
      <c r="D36" s="133">
        <f t="shared" ref="D36" si="42">ROUND(D35*(1+$K73),2)</f>
        <v>113.43</v>
      </c>
      <c r="E36" s="133">
        <f t="shared" si="34"/>
        <v>58.24</v>
      </c>
      <c r="F36" s="135">
        <f t="shared" si="1"/>
        <v>63.21623214022685</v>
      </c>
      <c r="G36" s="133">
        <f t="shared" si="35"/>
        <v>0</v>
      </c>
      <c r="H36" s="143">
        <f t="shared" si="35"/>
        <v>0</v>
      </c>
      <c r="I36" s="135">
        <f t="shared" si="2"/>
        <v>63.21623214022685</v>
      </c>
      <c r="J36" s="135">
        <f t="shared" si="3"/>
        <v>171.67</v>
      </c>
      <c r="K36" s="133">
        <f t="shared" si="36"/>
        <v>0.97</v>
      </c>
      <c r="L36" s="124"/>
      <c r="P36" s="170">
        <f t="shared" si="37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1351.8149072293081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43">C66+1</f>
        <v>2018</v>
      </c>
      <c r="D67" s="41">
        <v>2.3E-2</v>
      </c>
      <c r="E67" s="86"/>
      <c r="F67" s="88">
        <f t="shared" ref="F67:F74" si="44">F66+1</f>
        <v>2027</v>
      </c>
      <c r="G67" s="41">
        <v>2.1999999999999999E-2</v>
      </c>
      <c r="H67" s="86"/>
      <c r="I67" s="88">
        <f t="shared" ref="I67:I74" si="45">I66+1</f>
        <v>2036</v>
      </c>
      <c r="J67" s="88"/>
      <c r="K67" s="41">
        <v>0.02</v>
      </c>
    </row>
    <row r="68" spans="3:11">
      <c r="C68" s="88">
        <f t="shared" si="43"/>
        <v>2019</v>
      </c>
      <c r="D68" s="41">
        <v>2.1999999999999999E-2</v>
      </c>
      <c r="E68" s="86"/>
      <c r="F68" s="88">
        <f t="shared" si="44"/>
        <v>2028</v>
      </c>
      <c r="G68" s="41">
        <v>2.1999999999999999E-2</v>
      </c>
      <c r="H68" s="86"/>
      <c r="I68" s="88">
        <f t="shared" si="45"/>
        <v>2037</v>
      </c>
      <c r="J68" s="88"/>
      <c r="K68" s="41">
        <v>2.1000000000000001E-2</v>
      </c>
    </row>
    <row r="69" spans="3:11">
      <c r="C69" s="88">
        <f t="shared" si="43"/>
        <v>2020</v>
      </c>
      <c r="D69" s="41">
        <v>2.5000000000000001E-2</v>
      </c>
      <c r="E69" s="86"/>
      <c r="F69" s="88">
        <f t="shared" si="44"/>
        <v>2029</v>
      </c>
      <c r="G69" s="41">
        <v>2.1000000000000001E-2</v>
      </c>
      <c r="H69" s="86"/>
      <c r="I69" s="88">
        <f t="shared" si="45"/>
        <v>2038</v>
      </c>
      <c r="J69" s="88"/>
      <c r="K69" s="41">
        <v>2.1000000000000001E-2</v>
      </c>
    </row>
    <row r="70" spans="3:11">
      <c r="C70" s="88">
        <f t="shared" si="43"/>
        <v>2021</v>
      </c>
      <c r="D70" s="41">
        <v>2.4E-2</v>
      </c>
      <c r="E70" s="86"/>
      <c r="F70" s="88">
        <f t="shared" si="44"/>
        <v>2030</v>
      </c>
      <c r="G70" s="41">
        <v>0.02</v>
      </c>
      <c r="H70" s="86"/>
      <c r="I70" s="88">
        <f t="shared" si="45"/>
        <v>2039</v>
      </c>
      <c r="J70" s="88"/>
      <c r="K70" s="41">
        <v>2.1000000000000001E-2</v>
      </c>
    </row>
    <row r="71" spans="3:11">
      <c r="C71" s="88">
        <f t="shared" si="43"/>
        <v>2022</v>
      </c>
      <c r="D71" s="41">
        <v>2.4E-2</v>
      </c>
      <c r="E71" s="86"/>
      <c r="F71" s="88">
        <f t="shared" si="44"/>
        <v>2031</v>
      </c>
      <c r="G71" s="41">
        <v>0.02</v>
      </c>
      <c r="H71" s="86"/>
      <c r="I71" s="88">
        <f t="shared" si="45"/>
        <v>2040</v>
      </c>
      <c r="J71" s="88"/>
      <c r="K71" s="41">
        <v>2.1000000000000001E-2</v>
      </c>
    </row>
    <row r="72" spans="3:11" s="124" customFormat="1">
      <c r="C72" s="88">
        <f t="shared" si="43"/>
        <v>2023</v>
      </c>
      <c r="D72" s="41">
        <v>2.4E-2</v>
      </c>
      <c r="E72" s="87"/>
      <c r="F72" s="88">
        <f t="shared" si="44"/>
        <v>2032</v>
      </c>
      <c r="G72" s="41">
        <v>0.02</v>
      </c>
      <c r="H72" s="87"/>
      <c r="I72" s="88">
        <f t="shared" si="45"/>
        <v>2041</v>
      </c>
      <c r="J72" s="88"/>
      <c r="K72" s="41">
        <v>2.1999999999999999E-2</v>
      </c>
    </row>
    <row r="73" spans="3:11" s="124" customFormat="1">
      <c r="C73" s="88">
        <f t="shared" si="43"/>
        <v>2024</v>
      </c>
      <c r="D73" s="41">
        <v>2.3E-2</v>
      </c>
      <c r="E73" s="87"/>
      <c r="F73" s="88">
        <f t="shared" si="44"/>
        <v>2033</v>
      </c>
      <c r="G73" s="41">
        <v>0.02</v>
      </c>
      <c r="H73" s="87"/>
      <c r="I73" s="88">
        <f t="shared" si="45"/>
        <v>2042</v>
      </c>
      <c r="J73" s="88"/>
      <c r="K73" s="41">
        <v>2.1999999999999999E-2</v>
      </c>
    </row>
    <row r="74" spans="3:11" s="124" customFormat="1">
      <c r="C74" s="88">
        <f t="shared" si="43"/>
        <v>2025</v>
      </c>
      <c r="D74" s="41">
        <v>2.3E-2</v>
      </c>
      <c r="E74" s="87"/>
      <c r="F74" s="88">
        <f t="shared" si="44"/>
        <v>2034</v>
      </c>
      <c r="G74" s="41">
        <v>0.02</v>
      </c>
      <c r="H74" s="87"/>
      <c r="I74" s="88">
        <f t="shared" si="4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10.622242860459718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11.282242860459718</v>
      </c>
      <c r="J12" s="135">
        <f t="shared" si="3"/>
        <v>40.82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10.857187081937489</v>
      </c>
      <c r="G13" s="133">
        <f t="shared" si="5"/>
        <v>0.67</v>
      </c>
      <c r="H13" s="143">
        <f t="shared" ref="H13" si="9">ROUND(H12*(1+$D68),2)</f>
        <v>0</v>
      </c>
      <c r="I13" s="135">
        <f t="shared" si="2"/>
        <v>11.527187081937489</v>
      </c>
      <c r="J13" s="135">
        <f t="shared" si="3"/>
        <v>41.7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11.128063949053038</v>
      </c>
      <c r="G14" s="133">
        <f t="shared" si="5"/>
        <v>0.69</v>
      </c>
      <c r="H14" s="143">
        <f t="shared" ref="H14" si="10">ROUND(H13*(1+$D69),2)</f>
        <v>0</v>
      </c>
      <c r="I14" s="135">
        <f t="shared" si="2"/>
        <v>11.818063949053037</v>
      </c>
      <c r="J14" s="135">
        <f t="shared" si="3"/>
        <v>42.76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11.396176766504141</v>
      </c>
      <c r="G15" s="133">
        <f t="shared" si="5"/>
        <v>0.71</v>
      </c>
      <c r="H15" s="143">
        <f t="shared" ref="H15" si="11">ROUND(H14*(1+$D70),2)</f>
        <v>0</v>
      </c>
      <c r="I15" s="135">
        <f t="shared" si="2"/>
        <v>12.106176766504142</v>
      </c>
      <c r="J15" s="135">
        <f t="shared" si="3"/>
        <v>43.8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11.669817683284135</v>
      </c>
      <c r="G16" s="133">
        <f t="shared" si="5"/>
        <v>0.73</v>
      </c>
      <c r="H16" s="143">
        <f t="shared" ref="H16" si="12">ROUND(H15*(1+$D71),2)</f>
        <v>0</v>
      </c>
      <c r="I16" s="135">
        <f t="shared" si="2"/>
        <v>12.399817683284136</v>
      </c>
      <c r="J16" s="135">
        <f t="shared" si="3"/>
        <v>44.86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11.948986699393016</v>
      </c>
      <c r="G17" s="133">
        <f t="shared" si="5"/>
        <v>0.75</v>
      </c>
      <c r="H17" s="143">
        <f t="shared" ref="H17" si="13">ROUND(H16*(1+$D72),2)</f>
        <v>0</v>
      </c>
      <c r="I17" s="135">
        <f t="shared" si="2"/>
        <v>12.698986699393016</v>
      </c>
      <c r="J17" s="135">
        <f t="shared" si="3"/>
        <v>45.94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12.222627616173009</v>
      </c>
      <c r="G18" s="133">
        <f t="shared" si="5"/>
        <v>0.77</v>
      </c>
      <c r="H18" s="143">
        <f t="shared" ref="H18" si="14">ROUND(H17*(1+$D73),2)</f>
        <v>0</v>
      </c>
      <c r="I18" s="135">
        <f t="shared" si="2"/>
        <v>12.992627616173008</v>
      </c>
      <c r="J18" s="135">
        <f t="shared" si="3"/>
        <v>47.01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12.504560681946336</v>
      </c>
      <c r="G19" s="133">
        <f t="shared" si="5"/>
        <v>0.79</v>
      </c>
      <c r="H19" s="143">
        <f t="shared" ref="H19" si="15">ROUND(H18*(1+$D74),2)</f>
        <v>0</v>
      </c>
      <c r="I19" s="135">
        <f t="shared" si="2"/>
        <v>13.294560681946336</v>
      </c>
      <c r="J19" s="135">
        <f t="shared" si="3"/>
        <v>48.1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46.24</v>
      </c>
      <c r="F20" s="135">
        <f t="shared" si="1"/>
        <v>12.780965648390772</v>
      </c>
      <c r="G20" s="133">
        <f t="shared" ref="G20:G28" si="17">ROUND(G19*(1+$G66),2)</f>
        <v>0.81</v>
      </c>
      <c r="H20" s="143">
        <f t="shared" ref="H20:H28" si="18">ROUND(H19*(1+$G66),2)</f>
        <v>0</v>
      </c>
      <c r="I20" s="135">
        <f t="shared" si="2"/>
        <v>13.590965648390773</v>
      </c>
      <c r="J20" s="135">
        <f t="shared" si="3"/>
        <v>49.17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47.26</v>
      </c>
      <c r="F21" s="135">
        <f t="shared" si="1"/>
        <v>13.062898714164097</v>
      </c>
      <c r="G21" s="133">
        <f t="shared" si="17"/>
        <v>0.83</v>
      </c>
      <c r="H21" s="143">
        <f t="shared" si="18"/>
        <v>0</v>
      </c>
      <c r="I21" s="135">
        <f t="shared" si="2"/>
        <v>13.892898714164097</v>
      </c>
      <c r="J21" s="135">
        <f t="shared" si="3"/>
        <v>50.26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48.3</v>
      </c>
      <c r="F22" s="135">
        <f t="shared" si="1"/>
        <v>13.350359879266312</v>
      </c>
      <c r="G22" s="133">
        <f t="shared" si="17"/>
        <v>0.85</v>
      </c>
      <c r="H22" s="143">
        <f t="shared" si="18"/>
        <v>0</v>
      </c>
      <c r="I22" s="135">
        <f t="shared" si="2"/>
        <v>14.200359879266312</v>
      </c>
      <c r="J22" s="135">
        <f t="shared" si="3"/>
        <v>51.38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49.31</v>
      </c>
      <c r="F23" s="135">
        <f t="shared" si="1"/>
        <v>13.629528895375195</v>
      </c>
      <c r="G23" s="133">
        <f t="shared" si="17"/>
        <v>0.87</v>
      </c>
      <c r="H23" s="143">
        <f t="shared" si="18"/>
        <v>0</v>
      </c>
      <c r="I23" s="135">
        <f t="shared" si="2"/>
        <v>14.499528895375194</v>
      </c>
      <c r="J23" s="135">
        <f t="shared" si="3"/>
        <v>52.46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50.3</v>
      </c>
      <c r="F24" s="135">
        <f t="shared" si="1"/>
        <v>40.483246194184204</v>
      </c>
      <c r="G24" s="133">
        <f t="shared" si="17"/>
        <v>0.89</v>
      </c>
      <c r="H24" s="143">
        <f t="shared" si="18"/>
        <v>0</v>
      </c>
      <c r="I24" s="135">
        <f t="shared" si="2"/>
        <v>41.373246194184205</v>
      </c>
      <c r="J24" s="135">
        <f t="shared" si="3"/>
        <v>149.68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98.09</v>
      </c>
      <c r="E25" s="133">
        <f t="shared" si="16"/>
        <v>51.31</v>
      </c>
      <c r="F25" s="135">
        <f t="shared" si="1"/>
        <v>41.294901986798905</v>
      </c>
      <c r="G25" s="133">
        <f t="shared" si="17"/>
        <v>0.91</v>
      </c>
      <c r="H25" s="143">
        <f t="shared" si="18"/>
        <v>0</v>
      </c>
      <c r="I25" s="135">
        <f t="shared" si="2"/>
        <v>42.204901986798902</v>
      </c>
      <c r="J25" s="135">
        <f t="shared" si="3"/>
        <v>152.69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100.05</v>
      </c>
      <c r="E26" s="133">
        <f t="shared" si="16"/>
        <v>52.34</v>
      </c>
      <c r="F26" s="135">
        <f t="shared" si="1"/>
        <v>42.121352836467764</v>
      </c>
      <c r="G26" s="133">
        <f t="shared" si="17"/>
        <v>0.93</v>
      </c>
      <c r="H26" s="143">
        <f t="shared" si="18"/>
        <v>0</v>
      </c>
      <c r="I26" s="135">
        <f t="shared" si="2"/>
        <v>43.051352836467764</v>
      </c>
      <c r="J26" s="135">
        <f t="shared" si="3"/>
        <v>155.75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102.05</v>
      </c>
      <c r="E27" s="133">
        <f t="shared" si="16"/>
        <v>53.39</v>
      </c>
      <c r="F27" s="135">
        <f t="shared" si="1"/>
        <v>42.964387984123306</v>
      </c>
      <c r="G27" s="133">
        <f t="shared" si="17"/>
        <v>0.95</v>
      </c>
      <c r="H27" s="143">
        <f t="shared" si="18"/>
        <v>0</v>
      </c>
      <c r="I27" s="135">
        <f t="shared" si="2"/>
        <v>43.914387984123309</v>
      </c>
      <c r="J27" s="135">
        <f t="shared" si="3"/>
        <v>158.88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104.09</v>
      </c>
      <c r="E28" s="133">
        <f t="shared" si="16"/>
        <v>54.46</v>
      </c>
      <c r="F28" s="135">
        <f t="shared" si="1"/>
        <v>43.824007429765508</v>
      </c>
      <c r="G28" s="133">
        <f t="shared" si="17"/>
        <v>0.97</v>
      </c>
      <c r="H28" s="143">
        <f t="shared" si="18"/>
        <v>0</v>
      </c>
      <c r="I28" s="135">
        <f t="shared" si="2"/>
        <v>44.794007429765507</v>
      </c>
      <c r="J28" s="135">
        <f t="shared" si="3"/>
        <v>162.06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106.17</v>
      </c>
      <c r="E29" s="133">
        <f t="shared" si="22"/>
        <v>55.55</v>
      </c>
      <c r="F29" s="135">
        <f t="shared" si="1"/>
        <v>44.700211173394372</v>
      </c>
      <c r="G29" s="133">
        <f>ROUND(G28*(1+$K66),2)</f>
        <v>0.99</v>
      </c>
      <c r="H29" s="143">
        <f>ROUND(H28*(1+$K66),2)</f>
        <v>0</v>
      </c>
      <c r="I29" s="135">
        <f t="shared" si="2"/>
        <v>45.690211173394374</v>
      </c>
      <c r="J29" s="135">
        <f t="shared" si="3"/>
        <v>165.3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108.29</v>
      </c>
      <c r="E30" s="133">
        <f t="shared" si="22"/>
        <v>56.66</v>
      </c>
      <c r="F30" s="135">
        <f t="shared" si="1"/>
        <v>45.592999215009897</v>
      </c>
      <c r="G30" s="133">
        <f t="shared" ref="G30:G36" si="23">ROUND(G29*(1+$K67),2)</f>
        <v>1.01</v>
      </c>
      <c r="H30" s="143">
        <f t="shared" ref="H30" si="24">ROUND(H29*(1+$K67),2)</f>
        <v>0</v>
      </c>
      <c r="I30" s="135">
        <f t="shared" si="2"/>
        <v>46.602999215009895</v>
      </c>
      <c r="J30" s="135">
        <f t="shared" si="3"/>
        <v>168.6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110.56</v>
      </c>
      <c r="E31" s="133">
        <f t="shared" si="22"/>
        <v>57.85</v>
      </c>
      <c r="F31" s="135">
        <f t="shared" si="1"/>
        <v>46.549360398907652</v>
      </c>
      <c r="G31" s="133">
        <f t="shared" si="23"/>
        <v>1.03</v>
      </c>
      <c r="H31" s="143">
        <f t="shared" ref="H31" si="27">ROUND(H30*(1+$K68),2)</f>
        <v>0</v>
      </c>
      <c r="I31" s="135">
        <f t="shared" si="2"/>
        <v>47.579360398907653</v>
      </c>
      <c r="J31" s="135">
        <f t="shared" si="3"/>
        <v>172.14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112.88</v>
      </c>
      <c r="E32" s="133">
        <f t="shared" si="22"/>
        <v>59.06</v>
      </c>
      <c r="F32" s="135">
        <f t="shared" si="1"/>
        <v>47.525069930456517</v>
      </c>
      <c r="G32" s="133">
        <f t="shared" si="23"/>
        <v>1.05</v>
      </c>
      <c r="H32" s="143">
        <f t="shared" ref="H32" si="28">ROUND(H31*(1+$K69),2)</f>
        <v>0</v>
      </c>
      <c r="I32" s="135">
        <f t="shared" si="2"/>
        <v>48.575069930456515</v>
      </c>
      <c r="J32" s="135">
        <f t="shared" si="3"/>
        <v>175.74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115.25</v>
      </c>
      <c r="E33" s="133">
        <f t="shared" si="22"/>
        <v>60.3</v>
      </c>
      <c r="F33" s="135">
        <f t="shared" si="1"/>
        <v>48.522891859320936</v>
      </c>
      <c r="G33" s="133">
        <f t="shared" si="23"/>
        <v>1.07</v>
      </c>
      <c r="H33" s="143">
        <f t="shared" ref="H33" si="29">ROUND(H32*(1+$K70),2)</f>
        <v>0</v>
      </c>
      <c r="I33" s="135">
        <f t="shared" si="2"/>
        <v>49.592891859320936</v>
      </c>
      <c r="J33" s="135">
        <f t="shared" si="3"/>
        <v>179.42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117.67</v>
      </c>
      <c r="E34" s="133">
        <f t="shared" si="22"/>
        <v>61.57</v>
      </c>
      <c r="F34" s="135">
        <f t="shared" si="1"/>
        <v>49.542826185500907</v>
      </c>
      <c r="G34" s="133">
        <f t="shared" si="23"/>
        <v>1.0900000000000001</v>
      </c>
      <c r="H34" s="143">
        <f t="shared" ref="H34" si="30">ROUND(H33*(1+$K71),2)</f>
        <v>0</v>
      </c>
      <c r="I34" s="135">
        <f t="shared" si="2"/>
        <v>50.63282618550091</v>
      </c>
      <c r="J34" s="135">
        <f t="shared" si="3"/>
        <v>183.18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120.26</v>
      </c>
      <c r="E35" s="133">
        <f t="shared" si="22"/>
        <v>62.92</v>
      </c>
      <c r="F35" s="135">
        <f t="shared" si="1"/>
        <v>50.631861753291993</v>
      </c>
      <c r="G35" s="133">
        <f t="shared" si="23"/>
        <v>1.1100000000000001</v>
      </c>
      <c r="H35" s="143">
        <f t="shared" ref="H35" si="31">ROUND(H34*(1+$K72),2)</f>
        <v>0</v>
      </c>
      <c r="I35" s="135">
        <f t="shared" si="2"/>
        <v>51.741861753291992</v>
      </c>
      <c r="J35" s="135">
        <f t="shared" si="3"/>
        <v>187.2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122.91</v>
      </c>
      <c r="E36" s="133">
        <f t="shared" si="22"/>
        <v>64.3</v>
      </c>
      <c r="F36" s="135">
        <f t="shared" si="1"/>
        <v>51.745773768063067</v>
      </c>
      <c r="G36" s="133">
        <f t="shared" si="23"/>
        <v>1.1299999999999999</v>
      </c>
      <c r="H36" s="143">
        <f t="shared" ref="H36" si="32">ROUND(H35*(1+$K73),2)</f>
        <v>0</v>
      </c>
      <c r="I36" s="135">
        <f t="shared" si="2"/>
        <v>52.87577376806307</v>
      </c>
      <c r="J36" s="135">
        <f t="shared" si="3"/>
        <v>191.3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1353.2739183554006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37.565582271006477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0.65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146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86"/>
      <c r="I67" s="88">
        <f t="shared" ref="I67:I74" si="35">I66+1</f>
        <v>2036</v>
      </c>
      <c r="J67" s="88"/>
      <c r="K67" s="41">
        <v>0.02</v>
      </c>
    </row>
    <row r="68" spans="3:11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86"/>
      <c r="I68" s="88">
        <f t="shared" si="35"/>
        <v>2037</v>
      </c>
      <c r="J68" s="88"/>
      <c r="K68" s="41">
        <v>2.1000000000000001E-2</v>
      </c>
    </row>
    <row r="69" spans="3:11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86"/>
      <c r="I69" s="88">
        <f t="shared" si="35"/>
        <v>2038</v>
      </c>
      <c r="J69" s="88"/>
      <c r="K69" s="41">
        <v>2.1000000000000001E-2</v>
      </c>
    </row>
    <row r="70" spans="3:11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86"/>
      <c r="I70" s="88">
        <f t="shared" si="35"/>
        <v>2039</v>
      </c>
      <c r="J70" s="88"/>
      <c r="K70" s="41">
        <v>2.1000000000000001E-2</v>
      </c>
    </row>
    <row r="71" spans="3:11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86"/>
      <c r="I71" s="88">
        <f t="shared" si="35"/>
        <v>2040</v>
      </c>
      <c r="J71" s="88"/>
      <c r="K71" s="41">
        <v>2.1000000000000001E-2</v>
      </c>
    </row>
    <row r="72" spans="3:11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87"/>
      <c r="I72" s="88">
        <f t="shared" si="35"/>
        <v>2041</v>
      </c>
      <c r="J72" s="88"/>
      <c r="K72" s="41">
        <v>2.1999999999999999E-2</v>
      </c>
    </row>
    <row r="73" spans="3:11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87"/>
      <c r="I73" s="88">
        <f t="shared" si="35"/>
        <v>2042</v>
      </c>
      <c r="J73" s="88"/>
      <c r="K73" s="41">
        <v>2.1999999999999999E-2</v>
      </c>
    </row>
    <row r="74" spans="3:11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87"/>
      <c r="I74" s="88">
        <f t="shared" si="3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32">
        <f>$C$55</f>
        <v>1410.7096380374778</v>
      </c>
      <c r="D24" s="133">
        <f>C24*$C$62</f>
        <v>100.24490397781955</v>
      </c>
      <c r="E24" s="133">
        <f t="shared" si="7"/>
        <v>50.3</v>
      </c>
      <c r="F24" s="135">
        <f t="shared" si="1"/>
        <v>45.224977162286578</v>
      </c>
      <c r="G24" s="133">
        <f t="shared" si="7"/>
        <v>0</v>
      </c>
      <c r="H24" s="133">
        <f t="shared" si="7"/>
        <v>0</v>
      </c>
      <c r="I24" s="135">
        <f t="shared" si="4"/>
        <v>45.224977162286578</v>
      </c>
      <c r="J24" s="135">
        <f t="shared" si="2"/>
        <v>150.54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>
        <f t="shared" ref="D25:D36" si="10">ROUND(D24*(1+$G71),2)</f>
        <v>102.25</v>
      </c>
      <c r="E25" s="133">
        <f t="shared" si="7"/>
        <v>51.31</v>
      </c>
      <c r="F25" s="135">
        <f t="shared" si="1"/>
        <v>46.130737803412643</v>
      </c>
      <c r="G25" s="133">
        <f t="shared" si="7"/>
        <v>0</v>
      </c>
      <c r="H25" s="133">
        <f t="shared" si="7"/>
        <v>0</v>
      </c>
      <c r="I25" s="135">
        <f t="shared" si="4"/>
        <v>46.130737803412643</v>
      </c>
      <c r="J25" s="135">
        <f t="shared" si="2"/>
        <v>153.56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>
        <f t="shared" si="10"/>
        <v>104.3</v>
      </c>
      <c r="E26" s="133">
        <f t="shared" si="7"/>
        <v>52.34</v>
      </c>
      <c r="F26" s="135">
        <f t="shared" si="1"/>
        <v>47.05599615477049</v>
      </c>
      <c r="G26" s="133">
        <f t="shared" si="7"/>
        <v>0</v>
      </c>
      <c r="H26" s="133">
        <f t="shared" si="7"/>
        <v>0</v>
      </c>
      <c r="I26" s="135">
        <f t="shared" si="4"/>
        <v>47.05599615477049</v>
      </c>
      <c r="J26" s="135">
        <f t="shared" si="2"/>
        <v>156.63999999999999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>
        <f t="shared" si="10"/>
        <v>106.39</v>
      </c>
      <c r="E27" s="133">
        <f t="shared" si="7"/>
        <v>53.39</v>
      </c>
      <c r="F27" s="135">
        <f t="shared" si="1"/>
        <v>47.999279019466478</v>
      </c>
      <c r="G27" s="133">
        <f t="shared" si="7"/>
        <v>0</v>
      </c>
      <c r="H27" s="133">
        <f t="shared" si="7"/>
        <v>0</v>
      </c>
      <c r="I27" s="135">
        <f t="shared" si="4"/>
        <v>47.999279019466478</v>
      </c>
      <c r="J27" s="135">
        <f t="shared" si="2"/>
        <v>159.78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>
        <f t="shared" si="10"/>
        <v>108.52</v>
      </c>
      <c r="E28" s="133">
        <f t="shared" si="7"/>
        <v>54.46</v>
      </c>
      <c r="F28" s="135">
        <f t="shared" si="1"/>
        <v>48.960586397500599</v>
      </c>
      <c r="G28" s="133">
        <f t="shared" si="7"/>
        <v>0</v>
      </c>
      <c r="H28" s="133">
        <f t="shared" si="7"/>
        <v>0</v>
      </c>
      <c r="I28" s="135">
        <f t="shared" si="4"/>
        <v>48.960586397500599</v>
      </c>
      <c r="J28" s="135">
        <f t="shared" si="2"/>
        <v>162.97999999999999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42"/>
      <c r="D29" s="133">
        <f t="shared" si="10"/>
        <v>108.52</v>
      </c>
      <c r="E29" s="133">
        <f t="shared" ref="E29:E36" si="11">ROUND(E28*(1+$K66),2)</f>
        <v>55.55</v>
      </c>
      <c r="F29" s="135">
        <f t="shared" si="1"/>
        <v>49.288031723143476</v>
      </c>
      <c r="G29" s="133">
        <f t="shared" ref="G29:H36" si="12">ROUND(G28*(1+$K66),2)</f>
        <v>0</v>
      </c>
      <c r="H29" s="133">
        <f t="shared" si="12"/>
        <v>0</v>
      </c>
      <c r="I29" s="135">
        <f t="shared" si="4"/>
        <v>49.288031723143476</v>
      </c>
      <c r="J29" s="135">
        <f t="shared" si="2"/>
        <v>164.07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108.52</v>
      </c>
      <c r="E30" s="133">
        <f t="shared" si="11"/>
        <v>56.66</v>
      </c>
      <c r="F30" s="135">
        <f t="shared" si="1"/>
        <v>49.621485219899071</v>
      </c>
      <c r="G30" s="133">
        <f t="shared" si="12"/>
        <v>0</v>
      </c>
      <c r="H30" s="133">
        <f t="shared" si="12"/>
        <v>0</v>
      </c>
      <c r="I30" s="135">
        <f t="shared" si="4"/>
        <v>49.621485219899071</v>
      </c>
      <c r="J30" s="135">
        <f t="shared" si="2"/>
        <v>165.18</v>
      </c>
      <c r="K30" s="133">
        <f t="shared" ref="K30:K36" si="13">ROUND(K29*(1+$K67),2)</f>
        <v>0.95</v>
      </c>
      <c r="L30" s="124"/>
      <c r="P30" s="170">
        <f t="shared" ref="P30:P36" si="14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108.52</v>
      </c>
      <c r="E31" s="133">
        <f t="shared" si="11"/>
        <v>57.85</v>
      </c>
      <c r="F31" s="135">
        <f t="shared" si="1"/>
        <v>49.978971401105511</v>
      </c>
      <c r="G31" s="133">
        <f t="shared" si="12"/>
        <v>0</v>
      </c>
      <c r="H31" s="133">
        <f t="shared" si="12"/>
        <v>0</v>
      </c>
      <c r="I31" s="135">
        <f t="shared" si="4"/>
        <v>49.978971401105511</v>
      </c>
      <c r="J31" s="135">
        <f t="shared" si="2"/>
        <v>166.37</v>
      </c>
      <c r="K31" s="133">
        <f t="shared" si="13"/>
        <v>0.97</v>
      </c>
      <c r="L31" s="124"/>
      <c r="P31" s="170">
        <f t="shared" si="14"/>
        <v>0</v>
      </c>
    </row>
    <row r="32" spans="2:16">
      <c r="B32" s="141">
        <f t="shared" si="0"/>
        <v>2038</v>
      </c>
      <c r="C32" s="142"/>
      <c r="D32" s="133">
        <f t="shared" si="10"/>
        <v>108.52</v>
      </c>
      <c r="E32" s="133">
        <f t="shared" si="11"/>
        <v>59.06</v>
      </c>
      <c r="F32" s="135">
        <f t="shared" si="1"/>
        <v>50.342465753424655</v>
      </c>
      <c r="G32" s="133">
        <f t="shared" si="12"/>
        <v>0</v>
      </c>
      <c r="H32" s="133">
        <f t="shared" si="12"/>
        <v>0</v>
      </c>
      <c r="I32" s="135">
        <f t="shared" si="4"/>
        <v>50.342465753424655</v>
      </c>
      <c r="J32" s="135">
        <f t="shared" si="2"/>
        <v>167.58</v>
      </c>
      <c r="K32" s="133">
        <f t="shared" si="13"/>
        <v>0.99</v>
      </c>
      <c r="L32" s="124"/>
      <c r="P32" s="170">
        <f t="shared" si="14"/>
        <v>0</v>
      </c>
    </row>
    <row r="33" spans="2:16">
      <c r="B33" s="141">
        <f t="shared" si="0"/>
        <v>2039</v>
      </c>
      <c r="C33" s="142"/>
      <c r="D33" s="133">
        <f t="shared" si="10"/>
        <v>108.52</v>
      </c>
      <c r="E33" s="133">
        <f t="shared" si="11"/>
        <v>60.3</v>
      </c>
      <c r="F33" s="135">
        <f t="shared" si="1"/>
        <v>50.71497236241288</v>
      </c>
      <c r="G33" s="133">
        <f t="shared" si="12"/>
        <v>0</v>
      </c>
      <c r="H33" s="133">
        <f t="shared" si="12"/>
        <v>0</v>
      </c>
      <c r="I33" s="135">
        <f t="shared" si="4"/>
        <v>50.71497236241288</v>
      </c>
      <c r="J33" s="135">
        <f t="shared" si="2"/>
        <v>168.82</v>
      </c>
      <c r="K33" s="133">
        <f t="shared" si="13"/>
        <v>1.01</v>
      </c>
      <c r="L33" s="124"/>
      <c r="P33" s="170">
        <f t="shared" si="14"/>
        <v>0</v>
      </c>
    </row>
    <row r="34" spans="2:16">
      <c r="B34" s="141">
        <f t="shared" si="0"/>
        <v>2040</v>
      </c>
      <c r="C34" s="142"/>
      <c r="D34" s="133">
        <f t="shared" si="10"/>
        <v>108.52</v>
      </c>
      <c r="E34" s="133">
        <f t="shared" si="11"/>
        <v>61.57</v>
      </c>
      <c r="F34" s="135">
        <f t="shared" si="1"/>
        <v>51.096491228070178</v>
      </c>
      <c r="G34" s="133">
        <f t="shared" si="12"/>
        <v>0</v>
      </c>
      <c r="H34" s="133">
        <f t="shared" si="12"/>
        <v>0</v>
      </c>
      <c r="I34" s="135">
        <f t="shared" si="4"/>
        <v>51.096491228070178</v>
      </c>
      <c r="J34" s="135">
        <f t="shared" si="2"/>
        <v>170.09</v>
      </c>
      <c r="K34" s="133">
        <f t="shared" si="13"/>
        <v>1.03</v>
      </c>
      <c r="L34" s="124"/>
      <c r="P34" s="170">
        <f t="shared" si="14"/>
        <v>0</v>
      </c>
    </row>
    <row r="35" spans="2:16">
      <c r="B35" s="141">
        <f t="shared" si="0"/>
        <v>2041</v>
      </c>
      <c r="C35" s="142"/>
      <c r="D35" s="133">
        <f t="shared" si="10"/>
        <v>108.52</v>
      </c>
      <c r="E35" s="133">
        <f t="shared" si="11"/>
        <v>62.92</v>
      </c>
      <c r="F35" s="135">
        <f t="shared" si="1"/>
        <v>51.502042778178328</v>
      </c>
      <c r="G35" s="133">
        <f t="shared" si="12"/>
        <v>0</v>
      </c>
      <c r="H35" s="133">
        <f t="shared" si="12"/>
        <v>0</v>
      </c>
      <c r="I35" s="135">
        <f t="shared" si="4"/>
        <v>51.502042778178328</v>
      </c>
      <c r="J35" s="135">
        <f t="shared" si="2"/>
        <v>171.44</v>
      </c>
      <c r="K35" s="133">
        <f t="shared" si="13"/>
        <v>1.05</v>
      </c>
      <c r="L35" s="124"/>
      <c r="P35" s="170">
        <f t="shared" si="14"/>
        <v>0</v>
      </c>
    </row>
    <row r="36" spans="2:16">
      <c r="B36" s="141">
        <f t="shared" si="0"/>
        <v>2042</v>
      </c>
      <c r="C36" s="142"/>
      <c r="D36" s="133">
        <f t="shared" si="10"/>
        <v>108.52</v>
      </c>
      <c r="E36" s="133">
        <f t="shared" si="11"/>
        <v>64.3</v>
      </c>
      <c r="F36" s="135">
        <f t="shared" si="1"/>
        <v>51.916606584955538</v>
      </c>
      <c r="G36" s="133">
        <f t="shared" si="12"/>
        <v>0</v>
      </c>
      <c r="H36" s="133">
        <f t="shared" si="12"/>
        <v>0</v>
      </c>
      <c r="I36" s="135">
        <f t="shared" si="4"/>
        <v>51.916606584955538</v>
      </c>
      <c r="J36" s="135">
        <f t="shared" si="2"/>
        <v>172.82</v>
      </c>
      <c r="K36" s="133">
        <f t="shared" si="13"/>
        <v>1.07</v>
      </c>
      <c r="L36" s="124"/>
      <c r="P36" s="170">
        <f t="shared" si="14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1410.7096380374778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5">C66+1</f>
        <v>2018</v>
      </c>
      <c r="D67" s="41">
        <v>2.3E-2</v>
      </c>
      <c r="E67" s="86"/>
      <c r="F67" s="88">
        <f t="shared" ref="F67:F74" si="16">F66+1</f>
        <v>2027</v>
      </c>
      <c r="G67" s="41">
        <v>2.1999999999999999E-2</v>
      </c>
      <c r="H67" s="86"/>
      <c r="I67" s="88">
        <f t="shared" ref="I67:I74" si="17">I66+1</f>
        <v>2036</v>
      </c>
      <c r="J67" s="88"/>
      <c r="K67" s="41">
        <v>0.02</v>
      </c>
    </row>
    <row r="68" spans="3:11">
      <c r="C68" s="88">
        <f t="shared" si="15"/>
        <v>2019</v>
      </c>
      <c r="D68" s="41">
        <v>2.1999999999999999E-2</v>
      </c>
      <c r="E68" s="86"/>
      <c r="F68" s="88">
        <f t="shared" si="16"/>
        <v>2028</v>
      </c>
      <c r="G68" s="41">
        <v>2.1999999999999999E-2</v>
      </c>
      <c r="H68" s="86"/>
      <c r="I68" s="88">
        <f t="shared" si="17"/>
        <v>2037</v>
      </c>
      <c r="J68" s="88"/>
      <c r="K68" s="41">
        <v>2.1000000000000001E-2</v>
      </c>
    </row>
    <row r="69" spans="3:11">
      <c r="C69" s="88">
        <f t="shared" si="15"/>
        <v>2020</v>
      </c>
      <c r="D69" s="41">
        <v>2.5000000000000001E-2</v>
      </c>
      <c r="E69" s="86"/>
      <c r="F69" s="88">
        <f t="shared" si="16"/>
        <v>2029</v>
      </c>
      <c r="G69" s="41">
        <v>2.1000000000000001E-2</v>
      </c>
      <c r="H69" s="86"/>
      <c r="I69" s="88">
        <f t="shared" si="17"/>
        <v>2038</v>
      </c>
      <c r="J69" s="88"/>
      <c r="K69" s="41">
        <v>2.1000000000000001E-2</v>
      </c>
    </row>
    <row r="70" spans="3:11">
      <c r="C70" s="88">
        <f t="shared" si="15"/>
        <v>2021</v>
      </c>
      <c r="D70" s="41">
        <v>2.4E-2</v>
      </c>
      <c r="E70" s="86"/>
      <c r="F70" s="88">
        <f t="shared" si="16"/>
        <v>2030</v>
      </c>
      <c r="G70" s="41">
        <v>0.02</v>
      </c>
      <c r="H70" s="86"/>
      <c r="I70" s="88">
        <f t="shared" si="17"/>
        <v>2039</v>
      </c>
      <c r="J70" s="88"/>
      <c r="K70" s="41">
        <v>2.1000000000000001E-2</v>
      </c>
    </row>
    <row r="71" spans="3:11">
      <c r="C71" s="88">
        <f t="shared" si="15"/>
        <v>2022</v>
      </c>
      <c r="D71" s="41">
        <v>2.4E-2</v>
      </c>
      <c r="E71" s="86"/>
      <c r="F71" s="88">
        <f t="shared" si="16"/>
        <v>2031</v>
      </c>
      <c r="G71" s="41">
        <v>0.02</v>
      </c>
      <c r="H71" s="86"/>
      <c r="I71" s="88">
        <f t="shared" si="17"/>
        <v>2040</v>
      </c>
      <c r="J71" s="88"/>
      <c r="K71" s="41">
        <v>2.1000000000000001E-2</v>
      </c>
    </row>
    <row r="72" spans="3:11" s="124" customFormat="1">
      <c r="C72" s="88">
        <f t="shared" si="15"/>
        <v>2023</v>
      </c>
      <c r="D72" s="41">
        <v>2.4E-2</v>
      </c>
      <c r="E72" s="87"/>
      <c r="F72" s="88">
        <f t="shared" si="16"/>
        <v>2032</v>
      </c>
      <c r="G72" s="41">
        <v>0.02</v>
      </c>
      <c r="H72" s="87"/>
      <c r="I72" s="88">
        <f t="shared" si="17"/>
        <v>2041</v>
      </c>
      <c r="J72" s="88"/>
      <c r="K72" s="41">
        <v>2.1999999999999999E-2</v>
      </c>
    </row>
    <row r="73" spans="3:11" s="124" customFormat="1">
      <c r="C73" s="88">
        <f t="shared" si="15"/>
        <v>2024</v>
      </c>
      <c r="D73" s="41">
        <v>2.3E-2</v>
      </c>
      <c r="E73" s="87"/>
      <c r="F73" s="88">
        <f t="shared" si="16"/>
        <v>2033</v>
      </c>
      <c r="G73" s="41">
        <v>0.02</v>
      </c>
      <c r="H73" s="87"/>
      <c r="I73" s="88">
        <f t="shared" si="17"/>
        <v>2042</v>
      </c>
      <c r="J73" s="88"/>
      <c r="K73" s="41">
        <v>2.1999999999999999E-2</v>
      </c>
    </row>
    <row r="74" spans="3:11" s="124" customFormat="1">
      <c r="C74" s="88">
        <f t="shared" si="15"/>
        <v>2025</v>
      </c>
      <c r="D74" s="41">
        <v>2.3E-2</v>
      </c>
      <c r="E74" s="87"/>
      <c r="F74" s="88">
        <f t="shared" si="16"/>
        <v>2034</v>
      </c>
      <c r="G74" s="41">
        <v>0.02</v>
      </c>
      <c r="H74" s="87"/>
      <c r="I74" s="88">
        <f t="shared" si="17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57</vt:i4>
      </vt:variant>
    </vt:vector>
  </HeadingPairs>
  <TitlesOfParts>
    <vt:vector size="83" baseType="lpstr">
      <vt:lpstr>Appendix B.3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'Table 2'!_200_SCCT_UtahN</vt:lpstr>
      <vt:lpstr>_200_SCCT_UtahN</vt:lpstr>
      <vt:lpstr>_200_SCCT_WYNE</vt:lpstr>
      <vt:lpstr>'Table 2'!_30_Geo_West</vt:lpstr>
      <vt:lpstr>'Table 3 TransCost D2 '!_30_Geo_West</vt:lpstr>
      <vt:lpstr>_30_Geo_West</vt:lpstr>
      <vt:lpstr>'Table 2'!_436_CCCT_WestMain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B.3'!Discount_Rate</vt:lpstr>
      <vt:lpstr>Discount_Rate</vt:lpstr>
      <vt:lpstr>'Appendix B.3'!Print_Area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2018-09-25T18:17:21Z</dcterms:created>
  <dcterms:modified xsi:type="dcterms:W3CDTF">2018-09-25T20:11:46Z</dcterms:modified>
  <cp:contentStatus/>
</cp:coreProperties>
</file>