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-15" yWindow="-15" windowWidth="14370" windowHeight="12720"/>
  </bookViews>
  <sheets>
    <sheet name="Summary" sheetId="13" r:id="rId1"/>
    <sheet name="Incremental" sheetId="6" r:id="rId2"/>
    <sheet name="Total" sheetId="5" r:id="rId3"/>
    <sheet name="Energy" sheetId="12" r:id="rId4"/>
    <sheet name="Capacity" sheetId="10" r:id="rId5"/>
  </sheets>
  <definedNames>
    <definedName name="_Order1" hidden="1">255</definedName>
    <definedName name="_Order2" hidden="1">0</definedName>
    <definedName name="Discount_Rate">Total!$B$41</definedName>
    <definedName name="_xlnm.Print_Area" localSheetId="4">Capacity!$A$1:$H$38</definedName>
    <definedName name="_xlnm.Print_Area" localSheetId="3">Energy!$A$1:$G$37</definedName>
    <definedName name="_xlnm.Print_Area" localSheetId="1">Incremental!$A$1:$G$37</definedName>
    <definedName name="_xlnm.Print_Area" localSheetId="2">Total!$A$1:$G$37</definedName>
    <definedName name="Study_CF">#REF!</definedName>
    <definedName name="Study_MW">#REF!</definedName>
    <definedName name="Study_Name">#REF!</definedName>
  </definedNames>
  <calcPr calcId="152511" calcMode="manual"/>
</workbook>
</file>

<file path=xl/calcChain.xml><?xml version="1.0" encoding="utf-8"?>
<calcChain xmlns="http://schemas.openxmlformats.org/spreadsheetml/2006/main">
  <c r="E8" i="13" l="1"/>
  <c r="E7" i="13"/>
  <c r="E5" i="13"/>
  <c r="H8" i="13"/>
  <c r="F8" i="13"/>
  <c r="I8" i="13"/>
  <c r="I7" i="13"/>
  <c r="I6" i="13"/>
  <c r="I5" i="13"/>
  <c r="H4" i="13"/>
  <c r="H3" i="13"/>
  <c r="F3" i="13"/>
  <c r="D3" i="13"/>
  <c r="C2" i="13"/>
  <c r="C4" i="13"/>
  <c r="C8" i="13"/>
  <c r="E6" i="13"/>
  <c r="F7" i="5" l="1"/>
  <c r="E7" i="6" l="1"/>
  <c r="C7" i="13" s="1"/>
  <c r="D8" i="10" l="1"/>
  <c r="D7" i="6" l="1"/>
  <c r="C6" i="13" s="1"/>
  <c r="C7" i="6"/>
  <c r="C5" i="13" s="1"/>
  <c r="G8" i="10" l="1"/>
  <c r="B4" i="10"/>
  <c r="B11" i="10" l="1"/>
  <c r="F11" i="10" l="1"/>
  <c r="B12" i="10"/>
  <c r="F10" i="10"/>
  <c r="B13" i="10" l="1"/>
  <c r="F13" i="10" l="1"/>
  <c r="F12" i="10"/>
  <c r="B14" i="10"/>
  <c r="F14" i="10" l="1"/>
  <c r="B15" i="10"/>
  <c r="B16" i="10" l="1"/>
  <c r="F16" i="10" l="1"/>
  <c r="B17" i="10"/>
  <c r="F15" i="10"/>
  <c r="B18" i="10" l="1"/>
  <c r="F18" i="10" l="1"/>
  <c r="B19" i="10"/>
  <c r="F17" i="10"/>
  <c r="F19" i="10" l="1"/>
  <c r="B20" i="10"/>
  <c r="F20" i="10" l="1"/>
  <c r="B21" i="10"/>
  <c r="F21" i="10" l="1"/>
  <c r="B22" i="10"/>
  <c r="F22" i="10" l="1"/>
  <c r="B23" i="10"/>
  <c r="F23" i="10" l="1"/>
  <c r="B24" i="10"/>
  <c r="B25" i="10" l="1"/>
  <c r="B30" i="10"/>
  <c r="F25" i="10" l="1"/>
  <c r="B26" i="10"/>
  <c r="B31" i="10"/>
  <c r="F24" i="10"/>
  <c r="B32" i="10" l="1"/>
  <c r="B27" i="10"/>
  <c r="F27" i="10" l="1"/>
  <c r="F26" i="10"/>
  <c r="D43" i="12"/>
  <c r="E43" i="12"/>
  <c r="B43" i="12"/>
  <c r="C7" i="12" l="1"/>
  <c r="C43" i="12" s="1"/>
  <c r="C8" i="5" l="1"/>
  <c r="E7" i="5"/>
  <c r="C7" i="5"/>
  <c r="B1" i="12" l="1"/>
  <c r="B3" i="12"/>
  <c r="B10" i="12"/>
  <c r="B34" i="12"/>
  <c r="C10" i="5" l="1"/>
  <c r="B11" i="12"/>
  <c r="C11" i="5" l="1"/>
  <c r="B12" i="12"/>
  <c r="B13" i="12" l="1"/>
  <c r="C12" i="5" l="1"/>
  <c r="B14" i="12"/>
  <c r="C13" i="5" l="1"/>
  <c r="B15" i="12"/>
  <c r="C14" i="5" l="1"/>
  <c r="B16" i="12"/>
  <c r="C15" i="5" l="1"/>
  <c r="B17" i="12"/>
  <c r="C16" i="5" l="1"/>
  <c r="B18" i="12"/>
  <c r="C17" i="5" l="1"/>
  <c r="B19" i="12"/>
  <c r="C18" i="5" l="1"/>
  <c r="B20" i="12"/>
  <c r="C19" i="5" l="1"/>
  <c r="B21" i="12"/>
  <c r="C20" i="5" l="1"/>
  <c r="B22" i="12"/>
  <c r="C21" i="5" l="1"/>
  <c r="B23" i="12"/>
  <c r="C22" i="5" l="1"/>
  <c r="B24" i="12"/>
  <c r="B25" i="12" l="1"/>
  <c r="C23" i="5"/>
  <c r="B30" i="12"/>
  <c r="B26" i="12" l="1"/>
  <c r="B31" i="12"/>
  <c r="C24" i="5"/>
  <c r="B27" i="12" l="1"/>
  <c r="B32" i="12"/>
  <c r="C25" i="5"/>
  <c r="B34" i="6"/>
  <c r="C26" i="5" l="1"/>
  <c r="D7" i="5"/>
  <c r="C27" i="5" l="1"/>
  <c r="B10" i="6" l="1"/>
  <c r="B11" i="5"/>
  <c r="B3" i="6"/>
  <c r="B1" i="6"/>
  <c r="B11" i="6" l="1"/>
  <c r="B12" i="5"/>
  <c r="B13" i="5" l="1"/>
  <c r="B12" i="6"/>
  <c r="B13" i="6" l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14" i="5"/>
  <c r="B4" i="12"/>
  <c r="B4" i="6"/>
  <c r="B4" i="5"/>
  <c r="B30" i="6" l="1"/>
  <c r="B26" i="6"/>
  <c r="B31" i="6"/>
  <c r="B15" i="5"/>
  <c r="B27" i="6" l="1"/>
  <c r="B32" i="6"/>
  <c r="B16" i="5"/>
  <c r="B17" i="5" l="1"/>
  <c r="B18" i="5" l="1"/>
  <c r="B19" i="5" l="1"/>
  <c r="B20" i="5" l="1"/>
  <c r="B21" i="5" l="1"/>
  <c r="B22" i="5" l="1"/>
  <c r="B23" i="5" l="1"/>
  <c r="B24" i="5" l="1"/>
  <c r="B30" i="5" l="1"/>
  <c r="B25" i="5"/>
  <c r="B35" i="5"/>
  <c r="B26" i="5" l="1"/>
  <c r="B31" i="5"/>
  <c r="B35" i="6"/>
  <c r="B35" i="12"/>
  <c r="B27" i="5" l="1"/>
  <c r="B32" i="5"/>
  <c r="G27" i="10" l="1"/>
  <c r="G25" i="10"/>
  <c r="G23" i="10"/>
  <c r="G21" i="10"/>
  <c r="G19" i="10"/>
  <c r="G17" i="10"/>
  <c r="G15" i="10"/>
  <c r="G13" i="10"/>
  <c r="G26" i="10"/>
  <c r="G22" i="10"/>
  <c r="G20" i="10"/>
  <c r="G18" i="10"/>
  <c r="G16" i="10"/>
  <c r="G14" i="10"/>
  <c r="G24" i="10"/>
  <c r="G10" i="10" l="1"/>
  <c r="G12" i="10"/>
  <c r="G11" i="10"/>
  <c r="B36" i="5" l="1"/>
  <c r="B39" i="12"/>
  <c r="B36" i="6" l="1"/>
  <c r="B36" i="12"/>
  <c r="F8" i="10" l="1"/>
  <c r="B40" i="12" l="1"/>
  <c r="B41" i="6"/>
  <c r="B29" i="5"/>
  <c r="B29" i="6" s="1"/>
  <c r="C30" i="5"/>
  <c r="B44" i="10"/>
  <c r="C31" i="5"/>
  <c r="F4" i="13" s="1"/>
  <c r="C32" i="5"/>
  <c r="C30" i="10" l="1"/>
  <c r="C32" i="10"/>
  <c r="D32" i="10"/>
  <c r="C31" i="10"/>
  <c r="F32" i="10"/>
  <c r="G30" i="10"/>
  <c r="F30" i="10"/>
  <c r="G31" i="10"/>
  <c r="F31" i="10"/>
  <c r="D30" i="10"/>
  <c r="G32" i="10"/>
  <c r="B29" i="10"/>
  <c r="D31" i="10"/>
  <c r="C30" i="12"/>
  <c r="C32" i="12"/>
  <c r="C31" i="12"/>
  <c r="B29" i="12"/>
  <c r="D4" i="13"/>
  <c r="D27" i="5" l="1"/>
  <c r="C27" i="6" s="1"/>
  <c r="D22" i="5" l="1"/>
  <c r="C22" i="6" s="1"/>
  <c r="D21" i="5"/>
  <c r="C21" i="6" s="1"/>
  <c r="D23" i="5"/>
  <c r="C23" i="6" s="1"/>
  <c r="D20" i="5"/>
  <c r="C20" i="6" s="1"/>
  <c r="E27" i="5"/>
  <c r="D27" i="6" s="1"/>
  <c r="D24" i="5" l="1"/>
  <c r="C24" i="6" s="1"/>
  <c r="D26" i="5"/>
  <c r="C26" i="6" s="1"/>
  <c r="E23" i="5"/>
  <c r="D23" i="6" s="1"/>
  <c r="E22" i="5"/>
  <c r="D22" i="6" s="1"/>
  <c r="E20" i="5"/>
  <c r="D20" i="6" s="1"/>
  <c r="E21" i="5"/>
  <c r="D21" i="6" s="1"/>
  <c r="D25" i="5"/>
  <c r="C25" i="6" s="1"/>
  <c r="D13" i="5" l="1"/>
  <c r="C13" i="6" s="1"/>
  <c r="D12" i="5"/>
  <c r="E25" i="5"/>
  <c r="D25" i="6" s="1"/>
  <c r="D11" i="5"/>
  <c r="D10" i="5"/>
  <c r="E24" i="5"/>
  <c r="D24" i="6" s="1"/>
  <c r="E26" i="5"/>
  <c r="D26" i="6" s="1"/>
  <c r="D30" i="12"/>
  <c r="D17" i="5" l="1"/>
  <c r="C17" i="6" s="1"/>
  <c r="D16" i="5"/>
  <c r="C16" i="6" s="1"/>
  <c r="C10" i="6"/>
  <c r="D32" i="5"/>
  <c r="C32" i="6" s="1"/>
  <c r="C12" i="6"/>
  <c r="D19" i="5"/>
  <c r="C19" i="6" s="1"/>
  <c r="E10" i="5"/>
  <c r="D31" i="12"/>
  <c r="E13" i="5"/>
  <c r="D13" i="6" s="1"/>
  <c r="D15" i="5"/>
  <c r="C15" i="6" s="1"/>
  <c r="D31" i="5"/>
  <c r="C31" i="6" s="1"/>
  <c r="C11" i="6"/>
  <c r="E12" i="5"/>
  <c r="D18" i="5"/>
  <c r="C18" i="6" s="1"/>
  <c r="D14" i="5"/>
  <c r="C14" i="6" s="1"/>
  <c r="E11" i="5"/>
  <c r="D32" i="12"/>
  <c r="G5" i="13" l="1"/>
  <c r="D10" i="6"/>
  <c r="E15" i="5"/>
  <c r="D15" i="6" s="1"/>
  <c r="D30" i="5"/>
  <c r="D11" i="6"/>
  <c r="E16" i="5"/>
  <c r="D16" i="6" s="1"/>
  <c r="E14" i="5"/>
  <c r="D14" i="6" s="1"/>
  <c r="E32" i="12"/>
  <c r="E31" i="12"/>
  <c r="E19" i="5"/>
  <c r="D19" i="6" s="1"/>
  <c r="E18" i="5"/>
  <c r="D18" i="6" s="1"/>
  <c r="D12" i="6"/>
  <c r="E30" i="12"/>
  <c r="E17" i="5"/>
  <c r="D17" i="6" s="1"/>
  <c r="E31" i="5" l="1"/>
  <c r="D31" i="6" s="1"/>
  <c r="C30" i="6"/>
  <c r="E32" i="5"/>
  <c r="D32" i="6" s="1"/>
  <c r="E30" i="5"/>
  <c r="D30" i="6" l="1"/>
  <c r="G6" i="13"/>
  <c r="F10" i="5" l="1"/>
  <c r="F11" i="5" l="1"/>
  <c r="E10" i="6"/>
  <c r="F10" i="6" s="1"/>
  <c r="F13" i="5"/>
  <c r="E13" i="6" s="1"/>
  <c r="F13" i="6" s="1"/>
  <c r="F12" i="5" l="1"/>
  <c r="E11" i="6"/>
  <c r="F11" i="6" s="1"/>
  <c r="E12" i="6" l="1"/>
  <c r="F12" i="6" s="1"/>
  <c r="F26" i="5" l="1"/>
  <c r="E26" i="6" s="1"/>
  <c r="F26" i="6" s="1"/>
  <c r="F20" i="5"/>
  <c r="E20" i="6" s="1"/>
  <c r="F20" i="6" s="1"/>
  <c r="F17" i="5"/>
  <c r="E17" i="6" s="1"/>
  <c r="F17" i="6" s="1"/>
  <c r="F15" i="5"/>
  <c r="E15" i="6" s="1"/>
  <c r="F15" i="6" s="1"/>
  <c r="F16" i="5"/>
  <c r="E16" i="6" s="1"/>
  <c r="F16" i="6" s="1"/>
  <c r="F18" i="5"/>
  <c r="E18" i="6" s="1"/>
  <c r="F18" i="6" s="1"/>
  <c r="F19" i="5"/>
  <c r="E19" i="6" s="1"/>
  <c r="F19" i="6" s="1"/>
  <c r="F25" i="5"/>
  <c r="E25" i="6" s="1"/>
  <c r="F25" i="6" s="1"/>
  <c r="F24" i="5"/>
  <c r="E24" i="6" s="1"/>
  <c r="F24" i="6" s="1"/>
  <c r="F27" i="5"/>
  <c r="E27" i="6" s="1"/>
  <c r="F27" i="6" s="1"/>
  <c r="F22" i="5"/>
  <c r="E22" i="6" s="1"/>
  <c r="F22" i="6" s="1"/>
  <c r="F21" i="5"/>
  <c r="E21" i="6" s="1"/>
  <c r="F21" i="6" s="1"/>
  <c r="F23" i="5"/>
  <c r="E23" i="6" s="1"/>
  <c r="F23" i="6" s="1"/>
  <c r="F14" i="5" l="1"/>
  <c r="F31" i="12"/>
  <c r="F32" i="12"/>
  <c r="F30" i="12"/>
  <c r="E14" i="6" l="1"/>
  <c r="F14" i="6" s="1"/>
  <c r="F30" i="5"/>
  <c r="F32" i="5"/>
  <c r="F31" i="5"/>
  <c r="E31" i="6" s="1"/>
  <c r="G7" i="13" l="1"/>
  <c r="F31" i="6"/>
  <c r="E32" i="6"/>
  <c r="F32" i="6" s="1"/>
  <c r="H32" i="6" s="1"/>
  <c r="D8" i="13"/>
  <c r="E30" i="6"/>
  <c r="F30" i="6" l="1"/>
  <c r="G8" i="13"/>
  <c r="H31" i="6"/>
  <c r="H30" i="6" l="1"/>
</calcChain>
</file>

<file path=xl/sharedStrings.xml><?xml version="1.0" encoding="utf-8"?>
<sst xmlns="http://schemas.openxmlformats.org/spreadsheetml/2006/main" count="36" uniqueCount="30">
  <si>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</si>
  <si>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</si>
  <si>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</si>
  <si>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</si>
  <si>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</si>
  <si>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</si>
  <si>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</si>
  <si>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</si>
  <si>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</si>
  <si>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</si>
  <si>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</si>
  <si>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</si>
  <si>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</si>
  <si>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</si>
  <si>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</si>
  <si>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</si>
  <si>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(4)  15-Year Nominal Levelized Payment (2018-2032)</t>
  </si>
  <si>
    <t xml:space="preserve">(3)  No Capacity costs-All of the 2017 IRP Thermal resources are deferred due to the size of the Queue  </t>
  </si>
  <si>
    <t>Avoided Cost Impact of Changing Assumptions $/MWH (1)</t>
  </si>
  <si>
    <t>Chck</t>
  </si>
  <si>
    <t>(2)</t>
  </si>
  <si>
    <t>2018.Q2</t>
  </si>
  <si>
    <t>2018.Q3</t>
  </si>
  <si>
    <t>Discount Rate - 2017 IRP Update</t>
  </si>
  <si>
    <t>OFPC</t>
  </si>
  <si>
    <t>Generic</t>
  </si>
  <si>
    <t>Queue</t>
  </si>
  <si>
    <t>(2)   (3)   Discount Rate - 2017 IRP Update</t>
  </si>
  <si>
    <t>(3)   Discount Rate - 2017 IRP Update</t>
  </si>
  <si>
    <t>2018.Q2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</si>
</sst>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_(* #,##0.0_);[Red]_(* \(#,##0.0\);_(* &quot;-&quot;_);_(@_)"/>
    <numFmt numFmtId="176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86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0" fontId="4" fillId="0" borderId="2" xfId="4" applyNumberFormat="1" applyFont="1" applyBorder="1" applyAlignment="1">
      <alignment horizontal="center"/>
    </xf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43" fontId="0" fillId="0" borderId="0" xfId="17" applyFont="1"/>
    <xf numFmtId="165" fontId="3" fillId="0" borderId="1" xfId="0" quotePrefix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166" fontId="4" fillId="0" borderId="0" xfId="0" applyNumberFormat="1" applyFont="1" applyBorder="1" applyAlignment="1">
      <alignment horizontal="center"/>
    </xf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8" fontId="0" fillId="0" borderId="0" xfId="17" applyNumberFormat="1" applyFont="1"/>
    <xf numFmtId="176" fontId="0" fillId="0" borderId="0" xfId="0" applyNumberFormat="1"/>
    <xf numFmtId="165" fontId="12" fillId="6" borderId="0" xfId="0" applyFont="1" applyFill="1"/>
    <xf numFmtId="165" fontId="0" fillId="6" borderId="0" xfId="0" applyFill="1"/>
    <xf numFmtId="7" fontId="0" fillId="6" borderId="0" xfId="17" applyNumberFormat="1" applyFont="1" applyFill="1"/>
    <xf numFmtId="165" fontId="0" fillId="6" borderId="0" xfId="0" applyFill="1" applyAlignment="1">
      <alignment horizontal="right"/>
    </xf>
    <xf numFmtId="7" fontId="0" fillId="6" borderId="0" xfId="0" applyNumberFormat="1" applyFill="1"/>
    <xf numFmtId="165" fontId="3" fillId="0" borderId="1" xfId="0" quotePrefix="1" applyFont="1" applyBorder="1" applyAlignment="1">
      <alignment horizontal="center"/>
    </xf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17" applyNumberFormat="1" applyFont="1" applyFill="1"/>
    <xf numFmtId="175" fontId="0" fillId="0" borderId="0" xfId="0" applyNumberFormat="1" applyFill="1"/>
    <xf numFmtId="165" fontId="12" fillId="6" borderId="0" xfId="0" applyFont="1" applyFill="1" applyAlignment="1">
      <alignment horizontal="center"/>
    </xf>
    <xf numFmtId="165" fontId="12" fillId="0" borderId="0" xfId="0" applyFont="1" applyAlignment="1">
      <alignment horizontal="center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</sheetPr>
  <dimension ref="B2:O20"/>
  <sheetViews>
    <sheetView tabSelected="1" zoomScale="70" zoomScaleNormal="70" workbookViewId="0">
      <selection activeCell="I8" sqref="C2:I8"/>
    </sheetView>
  </sheetViews>
  <sheetFormatPr defaultRowHeight="12.75" x14ac:dyDescent="0.2"/>
  <cols>
    <col min="2" max="2" width="12.28515625" customWidth="1"/>
    <col min="3" max="3" width="22" customWidth="1"/>
    <col min="5" max="5" width="11.28515625" customWidth="1"/>
  </cols>
  <sheetData>
    <row r="2" spans="2:15" x14ac:dyDescent="0.2">
      <c r="C2" s="74" t="str">
        <f>LEFT(Incremental!$B$29,50)</f>
        <v xml:space="preserve">Nominal Levelized Payment at 6.910% Discount Rate </v>
      </c>
      <c r="D2" s="75"/>
      <c r="E2" s="75"/>
      <c r="F2" s="75"/>
      <c r="G2" s="75"/>
      <c r="H2" s="75"/>
      <c r="I2" s="75"/>
      <c r="J2" s="75"/>
    </row>
    <row r="3" spans="2:15" ht="22.5" customHeight="1" x14ac:dyDescent="0.2">
      <c r="C3" s="75"/>
      <c r="D3" s="84" t="str">
        <f>Incremental!$B$30</f>
        <v>2019 - 2033</v>
      </c>
      <c r="E3" s="85"/>
      <c r="F3" s="84" t="str">
        <f>Incremental!$B$31</f>
        <v>2020 - 2034</v>
      </c>
      <c r="G3" s="85"/>
      <c r="H3" s="84" t="str">
        <f>Incremental!$B$32</f>
        <v>2021 - 2035</v>
      </c>
      <c r="I3" s="85"/>
      <c r="J3" s="75"/>
    </row>
    <row r="4" spans="2:15" x14ac:dyDescent="0.2">
      <c r="C4" s="75" t="str">
        <f>Capacity!K7&amp;" As Filed"</f>
        <v>2018.Q2 As Filed</v>
      </c>
      <c r="D4" s="76">
        <f>Total!$C$30</f>
        <v>23.71</v>
      </c>
      <c r="E4" s="76"/>
      <c r="F4" s="76">
        <f>Total!$C$31</f>
        <v>25.14</v>
      </c>
      <c r="G4" s="76"/>
      <c r="H4" s="76">
        <f>Total!$C$32</f>
        <v>27.04</v>
      </c>
      <c r="I4" s="76"/>
      <c r="J4" s="75"/>
    </row>
    <row r="5" spans="2:15" x14ac:dyDescent="0.2">
      <c r="C5" s="77" t="str">
        <f>Incremental!C7</f>
        <v>OFPC</v>
      </c>
      <c r="D5" s="76"/>
      <c r="E5" s="76" t="str">
        <f>TEXT(Incremental!$C$30,"$0.00")</f>
        <v>$2.41</v>
      </c>
      <c r="F5" s="76"/>
      <c r="G5" s="76" t="str">
        <f>TEXT(Incremental!$C$31,"$0.00")</f>
        <v>$2.62</v>
      </c>
      <c r="H5" s="76"/>
      <c r="I5" s="76" t="str">
        <f>TEXT(Incremental!$C$32,"$0.00")</f>
        <v>$2.80</v>
      </c>
      <c r="J5" s="75"/>
    </row>
    <row r="6" spans="2:15" x14ac:dyDescent="0.2">
      <c r="C6" s="77" t="str">
        <f>Incremental!D7</f>
        <v>Generic</v>
      </c>
      <c r="D6" s="76"/>
      <c r="E6" s="76" t="str">
        <f>TEXT(Incremental!$D$30,"$0.00")</f>
        <v>-$0.64</v>
      </c>
      <c r="F6" s="76"/>
      <c r="G6" s="76" t="str">
        <f>TEXT(Incremental!$D$31,"$0.00")</f>
        <v>-$0.67</v>
      </c>
      <c r="H6" s="76"/>
      <c r="I6" s="76" t="str">
        <f>TEXT(Incremental!$D$32,"$0.00")</f>
        <v>-$0.68</v>
      </c>
      <c r="J6" s="75"/>
    </row>
    <row r="7" spans="2:15" ht="15.75" customHeight="1" x14ac:dyDescent="0.2">
      <c r="C7" s="77" t="str">
        <f>Incremental!E7</f>
        <v>Queue</v>
      </c>
      <c r="D7" s="76"/>
      <c r="E7" s="76" t="str">
        <f>TEXT(Incremental!$E$30,"$0.00")</f>
        <v>$0.79</v>
      </c>
      <c r="F7" s="76"/>
      <c r="G7" s="76" t="str">
        <f>TEXT(Incremental!$E$31,"$0.00")</f>
        <v>$0.84</v>
      </c>
      <c r="H7" s="76"/>
      <c r="I7" s="76" t="str">
        <f>TEXT(Incremental!$E$32,"$0.00")</f>
        <v>$0.80</v>
      </c>
      <c r="J7" s="75"/>
    </row>
    <row r="8" spans="2:15" x14ac:dyDescent="0.2">
      <c r="C8" s="75" t="str">
        <f>Capacity!K8&amp;" As Filed"</f>
        <v>2018.Q3 As Filed</v>
      </c>
      <c r="D8" s="76">
        <f>Total!$F$30</f>
        <v>26.265999999999998</v>
      </c>
      <c r="E8" s="76" t="str">
        <f>TEXT(Incremental!$F$30,"$0.00")</f>
        <v>$2.56</v>
      </c>
      <c r="F8" s="76">
        <f>Total!F31</f>
        <v>27.922000000000001</v>
      </c>
      <c r="G8" s="76" t="str">
        <f>TEXT(Incremental!$F$31,"$0.00")</f>
        <v>$2.78</v>
      </c>
      <c r="H8" s="76">
        <f>Total!F32</f>
        <v>29.962</v>
      </c>
      <c r="I8" s="76" t="str">
        <f>TEXT(Incremental!$F$32,"$0.00")</f>
        <v>$2.92</v>
      </c>
      <c r="J8" s="75"/>
    </row>
    <row r="9" spans="2:15" x14ac:dyDescent="0.2">
      <c r="C9" s="75"/>
      <c r="D9" s="78"/>
      <c r="E9" s="78"/>
      <c r="F9" s="75"/>
      <c r="G9" s="75"/>
      <c r="H9" s="75"/>
      <c r="I9" s="75"/>
      <c r="J9" s="75"/>
    </row>
    <row r="10" spans="2:15" x14ac:dyDescent="0.2">
      <c r="C10" s="75"/>
      <c r="D10" s="78"/>
      <c r="E10" s="78"/>
      <c r="F10" s="75"/>
      <c r="G10" s="75"/>
      <c r="H10" s="75"/>
      <c r="I10" s="75"/>
      <c r="J10" s="75"/>
    </row>
    <row r="11" spans="2:15" x14ac:dyDescent="0.2">
      <c r="C11" s="75"/>
      <c r="D11" s="75"/>
      <c r="E11" s="75"/>
      <c r="F11" s="75"/>
      <c r="G11" s="75"/>
      <c r="H11" s="75"/>
      <c r="I11" s="75"/>
      <c r="J11" s="75"/>
    </row>
    <row r="12" spans="2:15" x14ac:dyDescent="0.2">
      <c r="C12" s="74"/>
      <c r="D12" s="75"/>
      <c r="E12" s="75"/>
      <c r="F12" s="75"/>
      <c r="G12" s="75"/>
      <c r="H12" s="75"/>
      <c r="I12" s="75"/>
      <c r="J12" s="75"/>
    </row>
    <row r="13" spans="2:15" x14ac:dyDescent="0.2"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2:15" x14ac:dyDescent="0.2">
      <c r="B14" s="56"/>
      <c r="C14" s="81"/>
      <c r="D14" s="80"/>
      <c r="E14" s="82"/>
      <c r="F14" s="82"/>
      <c r="G14" s="82"/>
      <c r="H14" s="80"/>
      <c r="I14" s="80"/>
      <c r="J14" s="80"/>
      <c r="K14" s="80"/>
      <c r="L14" s="80"/>
      <c r="N14" s="73"/>
      <c r="O14" s="73"/>
    </row>
    <row r="15" spans="2:15" x14ac:dyDescent="0.2">
      <c r="B15" s="56"/>
      <c r="C15" s="80"/>
      <c r="D15" s="80"/>
      <c r="E15" s="82"/>
      <c r="F15" s="82"/>
      <c r="G15" s="82"/>
      <c r="H15" s="83"/>
      <c r="I15" s="83"/>
      <c r="J15" s="83"/>
      <c r="K15" s="80"/>
      <c r="L15" s="80"/>
      <c r="N15" s="73"/>
      <c r="O15" s="73"/>
    </row>
    <row r="16" spans="2:15" x14ac:dyDescent="0.2">
      <c r="B16" s="72"/>
      <c r="C16" s="80"/>
      <c r="D16" s="80"/>
      <c r="E16" s="82"/>
      <c r="F16" s="82"/>
      <c r="G16" s="82"/>
      <c r="H16" s="83"/>
      <c r="I16" s="83"/>
      <c r="J16" s="83"/>
      <c r="K16" s="80"/>
      <c r="L16" s="80"/>
      <c r="N16" s="73"/>
      <c r="O16" s="73"/>
    </row>
    <row r="17" spans="2:12" x14ac:dyDescent="0.2">
      <c r="B17" s="72"/>
      <c r="C17" s="80"/>
      <c r="D17" s="80"/>
      <c r="E17" s="82"/>
      <c r="F17" s="82"/>
      <c r="G17" s="82"/>
      <c r="H17" s="83"/>
      <c r="I17" s="83"/>
      <c r="J17" s="83"/>
      <c r="K17" s="80"/>
      <c r="L17" s="80"/>
    </row>
    <row r="18" spans="2:12" x14ac:dyDescent="0.2"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2:12" x14ac:dyDescent="0.2"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2:12" x14ac:dyDescent="0.2">
      <c r="C20" s="80"/>
      <c r="D20" s="80"/>
      <c r="E20" s="80"/>
      <c r="F20" s="80"/>
      <c r="G20" s="80"/>
      <c r="H20" s="80"/>
      <c r="I20" s="80"/>
      <c r="J20" s="80"/>
      <c r="K20" s="80"/>
      <c r="L20" s="80"/>
    </row>
  </sheetData>
  <mergeCells count="3"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I41"/>
  <sheetViews>
    <sheetView showGridLines="0" zoomScale="60" zoomScaleNormal="60" workbookViewId="0">
      <pane xSplit="2" ySplit="9" topLeftCell="C12" activePane="bottomRight" state="frozen"/>
      <selection activeCell="E37" sqref="E37"/>
      <selection pane="topRight" activeCell="E37" sqref="E37"/>
      <selection pane="bottomLeft" activeCell="E37" sqref="E37"/>
      <selection pane="bottomRight" activeCell="B4" sqref="B4"/>
    </sheetView>
  </sheetViews>
  <sheetFormatPr defaultColWidth="9.140625" defaultRowHeight="15" x14ac:dyDescent="0.2"/>
  <cols>
    <col min="1" max="1" width="1.85546875" style="1" customWidth="1"/>
    <col min="2" max="2" width="13.7109375" style="1" customWidth="1"/>
    <col min="3" max="6" width="15.7109375" style="1" customWidth="1"/>
    <col min="7" max="7" width="17.7109375" style="1" customWidth="1"/>
    <col min="8" max="8" width="11" style="1" customWidth="1"/>
    <col min="9" max="9" width="10.85546875" style="1" bestFit="1" customWidth="1"/>
    <col min="10" max="16384" width="9.140625" style="1"/>
  </cols>
  <sheetData>
    <row r="1" spans="2:9" ht="15.75" x14ac:dyDescent="0.25">
      <c r="B1" s="6" t="str">
        <f>Total!B1</f>
        <v>Appendix C</v>
      </c>
      <c r="C1" s="6"/>
      <c r="D1" s="6"/>
      <c r="E1" s="6"/>
      <c r="F1" s="6"/>
    </row>
    <row r="2" spans="2:9" ht="8.25" customHeight="1" x14ac:dyDescent="0.25">
      <c r="B2" s="6"/>
      <c r="C2" s="6"/>
      <c r="D2" s="6"/>
      <c r="E2" s="6"/>
      <c r="F2" s="6"/>
    </row>
    <row r="3" spans="2:9" ht="15.75" x14ac:dyDescent="0.25">
      <c r="B3" s="6" t="str">
        <f>Total!B3</f>
        <v>Utah Quarterly Compliance Filing</v>
      </c>
      <c r="C3" s="6"/>
      <c r="D3" s="6"/>
      <c r="E3" s="6"/>
      <c r="F3" s="6"/>
    </row>
    <row r="4" spans="2:9" ht="15.75" x14ac:dyDescent="0.25">
      <c r="B4" s="6" t="str">
        <f>Capacity!$B$4</f>
        <v>Step Study between 2018.Q3 and 2018.Q2 Compliance Filing</v>
      </c>
      <c r="C4" s="6"/>
      <c r="D4" s="6"/>
      <c r="E4" s="6"/>
      <c r="F4" s="6"/>
    </row>
    <row r="5" spans="2:9" ht="15.75" x14ac:dyDescent="0.25">
      <c r="B5" s="6" t="s">
        <v>18</v>
      </c>
      <c r="C5" s="6"/>
      <c r="D5" s="6"/>
      <c r="E5" s="6"/>
      <c r="F5" s="6"/>
    </row>
    <row r="6" spans="2:9" x14ac:dyDescent="0.2">
      <c r="C6" s="9"/>
      <c r="D6" s="9"/>
      <c r="E6" s="9"/>
      <c r="F6" s="9"/>
    </row>
    <row r="7" spans="2:9" s="4" customFormat="1" ht="15.75" x14ac:dyDescent="0.25">
      <c r="B7" s="14"/>
      <c r="C7" s="11" t="str">
        <f>Energy!D7</f>
        <v>OFPC</v>
      </c>
      <c r="D7" s="11" t="str">
        <f>Energy!E7</f>
        <v>Generic</v>
      </c>
      <c r="E7" s="11" t="str">
        <f>Energy!F7</f>
        <v>Queue</v>
      </c>
      <c r="F7" s="11" t="s">
        <v>5</v>
      </c>
      <c r="G7" s="1"/>
    </row>
    <row r="8" spans="2:9" s="4" customFormat="1" ht="15.75" x14ac:dyDescent="0.25">
      <c r="B8" s="15" t="s">
        <v>0</v>
      </c>
      <c r="C8" s="55" t="s">
        <v>20</v>
      </c>
      <c r="D8" s="12"/>
      <c r="E8" s="12"/>
      <c r="F8" s="12" t="s">
        <v>14</v>
      </c>
      <c r="G8" s="1"/>
    </row>
    <row r="9" spans="2:9" ht="4.5" customHeight="1" x14ac:dyDescent="0.2"/>
    <row r="10" spans="2:9" ht="15.75" x14ac:dyDescent="0.25">
      <c r="B10" s="3">
        <f>Total!B10</f>
        <v>2019</v>
      </c>
      <c r="C10" s="63">
        <f>ROUND(Total!D10-Total!C10,3)</f>
        <v>1.9019999999999999</v>
      </c>
      <c r="D10" s="63">
        <f>ROUND(Total!E10-Total!D10,3)</f>
        <v>-0.35799999999999998</v>
      </c>
      <c r="E10" s="63">
        <f>ROUND(Total!F10-Total!E10,3)</f>
        <v>0.53900000000000003</v>
      </c>
      <c r="F10" s="63">
        <f t="shared" ref="F10:F27" si="0">SUM(C10:E10)</f>
        <v>2.0830000000000002</v>
      </c>
      <c r="G10" s="62"/>
      <c r="I10" s="19"/>
    </row>
    <row r="11" spans="2:9" ht="15.75" x14ac:dyDescent="0.25">
      <c r="B11" s="3">
        <f t="shared" ref="B11:B27" si="1">B10+1</f>
        <v>2020</v>
      </c>
      <c r="C11" s="63">
        <f>ROUND(Total!D11-Total!C11,3)</f>
        <v>1.556</v>
      </c>
      <c r="D11" s="63">
        <f>ROUND(Total!E11-Total!D11,3)</f>
        <v>-0.46600000000000003</v>
      </c>
      <c r="E11" s="63">
        <f>ROUND(Total!F11-Total!E11,3)</f>
        <v>0.84799999999999998</v>
      </c>
      <c r="F11" s="63">
        <f t="shared" si="0"/>
        <v>1.9380000000000002</v>
      </c>
      <c r="G11" s="62"/>
      <c r="I11" s="19"/>
    </row>
    <row r="12" spans="2:9" ht="15.75" x14ac:dyDescent="0.25">
      <c r="B12" s="3">
        <f t="shared" si="1"/>
        <v>2021</v>
      </c>
      <c r="C12" s="63">
        <f>ROUND(Total!D12-Total!C12,3)</f>
        <v>1.472</v>
      </c>
      <c r="D12" s="63">
        <f>ROUND(Total!E12-Total!D12,3)</f>
        <v>-0.67400000000000004</v>
      </c>
      <c r="E12" s="63">
        <f>ROUND(Total!F12-Total!E12,3)</f>
        <v>0.39700000000000002</v>
      </c>
      <c r="F12" s="63">
        <f t="shared" si="0"/>
        <v>1.1949999999999998</v>
      </c>
      <c r="G12" s="62"/>
      <c r="I12" s="19"/>
    </row>
    <row r="13" spans="2:9" ht="15.75" x14ac:dyDescent="0.25">
      <c r="B13" s="3">
        <f t="shared" si="1"/>
        <v>2022</v>
      </c>
      <c r="C13" s="63">
        <f>ROUND(Total!D13-Total!C13,3)</f>
        <v>3.0089999999999999</v>
      </c>
      <c r="D13" s="63">
        <f>ROUND(Total!E13-Total!D13,3)</f>
        <v>-0.255</v>
      </c>
      <c r="E13" s="63">
        <f>ROUND(Total!F13-Total!E13,3)</f>
        <v>0.40600000000000003</v>
      </c>
      <c r="F13" s="63">
        <f t="shared" si="0"/>
        <v>3.16</v>
      </c>
      <c r="G13" s="62"/>
      <c r="I13" s="19"/>
    </row>
    <row r="14" spans="2:9" ht="15.75" x14ac:dyDescent="0.25">
      <c r="B14" s="3">
        <f t="shared" si="1"/>
        <v>2023</v>
      </c>
      <c r="C14" s="63">
        <f>ROUND(Total!D14-Total!C14,3)</f>
        <v>5.5179999999999998</v>
      </c>
      <c r="D14" s="63">
        <f>ROUND(Total!E14-Total!D14,3)</f>
        <v>-1.605</v>
      </c>
      <c r="E14" s="63">
        <f>ROUND(Total!F14-Total!E14,3)</f>
        <v>2.1960000000000002</v>
      </c>
      <c r="F14" s="63">
        <f t="shared" si="0"/>
        <v>6.109</v>
      </c>
      <c r="G14" s="62"/>
      <c r="I14" s="19"/>
    </row>
    <row r="15" spans="2:9" ht="15.75" x14ac:dyDescent="0.25">
      <c r="B15" s="3">
        <f t="shared" si="1"/>
        <v>2024</v>
      </c>
      <c r="C15" s="63">
        <f>ROUND(Total!D15-Total!C15,3)</f>
        <v>6.7119999999999997</v>
      </c>
      <c r="D15" s="63">
        <f>ROUND(Total!E15-Total!D15,3)</f>
        <v>-0.33300000000000002</v>
      </c>
      <c r="E15" s="63">
        <f>ROUND(Total!F15-Total!E15,3)</f>
        <v>0.55000000000000004</v>
      </c>
      <c r="F15" s="63">
        <f t="shared" si="0"/>
        <v>6.9289999999999994</v>
      </c>
      <c r="G15" s="62"/>
      <c r="I15" s="19"/>
    </row>
    <row r="16" spans="2:9" ht="15.75" x14ac:dyDescent="0.25">
      <c r="B16" s="3">
        <f t="shared" si="1"/>
        <v>2025</v>
      </c>
      <c r="C16" s="63">
        <f>ROUND(Total!D16-Total!C16,3)</f>
        <v>2.1669999999999998</v>
      </c>
      <c r="D16" s="63">
        <f>ROUND(Total!E16-Total!D16,3)</f>
        <v>0.45900000000000002</v>
      </c>
      <c r="E16" s="63">
        <f>ROUND(Total!F16-Total!E16,3)</f>
        <v>0.82499999999999996</v>
      </c>
      <c r="F16" s="63">
        <f t="shared" si="0"/>
        <v>3.4509999999999996</v>
      </c>
      <c r="G16" s="62"/>
      <c r="I16" s="19"/>
    </row>
    <row r="17" spans="2:9" ht="15.75" x14ac:dyDescent="0.25">
      <c r="B17" s="3">
        <f t="shared" si="1"/>
        <v>2026</v>
      </c>
      <c r="C17" s="63">
        <f>ROUND(Total!D17-Total!C17,3)</f>
        <v>1.841</v>
      </c>
      <c r="D17" s="63">
        <f>ROUND(Total!E17-Total!D17,3)</f>
        <v>-0.65100000000000002</v>
      </c>
      <c r="E17" s="63">
        <f>ROUND(Total!F17-Total!E17,3)</f>
        <v>0.86599999999999999</v>
      </c>
      <c r="F17" s="63">
        <f t="shared" si="0"/>
        <v>2.056</v>
      </c>
      <c r="G17" s="62"/>
      <c r="I17" s="19"/>
    </row>
    <row r="18" spans="2:9" ht="15.75" x14ac:dyDescent="0.25">
      <c r="B18" s="3">
        <f t="shared" si="1"/>
        <v>2027</v>
      </c>
      <c r="C18" s="63">
        <f>ROUND(Total!D18-Total!C18,3)</f>
        <v>1.401</v>
      </c>
      <c r="D18" s="63">
        <f>ROUND(Total!E18-Total!D18,3)</f>
        <v>-0.83899999999999997</v>
      </c>
      <c r="E18" s="63">
        <f>ROUND(Total!F18-Total!E18,3)</f>
        <v>1.218</v>
      </c>
      <c r="F18" s="63">
        <f t="shared" si="0"/>
        <v>1.78</v>
      </c>
      <c r="G18" s="62"/>
      <c r="I18" s="19"/>
    </row>
    <row r="19" spans="2:9" ht="15.75" x14ac:dyDescent="0.25">
      <c r="B19" s="3">
        <f t="shared" si="1"/>
        <v>2028</v>
      </c>
      <c r="C19" s="63">
        <f>ROUND(Total!D19-Total!C19,3)</f>
        <v>-0.18099999999999999</v>
      </c>
      <c r="D19" s="63">
        <f>ROUND(Total!E19-Total!D19,3)</f>
        <v>-0.438</v>
      </c>
      <c r="E19" s="63">
        <f>ROUND(Total!F19-Total!E19,3)</f>
        <v>0.99199999999999999</v>
      </c>
      <c r="F19" s="63">
        <f t="shared" si="0"/>
        <v>0.373</v>
      </c>
      <c r="G19" s="62"/>
      <c r="I19" s="19"/>
    </row>
    <row r="20" spans="2:9" ht="15.75" x14ac:dyDescent="0.25">
      <c r="B20" s="3">
        <f t="shared" si="1"/>
        <v>2029</v>
      </c>
      <c r="C20" s="63">
        <f>ROUND(Total!D20-Total!C20,3)</f>
        <v>0.313</v>
      </c>
      <c r="D20" s="63">
        <f>ROUND(Total!E20-Total!D20,3)</f>
        <v>-2.1800000000000002</v>
      </c>
      <c r="E20" s="63">
        <f>ROUND(Total!F20-Total!E20,3)</f>
        <v>3.4470000000000001</v>
      </c>
      <c r="F20" s="63">
        <f t="shared" si="0"/>
        <v>1.5799999999999998</v>
      </c>
      <c r="G20" s="62"/>
      <c r="I20" s="19"/>
    </row>
    <row r="21" spans="2:9" ht="15.75" x14ac:dyDescent="0.25">
      <c r="B21" s="3">
        <f t="shared" si="1"/>
        <v>2030</v>
      </c>
      <c r="C21" s="63">
        <f>ROUND(Total!D21-Total!C21,3)</f>
        <v>0.61599999999999999</v>
      </c>
      <c r="D21" s="63">
        <f>ROUND(Total!E21-Total!D21,3)</f>
        <v>-0.53500000000000003</v>
      </c>
      <c r="E21" s="63">
        <f>ROUND(Total!F21-Total!E21,3)</f>
        <v>1.393</v>
      </c>
      <c r="F21" s="63">
        <f t="shared" si="0"/>
        <v>1.474</v>
      </c>
      <c r="G21" s="62"/>
      <c r="I21" s="19"/>
    </row>
    <row r="22" spans="2:9" ht="15.75" x14ac:dyDescent="0.25">
      <c r="B22" s="3">
        <f t="shared" si="1"/>
        <v>2031</v>
      </c>
      <c r="C22" s="63">
        <f>ROUND(Total!D22-Total!C22,3)</f>
        <v>2.597</v>
      </c>
      <c r="D22" s="63">
        <f>ROUND(Total!E22-Total!D22,3)</f>
        <v>-0.04</v>
      </c>
      <c r="E22" s="63">
        <f>ROUND(Total!F22-Total!E22,3)</f>
        <v>-1.532</v>
      </c>
      <c r="F22" s="63">
        <f t="shared" si="0"/>
        <v>1.0249999999999999</v>
      </c>
      <c r="G22" s="62"/>
      <c r="I22" s="19"/>
    </row>
    <row r="23" spans="2:9" ht="15.75" x14ac:dyDescent="0.25">
      <c r="B23" s="3">
        <f t="shared" si="1"/>
        <v>2032</v>
      </c>
      <c r="C23" s="63">
        <f>ROUND(Total!D23-Total!C23,3)</f>
        <v>2.6139999999999999</v>
      </c>
      <c r="D23" s="63">
        <f>ROUND(Total!E23-Total!D23,3)</f>
        <v>-1.2310000000000001</v>
      </c>
      <c r="E23" s="63">
        <f>ROUND(Total!F23-Total!E23,3)</f>
        <v>-2.246</v>
      </c>
      <c r="F23" s="63">
        <f t="shared" si="0"/>
        <v>-0.86300000000000021</v>
      </c>
      <c r="G23" s="62"/>
      <c r="I23" s="19"/>
    </row>
    <row r="24" spans="2:9" ht="15.75" x14ac:dyDescent="0.25">
      <c r="B24" s="3">
        <f t="shared" si="1"/>
        <v>2033</v>
      </c>
      <c r="C24" s="63">
        <f>ROUND(Total!D24-Total!C24,3)</f>
        <v>3.581</v>
      </c>
      <c r="D24" s="63">
        <f>ROUND(Total!E24-Total!D24,3)</f>
        <v>-1.1599999999999999</v>
      </c>
      <c r="E24" s="63">
        <f>ROUND(Total!F24-Total!E24,3)</f>
        <v>1.208</v>
      </c>
      <c r="F24" s="63">
        <f t="shared" si="0"/>
        <v>3.6290000000000004</v>
      </c>
      <c r="G24" s="62"/>
      <c r="I24" s="19"/>
    </row>
    <row r="25" spans="2:9" ht="15.75" x14ac:dyDescent="0.25">
      <c r="B25" s="3">
        <f t="shared" si="1"/>
        <v>2034</v>
      </c>
      <c r="C25" s="63">
        <f>ROUND(Total!D25-Total!C25,3)</f>
        <v>6.2409999999999997</v>
      </c>
      <c r="D25" s="63">
        <f>ROUND(Total!E25-Total!D25,3)</f>
        <v>-0.72699999999999998</v>
      </c>
      <c r="E25" s="63">
        <f>ROUND(Total!F25-Total!E25,3)</f>
        <v>1.268</v>
      </c>
      <c r="F25" s="63">
        <f t="shared" si="0"/>
        <v>6.7819999999999991</v>
      </c>
      <c r="G25" s="62"/>
      <c r="I25" s="19"/>
    </row>
    <row r="26" spans="2:9" ht="15.75" x14ac:dyDescent="0.25">
      <c r="B26" s="3">
        <f t="shared" si="1"/>
        <v>2035</v>
      </c>
      <c r="C26" s="63">
        <f>ROUND(Total!D26-Total!C26,3)</f>
        <v>4.4039999999999999</v>
      </c>
      <c r="D26" s="63">
        <f>ROUND(Total!E26-Total!D26,3)</f>
        <v>-0.27600000000000002</v>
      </c>
      <c r="E26" s="63">
        <f>ROUND(Total!F26-Total!E26,3)</f>
        <v>-0.05</v>
      </c>
      <c r="F26" s="63">
        <f t="shared" si="0"/>
        <v>4.0780000000000003</v>
      </c>
      <c r="G26" s="62"/>
      <c r="I26" s="19"/>
    </row>
    <row r="27" spans="2:9" ht="15.75" x14ac:dyDescent="0.25">
      <c r="B27" s="3">
        <f t="shared" si="1"/>
        <v>2036</v>
      </c>
      <c r="C27" s="63">
        <f>ROUND(Total!D27-Total!C27,3)</f>
        <v>5.5060000000000002</v>
      </c>
      <c r="D27" s="63">
        <f>ROUND(Total!E27-Total!D27,3)</f>
        <v>-0.216</v>
      </c>
      <c r="E27" s="63">
        <f>ROUND(Total!F27-Total!E27,3)</f>
        <v>-0.08</v>
      </c>
      <c r="F27" s="63">
        <f t="shared" si="0"/>
        <v>5.21</v>
      </c>
      <c r="G27" s="62"/>
      <c r="I27" s="19"/>
    </row>
    <row r="28" spans="2:9" x14ac:dyDescent="0.2">
      <c r="C28" s="48"/>
      <c r="D28" s="48"/>
      <c r="E28" s="48"/>
      <c r="F28" s="48"/>
      <c r="G28" s="62"/>
    </row>
    <row r="29" spans="2:9" x14ac:dyDescent="0.2">
      <c r="B29" s="13" t="str">
        <f>Total!B29</f>
        <v>Nominal Levelized Payment at 6.910% Discount Rate (3)</v>
      </c>
      <c r="C29" s="65"/>
      <c r="D29" s="65"/>
      <c r="E29" s="65"/>
      <c r="F29" s="65"/>
      <c r="G29" s="62"/>
      <c r="H29" s="1" t="s">
        <v>19</v>
      </c>
    </row>
    <row r="30" spans="2:9" x14ac:dyDescent="0.2">
      <c r="B30" s="8" t="str">
        <f>B10&amp;" - "&amp;B24</f>
        <v>2019 - 2033</v>
      </c>
      <c r="C30" s="64">
        <f>ROUND(Total!D30-Total!C30,3)</f>
        <v>2.407</v>
      </c>
      <c r="D30" s="64">
        <f>ROUND(Total!E30-Total!D30,3)</f>
        <v>-0.63900000000000001</v>
      </c>
      <c r="E30" s="64">
        <f>ROUND(Total!F30-Total!E30,3)</f>
        <v>0.78800000000000003</v>
      </c>
      <c r="F30" s="64">
        <f>SUM(C30:E30)</f>
        <v>2.556</v>
      </c>
      <c r="G30" s="62"/>
      <c r="H30" s="71">
        <f>SUM(C30:E30)-F30</f>
        <v>0</v>
      </c>
    </row>
    <row r="31" spans="2:9" x14ac:dyDescent="0.2">
      <c r="B31" s="8" t="str">
        <f>B11&amp;" - "&amp;B25</f>
        <v>2020 - 2034</v>
      </c>
      <c r="C31" s="64">
        <f>ROUND(Total!D31-Total!C31,3)</f>
        <v>2.62</v>
      </c>
      <c r="D31" s="64">
        <f>ROUND(Total!E31-Total!D31,3)</f>
        <v>-0.67300000000000004</v>
      </c>
      <c r="E31" s="64">
        <f>ROUND(Total!F31-Total!E31,3)</f>
        <v>0.83499999999999996</v>
      </c>
      <c r="F31" s="64">
        <f>SUM(C31:E31)</f>
        <v>2.782</v>
      </c>
      <c r="G31" s="62"/>
      <c r="H31" s="71">
        <f>SUM(C31:E31)-F31</f>
        <v>0</v>
      </c>
    </row>
    <row r="32" spans="2:9" x14ac:dyDescent="0.2">
      <c r="B32" s="8" t="str">
        <f>B12&amp;" - "&amp;B26</f>
        <v>2021 - 2035</v>
      </c>
      <c r="C32" s="64">
        <f>ROUND(Total!D32-Total!C32,3)</f>
        <v>2.8039999999999998</v>
      </c>
      <c r="D32" s="64">
        <f>ROUND(Total!E32-Total!D32,3)</f>
        <v>-0.68</v>
      </c>
      <c r="E32" s="64">
        <f>ROUND(Total!F32-Total!E32,3)</f>
        <v>0.79800000000000004</v>
      </c>
      <c r="F32" s="64">
        <f>SUM(C32:E32)</f>
        <v>2.9219999999999997</v>
      </c>
      <c r="G32" s="62"/>
      <c r="H32" s="71">
        <f>SUM(C32:E32)-F32</f>
        <v>0</v>
      </c>
    </row>
    <row r="33" spans="2:6" x14ac:dyDescent="0.2">
      <c r="C33" s="48"/>
      <c r="D33" s="48"/>
      <c r="E33" s="48"/>
      <c r="F33" s="50"/>
    </row>
    <row r="34" spans="2:6" x14ac:dyDescent="0.2">
      <c r="B34" s="1" t="str">
        <f>Total!B34</f>
        <v>(1)   Studies are sequential.  The order of the studies would affect the price impact.</v>
      </c>
      <c r="C34" s="48"/>
      <c r="D34" s="48"/>
      <c r="E34" s="48"/>
      <c r="F34" s="48"/>
    </row>
    <row r="35" spans="2:6" x14ac:dyDescent="0.2">
      <c r="B35" s="1" t="str">
        <f>Total!B35</f>
        <v>(2)   Official Forward Price Curve Dated September 2018</v>
      </c>
    </row>
    <row r="36" spans="2:6" x14ac:dyDescent="0.2">
      <c r="B36" s="1" t="str">
        <f>Total!B36</f>
        <v>(3)   Discount Rate - 2017 IRP Update</v>
      </c>
      <c r="C36" s="8"/>
    </row>
    <row r="40" spans="2:6" hidden="1" x14ac:dyDescent="0.2">
      <c r="B40" s="21" t="s">
        <v>13</v>
      </c>
    </row>
    <row r="41" spans="2:6" hidden="1" x14ac:dyDescent="0.2">
      <c r="B41" s="37">
        <f>Discount_Rate</f>
        <v>6.9099999999999995E-2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&amp;L&amp;8NPC Group - &amp;F  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O44"/>
  <sheetViews>
    <sheetView zoomScale="80" zoomScaleNormal="80" workbookViewId="0">
      <pane xSplit="2" ySplit="9" topLeftCell="C27" activePane="bottomRight" state="frozen"/>
      <selection activeCell="E37" sqref="E37"/>
      <selection pane="topRight" activeCell="E37" sqref="E37"/>
      <selection pane="bottomLeft" activeCell="E37" sqref="E37"/>
      <selection pane="bottomRight" activeCell="C27" sqref="C27"/>
    </sheetView>
  </sheetViews>
  <sheetFormatPr defaultColWidth="9.140625" defaultRowHeight="15" x14ac:dyDescent="0.2"/>
  <cols>
    <col min="1" max="1" width="1.85546875" style="1" customWidth="1"/>
    <col min="2" max="2" width="13.7109375" style="1" customWidth="1"/>
    <col min="3" max="6" width="17.7109375" style="1" customWidth="1"/>
    <col min="7" max="7" width="2.42578125" style="1" customWidth="1"/>
    <col min="8" max="8" width="9.140625" style="1"/>
    <col min="9" max="9" width="10.28515625" style="1" bestFit="1" customWidth="1"/>
    <col min="10" max="13" width="9.140625" style="1"/>
    <col min="14" max="14" width="10.28515625" style="1" customWidth="1"/>
    <col min="15" max="16384" width="9.140625" style="1"/>
  </cols>
  <sheetData>
    <row r="1" spans="2:15" ht="15.75" x14ac:dyDescent="0.25">
      <c r="B1" s="6" t="s">
        <v>4</v>
      </c>
      <c r="C1" s="6"/>
      <c r="D1" s="6"/>
      <c r="E1" s="6"/>
      <c r="F1" s="6"/>
    </row>
    <row r="2" spans="2:15" ht="8.25" customHeight="1" x14ac:dyDescent="0.25">
      <c r="B2" s="6"/>
      <c r="C2" s="6"/>
      <c r="D2" s="6"/>
      <c r="E2" s="6"/>
      <c r="F2" s="6"/>
    </row>
    <row r="3" spans="2:15" ht="15.75" x14ac:dyDescent="0.25">
      <c r="B3" s="6" t="s">
        <v>1</v>
      </c>
      <c r="C3" s="6"/>
      <c r="D3" s="6"/>
      <c r="E3" s="6"/>
      <c r="F3" s="6"/>
    </row>
    <row r="4" spans="2:15" ht="15.75" x14ac:dyDescent="0.25">
      <c r="B4" s="6" t="str">
        <f>Capacity!$B$4</f>
        <v>Step Study between 2018.Q3 and 2018.Q2 Compliance Filing</v>
      </c>
      <c r="C4" s="6"/>
      <c r="D4" s="6"/>
      <c r="E4" s="6"/>
      <c r="F4" s="6"/>
    </row>
    <row r="5" spans="2:15" ht="15.75" x14ac:dyDescent="0.25">
      <c r="B5" s="6" t="s">
        <v>11</v>
      </c>
      <c r="C5" s="6"/>
      <c r="D5" s="6"/>
      <c r="E5" s="6"/>
      <c r="F5" s="6"/>
    </row>
    <row r="6" spans="2:15" s="18" customFormat="1" ht="15.75" x14ac:dyDescent="0.25">
      <c r="B6" s="16"/>
      <c r="C6" s="16"/>
      <c r="D6" s="16"/>
      <c r="E6" s="17"/>
      <c r="F6" s="17"/>
    </row>
    <row r="7" spans="2:15" ht="15.75" x14ac:dyDescent="0.25">
      <c r="B7" s="43"/>
      <c r="C7" s="44" t="str">
        <f>Energy!C7</f>
        <v>2018.Q2</v>
      </c>
      <c r="D7" s="44" t="str">
        <f>Energy!D7</f>
        <v>OFPC</v>
      </c>
      <c r="E7" s="44" t="str">
        <f>Energy!E7</f>
        <v>Generic</v>
      </c>
      <c r="F7" s="44" t="str">
        <f>Energy!F7</f>
        <v>Queue</v>
      </c>
    </row>
    <row r="8" spans="2:15" ht="15.75" x14ac:dyDescent="0.25">
      <c r="B8" s="7" t="s">
        <v>0</v>
      </c>
      <c r="C8" s="2" t="str">
        <f>Energy!C8</f>
        <v>As Filed</v>
      </c>
      <c r="D8" s="79" t="s">
        <v>20</v>
      </c>
      <c r="E8" s="2"/>
      <c r="F8" s="2"/>
    </row>
    <row r="9" spans="2:15" ht="4.5" customHeight="1" x14ac:dyDescent="0.2"/>
    <row r="10" spans="2:15" ht="15.75" x14ac:dyDescent="0.25">
      <c r="B10" s="3">
        <v>2019</v>
      </c>
      <c r="C10" s="68">
        <f>ROUND(Capacity!$F10+Energy!C10,3)</f>
        <v>18.84</v>
      </c>
      <c r="D10" s="68">
        <f>ROUND(Capacity!$G10+Energy!D10,3)</f>
        <v>20.742000000000001</v>
      </c>
      <c r="E10" s="68">
        <f>ROUND(Capacity!$G10+Energy!E10,3)</f>
        <v>20.384</v>
      </c>
      <c r="F10" s="68">
        <f>ROUND(Capacity!$G10+Energy!F10,3)</f>
        <v>20.922999999999998</v>
      </c>
      <c r="H10" s="45"/>
      <c r="I10" s="51"/>
      <c r="J10" s="45"/>
      <c r="K10" s="45"/>
      <c r="L10" s="45"/>
      <c r="M10" s="45"/>
      <c r="N10" s="45"/>
    </row>
    <row r="11" spans="2:15" ht="15.75" x14ac:dyDescent="0.25">
      <c r="B11" s="3">
        <f t="shared" ref="B11:B27" si="0">B10+1</f>
        <v>2020</v>
      </c>
      <c r="C11" s="68">
        <f>ROUND(Capacity!$F11+Energy!C11,3)</f>
        <v>16.597999999999999</v>
      </c>
      <c r="D11" s="68">
        <f>ROUND(Capacity!$G11+Energy!D11,3)</f>
        <v>18.154</v>
      </c>
      <c r="E11" s="68">
        <f>ROUND(Capacity!$G11+Energy!E11,3)</f>
        <v>17.687999999999999</v>
      </c>
      <c r="F11" s="68">
        <f>ROUND(Capacity!$G11+Energy!F11,3)</f>
        <v>18.536000000000001</v>
      </c>
      <c r="H11" s="45"/>
      <c r="I11" s="51"/>
      <c r="J11" s="45"/>
      <c r="K11" s="45"/>
      <c r="L11" s="45"/>
      <c r="M11" s="45"/>
      <c r="N11" s="45"/>
    </row>
    <row r="12" spans="2:15" ht="15.75" x14ac:dyDescent="0.25">
      <c r="B12" s="3">
        <f t="shared" si="0"/>
        <v>2021</v>
      </c>
      <c r="C12" s="68">
        <f>ROUND(Capacity!$F12+Energy!C12,3)</f>
        <v>15.170999999999999</v>
      </c>
      <c r="D12" s="68">
        <f>ROUND(Capacity!$G12+Energy!D12,3)</f>
        <v>16.643000000000001</v>
      </c>
      <c r="E12" s="68">
        <f>ROUND(Capacity!$G12+Energy!E12,3)</f>
        <v>15.968999999999999</v>
      </c>
      <c r="F12" s="68">
        <f>ROUND(Capacity!$G12+Energy!F12,3)</f>
        <v>16.366</v>
      </c>
      <c r="H12" s="45"/>
      <c r="I12" s="51"/>
      <c r="J12" s="45"/>
      <c r="K12" s="45"/>
      <c r="L12" s="45"/>
      <c r="M12" s="45"/>
      <c r="N12" s="45"/>
    </row>
    <row r="13" spans="2:15" ht="15.75" x14ac:dyDescent="0.25">
      <c r="B13" s="3">
        <f t="shared" si="0"/>
        <v>2022</v>
      </c>
      <c r="C13" s="68">
        <f>ROUND(Capacity!$F13+Energy!C13,3)</f>
        <v>14.08</v>
      </c>
      <c r="D13" s="68">
        <f>ROUND(Capacity!$G13+Energy!D13,3)</f>
        <v>17.088999999999999</v>
      </c>
      <c r="E13" s="68">
        <f>ROUND(Capacity!$G13+Energy!E13,3)</f>
        <v>16.834</v>
      </c>
      <c r="F13" s="68">
        <f>ROUND(Capacity!$G13+Energy!F13,3)</f>
        <v>17.239999999999998</v>
      </c>
      <c r="H13" s="45"/>
      <c r="I13" s="51"/>
      <c r="J13" s="45"/>
      <c r="K13" s="45"/>
      <c r="L13" s="45"/>
      <c r="M13" s="45"/>
      <c r="N13" s="45"/>
      <c r="O13" s="5"/>
    </row>
    <row r="14" spans="2:15" ht="15.75" x14ac:dyDescent="0.25">
      <c r="B14" s="3">
        <f t="shared" si="0"/>
        <v>2023</v>
      </c>
      <c r="C14" s="68">
        <f>ROUND(Capacity!$F14+Energy!C14,3)</f>
        <v>14.831</v>
      </c>
      <c r="D14" s="68">
        <f>ROUND(Capacity!$G14+Energy!D14,3)</f>
        <v>20.349</v>
      </c>
      <c r="E14" s="68">
        <f>ROUND(Capacity!$G14+Energy!E14,3)</f>
        <v>18.744</v>
      </c>
      <c r="F14" s="68">
        <f>ROUND(Capacity!$G14+Energy!F14,3)</f>
        <v>20.94</v>
      </c>
      <c r="H14" s="45"/>
      <c r="I14" s="51"/>
      <c r="J14" s="45"/>
      <c r="K14" s="45"/>
      <c r="L14" s="45"/>
      <c r="M14" s="45"/>
      <c r="N14" s="45"/>
    </row>
    <row r="15" spans="2:15" ht="15.75" x14ac:dyDescent="0.25">
      <c r="B15" s="3">
        <f t="shared" si="0"/>
        <v>2024</v>
      </c>
      <c r="C15" s="68">
        <f>ROUND(Capacity!$F15+Energy!C15,3)</f>
        <v>16.5</v>
      </c>
      <c r="D15" s="68">
        <f>ROUND(Capacity!$G15+Energy!D15,3)</f>
        <v>23.212</v>
      </c>
      <c r="E15" s="68">
        <f>ROUND(Capacity!$G15+Energy!E15,3)</f>
        <v>22.879000000000001</v>
      </c>
      <c r="F15" s="68">
        <f>ROUND(Capacity!$G15+Energy!F15,3)</f>
        <v>23.428999999999998</v>
      </c>
      <c r="H15" s="45"/>
      <c r="I15" s="51"/>
      <c r="J15" s="45"/>
      <c r="K15" s="45"/>
      <c r="L15" s="45"/>
      <c r="M15" s="45"/>
      <c r="N15" s="45"/>
    </row>
    <row r="16" spans="2:15" ht="15.75" x14ac:dyDescent="0.25">
      <c r="B16" s="3">
        <f t="shared" si="0"/>
        <v>2025</v>
      </c>
      <c r="C16" s="68">
        <f>ROUND(Capacity!$F16+Energy!C16,3)</f>
        <v>21.896000000000001</v>
      </c>
      <c r="D16" s="68">
        <f>ROUND(Capacity!$G16+Energy!D16,3)</f>
        <v>24.062999999999999</v>
      </c>
      <c r="E16" s="68">
        <f>ROUND(Capacity!$G16+Energy!E16,3)</f>
        <v>24.521999999999998</v>
      </c>
      <c r="F16" s="68">
        <f>ROUND(Capacity!$G16+Energy!F16,3)</f>
        <v>25.347000000000001</v>
      </c>
      <c r="H16" s="45"/>
      <c r="I16" s="51"/>
      <c r="J16" s="45"/>
      <c r="K16" s="45"/>
      <c r="L16" s="45"/>
      <c r="M16" s="45"/>
      <c r="N16" s="45"/>
    </row>
    <row r="17" spans="2:14" ht="15.75" x14ac:dyDescent="0.25">
      <c r="B17" s="3">
        <f t="shared" si="0"/>
        <v>2026</v>
      </c>
      <c r="C17" s="68">
        <f>ROUND(Capacity!$F17+Energy!C17,3)</f>
        <v>23.573</v>
      </c>
      <c r="D17" s="68">
        <f>ROUND(Capacity!$G17+Energy!D17,3)</f>
        <v>25.414000000000001</v>
      </c>
      <c r="E17" s="68">
        <f>ROUND(Capacity!$G17+Energy!E17,3)</f>
        <v>24.763000000000002</v>
      </c>
      <c r="F17" s="68">
        <f>ROUND(Capacity!$G17+Energy!F17,3)</f>
        <v>25.629000000000001</v>
      </c>
      <c r="H17" s="45"/>
      <c r="I17" s="51"/>
      <c r="J17" s="45"/>
      <c r="K17" s="45"/>
      <c r="L17" s="45"/>
      <c r="M17" s="45"/>
      <c r="N17" s="45"/>
    </row>
    <row r="18" spans="2:14" ht="15.75" x14ac:dyDescent="0.25">
      <c r="B18" s="3">
        <f t="shared" si="0"/>
        <v>2027</v>
      </c>
      <c r="C18" s="68">
        <f>ROUND(Capacity!$F18+Energy!C18,3)</f>
        <v>24.501999999999999</v>
      </c>
      <c r="D18" s="68">
        <f>ROUND(Capacity!$G18+Energy!D18,3)</f>
        <v>25.902999999999999</v>
      </c>
      <c r="E18" s="68">
        <f>ROUND(Capacity!$G18+Energy!E18,3)</f>
        <v>25.064</v>
      </c>
      <c r="F18" s="68">
        <f>ROUND(Capacity!$G18+Energy!F18,3)</f>
        <v>26.282</v>
      </c>
      <c r="H18" s="45"/>
      <c r="I18" s="51"/>
      <c r="J18" s="45"/>
      <c r="K18" s="45"/>
      <c r="L18" s="45"/>
      <c r="M18" s="45"/>
      <c r="N18" s="45"/>
    </row>
    <row r="19" spans="2:14" ht="15.75" x14ac:dyDescent="0.25">
      <c r="B19" s="3">
        <f t="shared" si="0"/>
        <v>2028</v>
      </c>
      <c r="C19" s="68">
        <f>ROUND(Capacity!$F19+Energy!C19,3)</f>
        <v>27.978999999999999</v>
      </c>
      <c r="D19" s="68">
        <f>ROUND(Capacity!$G19+Energy!D19,3)</f>
        <v>27.797999999999998</v>
      </c>
      <c r="E19" s="68">
        <f>ROUND(Capacity!$G19+Energy!E19,3)</f>
        <v>27.36</v>
      </c>
      <c r="F19" s="68">
        <f>ROUND(Capacity!$G19+Energy!F19,3)</f>
        <v>28.352</v>
      </c>
      <c r="H19" s="45"/>
      <c r="I19" s="51"/>
      <c r="J19" s="45"/>
      <c r="K19" s="45"/>
      <c r="L19" s="45"/>
      <c r="M19" s="45"/>
      <c r="N19" s="45"/>
    </row>
    <row r="20" spans="2:14" ht="15.75" x14ac:dyDescent="0.25">
      <c r="B20" s="3">
        <f t="shared" si="0"/>
        <v>2029</v>
      </c>
      <c r="C20" s="68">
        <f>ROUND(Capacity!$F20+Energy!C20,3)</f>
        <v>32.148000000000003</v>
      </c>
      <c r="D20" s="68">
        <f>ROUND(Capacity!$G20+Energy!D20,3)</f>
        <v>32.460999999999999</v>
      </c>
      <c r="E20" s="68">
        <f>ROUND(Capacity!$G20+Energy!E20,3)</f>
        <v>30.280999999999999</v>
      </c>
      <c r="F20" s="68">
        <f>ROUND(Capacity!$G20+Energy!F20,3)</f>
        <v>33.728000000000002</v>
      </c>
      <c r="H20" s="45"/>
      <c r="I20" s="51"/>
      <c r="J20" s="45"/>
      <c r="K20" s="45"/>
      <c r="L20" s="45"/>
      <c r="M20" s="45"/>
      <c r="N20" s="45"/>
    </row>
    <row r="21" spans="2:14" ht="15.75" x14ac:dyDescent="0.25">
      <c r="B21" s="3">
        <f t="shared" si="0"/>
        <v>2030</v>
      </c>
      <c r="C21" s="68">
        <f>ROUND(Capacity!$F21+Energy!C21,3)</f>
        <v>39.32</v>
      </c>
      <c r="D21" s="68">
        <f>ROUND(Capacity!$G21+Energy!D21,3)</f>
        <v>39.936</v>
      </c>
      <c r="E21" s="68">
        <f>ROUND(Capacity!$G21+Energy!E21,3)</f>
        <v>39.401000000000003</v>
      </c>
      <c r="F21" s="68">
        <f>ROUND(Capacity!$G21+Energy!F21,3)</f>
        <v>40.793999999999997</v>
      </c>
      <c r="H21" s="45"/>
      <c r="I21" s="51"/>
      <c r="J21" s="45"/>
      <c r="K21" s="45"/>
      <c r="L21" s="45"/>
      <c r="M21" s="45"/>
      <c r="N21" s="45"/>
    </row>
    <row r="22" spans="2:14" ht="15.75" x14ac:dyDescent="0.25">
      <c r="B22" s="3">
        <f t="shared" si="0"/>
        <v>2031</v>
      </c>
      <c r="C22" s="68">
        <f>ROUND(Capacity!$F22+Energy!C22,3)</f>
        <v>40.921999999999997</v>
      </c>
      <c r="D22" s="68">
        <f>ROUND(Capacity!$G22+Energy!D22,3)</f>
        <v>43.518999999999998</v>
      </c>
      <c r="E22" s="68">
        <f>ROUND(Capacity!$G22+Energy!E22,3)</f>
        <v>43.478999999999999</v>
      </c>
      <c r="F22" s="68">
        <f>ROUND(Capacity!$G22+Energy!F22,3)</f>
        <v>41.947000000000003</v>
      </c>
      <c r="H22" s="45"/>
      <c r="I22" s="51"/>
      <c r="J22" s="45"/>
      <c r="K22" s="45"/>
      <c r="L22" s="45"/>
      <c r="M22" s="45"/>
      <c r="N22" s="45"/>
    </row>
    <row r="23" spans="2:14" ht="15.75" x14ac:dyDescent="0.25">
      <c r="B23" s="3">
        <f t="shared" si="0"/>
        <v>2032</v>
      </c>
      <c r="C23" s="68">
        <f>ROUND(Capacity!$F23+Energy!C23,3)</f>
        <v>44.509</v>
      </c>
      <c r="D23" s="68">
        <f>ROUND(Capacity!$G23+Energy!D23,3)</f>
        <v>47.122999999999998</v>
      </c>
      <c r="E23" s="68">
        <f>ROUND(Capacity!$G23+Energy!E23,3)</f>
        <v>45.892000000000003</v>
      </c>
      <c r="F23" s="68">
        <f>ROUND(Capacity!$G23+Energy!F23,3)</f>
        <v>43.646000000000001</v>
      </c>
      <c r="H23" s="45"/>
      <c r="I23" s="51"/>
      <c r="J23" s="45"/>
      <c r="K23" s="45"/>
      <c r="L23" s="45"/>
      <c r="M23" s="45"/>
      <c r="N23" s="45"/>
    </row>
    <row r="24" spans="2:14" ht="15.75" x14ac:dyDescent="0.25">
      <c r="B24" s="3">
        <f t="shared" si="0"/>
        <v>2033</v>
      </c>
      <c r="C24" s="68">
        <f>ROUND(Capacity!$F24+Energy!C24,3)</f>
        <v>46.787999999999997</v>
      </c>
      <c r="D24" s="68">
        <f>ROUND(Capacity!$G24+Energy!D24,3)</f>
        <v>50.369</v>
      </c>
      <c r="E24" s="68">
        <f>ROUND(Capacity!$G24+Energy!E24,3)</f>
        <v>49.209000000000003</v>
      </c>
      <c r="F24" s="68">
        <f>ROUND(Capacity!$G24+Energy!F24,3)</f>
        <v>50.417000000000002</v>
      </c>
      <c r="H24" s="45"/>
      <c r="I24" s="51"/>
      <c r="J24" s="45"/>
      <c r="K24" s="45"/>
      <c r="L24" s="45"/>
      <c r="M24" s="45"/>
      <c r="N24" s="45"/>
    </row>
    <row r="25" spans="2:14" ht="15.75" x14ac:dyDescent="0.25">
      <c r="B25" s="3">
        <f t="shared" si="0"/>
        <v>2034</v>
      </c>
      <c r="C25" s="68">
        <f>ROUND(Capacity!$F25+Energy!C25,3)</f>
        <v>46.238999999999997</v>
      </c>
      <c r="D25" s="68">
        <f>ROUND(Capacity!$G25+Energy!D25,3)</f>
        <v>52.48</v>
      </c>
      <c r="E25" s="68">
        <f>ROUND(Capacity!$G25+Energy!E25,3)</f>
        <v>51.753</v>
      </c>
      <c r="F25" s="68">
        <f>ROUND(Capacity!$G25+Energy!F25,3)</f>
        <v>53.021000000000001</v>
      </c>
      <c r="H25" s="45"/>
      <c r="I25" s="51"/>
      <c r="J25" s="45"/>
      <c r="K25" s="45"/>
      <c r="L25" s="45"/>
      <c r="M25" s="45"/>
      <c r="N25" s="45"/>
    </row>
    <row r="26" spans="2:14" ht="15.75" x14ac:dyDescent="0.25">
      <c r="B26" s="3">
        <f t="shared" si="0"/>
        <v>2035</v>
      </c>
      <c r="C26" s="68">
        <f>ROUND(Capacity!$F26+Energy!C26,3)</f>
        <v>49.183</v>
      </c>
      <c r="D26" s="68">
        <f>ROUND(Capacity!$G26+Energy!D26,3)</f>
        <v>53.587000000000003</v>
      </c>
      <c r="E26" s="68">
        <f>ROUND(Capacity!$G26+Energy!E26,3)</f>
        <v>53.311</v>
      </c>
      <c r="F26" s="68">
        <f>ROUND(Capacity!$G26+Energy!F26,3)</f>
        <v>53.261000000000003</v>
      </c>
      <c r="H26" s="45"/>
      <c r="I26" s="51"/>
      <c r="J26" s="45"/>
      <c r="K26" s="45"/>
      <c r="L26" s="45"/>
      <c r="M26" s="45"/>
      <c r="N26" s="45"/>
    </row>
    <row r="27" spans="2:14" ht="15.75" x14ac:dyDescent="0.25">
      <c r="B27" s="3">
        <f t="shared" si="0"/>
        <v>2036</v>
      </c>
      <c r="C27" s="68">
        <f>ROUND(Capacity!$F27+Energy!C27,3)</f>
        <v>50.741</v>
      </c>
      <c r="D27" s="68">
        <f>ROUND(Capacity!$G27+Energy!D27,3)</f>
        <v>56.247</v>
      </c>
      <c r="E27" s="68">
        <f>ROUND(Capacity!$G27+Energy!E27,3)</f>
        <v>56.030999999999999</v>
      </c>
      <c r="F27" s="68">
        <f>ROUND(Capacity!$G27+Energy!F27,3)</f>
        <v>55.951000000000001</v>
      </c>
      <c r="H27" s="45"/>
      <c r="I27" s="51"/>
      <c r="J27" s="45"/>
      <c r="K27" s="45"/>
      <c r="L27" s="45"/>
      <c r="M27" s="45"/>
      <c r="N27" s="45"/>
    </row>
    <row r="28" spans="2:14" x14ac:dyDescent="0.2">
      <c r="C28" s="69"/>
      <c r="D28" s="69"/>
      <c r="E28" s="69"/>
      <c r="F28" s="69"/>
      <c r="H28" s="45"/>
      <c r="I28" s="45"/>
    </row>
    <row r="29" spans="2:14" x14ac:dyDescent="0.2">
      <c r="B29" s="4" t="str">
        <f>"Nominal Levelized Payment at "&amp;TEXT(Discount_Rate,"0.000%")&amp;" Discount Rate (3)"</f>
        <v>Nominal Levelized Payment at 6.910% Discount Rate (3)</v>
      </c>
      <c r="C29" s="69"/>
      <c r="D29" s="69"/>
      <c r="E29" s="69"/>
      <c r="F29" s="69"/>
      <c r="H29" s="45"/>
      <c r="I29" s="45"/>
    </row>
    <row r="30" spans="2:14" x14ac:dyDescent="0.2">
      <c r="B30" s="8" t="str">
        <f>B10&amp;" - "&amp;B24</f>
        <v>2019 - 2033</v>
      </c>
      <c r="C30" s="70">
        <f>ROUND(PMT(Discount_Rate,COUNT(C10:C24),-NPV(Discount_Rate,C10:C24)),2)</f>
        <v>23.71</v>
      </c>
      <c r="D30" s="70">
        <f t="shared" ref="D30:E32" si="1">ROUND(PMT(Discount_Rate,COUNT(D10:D24),-NPV(Discount_Rate,D10:D24)),3)</f>
        <v>26.117000000000001</v>
      </c>
      <c r="E30" s="70">
        <f t="shared" si="1"/>
        <v>25.478000000000002</v>
      </c>
      <c r="F30" s="70">
        <f t="shared" ref="F30" si="2">ROUND(PMT(Discount_Rate,COUNT(F10:F24),-NPV(Discount_Rate,F10:F24)),3)</f>
        <v>26.265999999999998</v>
      </c>
      <c r="H30" s="45"/>
      <c r="I30" s="51"/>
    </row>
    <row r="31" spans="2:14" x14ac:dyDescent="0.2">
      <c r="B31" s="8" t="str">
        <f>B11&amp;" - "&amp;B25</f>
        <v>2020 - 2034</v>
      </c>
      <c r="C31" s="70">
        <f>ROUND(PMT(Discount_Rate,COUNT(C11:C25),-NPV(Discount_Rate,C11:C25)),2)</f>
        <v>25.14</v>
      </c>
      <c r="D31" s="70">
        <f t="shared" si="1"/>
        <v>27.76</v>
      </c>
      <c r="E31" s="70">
        <f t="shared" si="1"/>
        <v>27.087</v>
      </c>
      <c r="F31" s="70">
        <f t="shared" ref="F31" si="3">ROUND(PMT(Discount_Rate,COUNT(F11:F25),-NPV(Discount_Rate,F11:F25)),3)</f>
        <v>27.922000000000001</v>
      </c>
      <c r="H31" s="45"/>
      <c r="I31" s="51"/>
    </row>
    <row r="32" spans="2:14" x14ac:dyDescent="0.2">
      <c r="B32" s="8" t="str">
        <f>B12&amp;" - "&amp;B26</f>
        <v>2021 - 2035</v>
      </c>
      <c r="C32" s="70">
        <f>ROUND(PMT(Discount_Rate,COUNT(C12:C26),-NPV(Discount_Rate,C12:C26)),2)</f>
        <v>27.04</v>
      </c>
      <c r="D32" s="70">
        <f t="shared" si="1"/>
        <v>29.844000000000001</v>
      </c>
      <c r="E32" s="70">
        <f t="shared" si="1"/>
        <v>29.164000000000001</v>
      </c>
      <c r="F32" s="70">
        <f t="shared" ref="F32" si="4">ROUND(PMT(Discount_Rate,COUNT(F12:F26),-NPV(Discount_Rate,F12:F26)),3)</f>
        <v>29.962</v>
      </c>
      <c r="H32" s="45"/>
      <c r="I32" s="51"/>
    </row>
    <row r="33" spans="2:9" x14ac:dyDescent="0.2">
      <c r="D33" s="10"/>
      <c r="E33" s="10"/>
      <c r="F33" s="10"/>
      <c r="H33" s="45"/>
      <c r="I33" s="45"/>
    </row>
    <row r="34" spans="2:9" x14ac:dyDescent="0.2">
      <c r="B34" s="8" t="s">
        <v>15</v>
      </c>
      <c r="H34" s="45"/>
      <c r="I34" s="45"/>
    </row>
    <row r="35" spans="2:9" x14ac:dyDescent="0.2">
      <c r="B35" s="1" t="str">
        <f>"(2)   Official Forward Price Curve Dated "&amp;TEXT(B44,"MMMM YYYY")</f>
        <v>(2)   Official Forward Price Curve Dated September 2018</v>
      </c>
      <c r="H35" s="45"/>
      <c r="I35" s="45"/>
    </row>
    <row r="36" spans="2:9" x14ac:dyDescent="0.2">
      <c r="B36" s="1" t="str">
        <f>"(3)   "&amp;B40</f>
        <v>(3)   Discount Rate - 2017 IRP Update</v>
      </c>
    </row>
    <row r="37" spans="2:9" x14ac:dyDescent="0.2">
      <c r="B37" s="1" t="s">
        <v>10</v>
      </c>
    </row>
    <row r="39" spans="2:9" x14ac:dyDescent="0.2">
      <c r="B39" s="21"/>
    </row>
    <row r="40" spans="2:9" x14ac:dyDescent="0.2">
      <c r="B40" s="21" t="s">
        <v>23</v>
      </c>
      <c r="D40" s="19"/>
    </row>
    <row r="41" spans="2:9" x14ac:dyDescent="0.2">
      <c r="B41" s="20">
        <v>6.9099999999999995E-2</v>
      </c>
      <c r="D41" s="19"/>
    </row>
    <row r="42" spans="2:9" x14ac:dyDescent="0.2">
      <c r="D42" s="19"/>
      <c r="E42" s="19"/>
      <c r="F42" s="19"/>
    </row>
    <row r="43" spans="2:9" x14ac:dyDescent="0.2">
      <c r="B43" s="1" t="s">
        <v>12</v>
      </c>
    </row>
    <row r="44" spans="2:9" x14ac:dyDescent="0.2">
      <c r="B44" s="22">
        <v>43371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&amp;L&amp;8NPC Group - &amp;F  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I45"/>
  <sheetViews>
    <sheetView zoomScale="70" zoomScaleNormal="70" workbookViewId="0">
      <pane xSplit="2" ySplit="8" topLeftCell="C9" activePane="bottomRight" state="frozen"/>
      <selection activeCell="E37" sqref="E37"/>
      <selection pane="topRight" activeCell="E37" sqref="E37"/>
      <selection pane="bottomLeft" activeCell="E37" sqref="E37"/>
      <selection pane="bottomRight" activeCell="C7" sqref="C7"/>
    </sheetView>
  </sheetViews>
  <sheetFormatPr defaultColWidth="9.140625" defaultRowHeight="15" x14ac:dyDescent="0.2"/>
  <cols>
    <col min="1" max="1" width="1.85546875" style="25" customWidth="1"/>
    <col min="2" max="2" width="13.7109375" style="25" customWidth="1"/>
    <col min="3" max="6" width="17.7109375" style="25" customWidth="1"/>
    <col min="7" max="7" width="2.28515625" style="25" customWidth="1"/>
    <col min="8" max="8" width="10" style="25" bestFit="1" customWidth="1"/>
    <col min="9" max="16384" width="9.140625" style="25"/>
  </cols>
  <sheetData>
    <row r="1" spans="2:9" ht="15.75" x14ac:dyDescent="0.25">
      <c r="B1" s="23" t="str">
        <f>Total!B1</f>
        <v>Appendix C</v>
      </c>
      <c r="C1" s="23"/>
      <c r="D1" s="23"/>
      <c r="E1" s="23"/>
      <c r="F1" s="23"/>
    </row>
    <row r="2" spans="2:9" ht="8.25" customHeight="1" x14ac:dyDescent="0.25">
      <c r="B2" s="23"/>
      <c r="C2" s="23"/>
      <c r="D2" s="23"/>
      <c r="E2" s="23"/>
      <c r="F2" s="23"/>
    </row>
    <row r="3" spans="2:9" ht="15.75" x14ac:dyDescent="0.25">
      <c r="B3" s="23" t="str">
        <f>Total!B3</f>
        <v>Utah Quarterly Compliance Filing</v>
      </c>
      <c r="C3" s="23"/>
      <c r="D3" s="23"/>
      <c r="E3" s="23"/>
      <c r="F3" s="23"/>
    </row>
    <row r="4" spans="2:9" ht="15.75" x14ac:dyDescent="0.25">
      <c r="B4" s="23" t="str">
        <f>Capacity!$B$4</f>
        <v>Step Study between 2018.Q3 and 2018.Q2 Compliance Filing</v>
      </c>
      <c r="C4" s="23"/>
      <c r="D4" s="23"/>
      <c r="E4" s="23"/>
      <c r="F4" s="23"/>
    </row>
    <row r="5" spans="2:9" ht="15.75" x14ac:dyDescent="0.25">
      <c r="B5" s="23" t="s">
        <v>6</v>
      </c>
      <c r="C5" s="23"/>
      <c r="D5" s="23"/>
      <c r="E5" s="23"/>
      <c r="F5" s="23"/>
    </row>
    <row r="6" spans="2:9" ht="15.75" x14ac:dyDescent="0.25">
      <c r="B6" s="23"/>
      <c r="C6" s="47"/>
      <c r="D6" s="47"/>
      <c r="E6" s="47"/>
      <c r="F6" s="47"/>
    </row>
    <row r="7" spans="2:9" ht="15.75" x14ac:dyDescent="0.25">
      <c r="B7" s="26"/>
      <c r="C7" s="41" t="str">
        <f>Capacity!K7</f>
        <v>2018.Q2</v>
      </c>
      <c r="D7" s="46" t="s">
        <v>24</v>
      </c>
      <c r="E7" s="46" t="s">
        <v>25</v>
      </c>
      <c r="F7" s="46" t="s">
        <v>26</v>
      </c>
      <c r="H7" s="58"/>
      <c r="I7" s="59"/>
    </row>
    <row r="8" spans="2:9" ht="15.75" x14ac:dyDescent="0.25">
      <c r="B8" s="28" t="s">
        <v>0</v>
      </c>
      <c r="C8" s="40" t="s">
        <v>7</v>
      </c>
      <c r="D8" s="40"/>
      <c r="E8" s="57"/>
      <c r="F8" s="57"/>
      <c r="H8" s="58"/>
      <c r="I8" s="59"/>
    </row>
    <row r="9" spans="2:9" ht="4.5" customHeight="1" x14ac:dyDescent="0.2">
      <c r="H9" s="59"/>
      <c r="I9" s="59"/>
    </row>
    <row r="10" spans="2:9" ht="15.75" x14ac:dyDescent="0.25">
      <c r="B10" s="30">
        <f>Total!B10</f>
        <v>2019</v>
      </c>
      <c r="C10" s="66">
        <v>18.84</v>
      </c>
      <c r="D10" s="66">
        <v>20.742000000000001</v>
      </c>
      <c r="E10" s="66">
        <v>20.384</v>
      </c>
      <c r="F10" s="66">
        <v>20.923000000000002</v>
      </c>
      <c r="H10" s="60"/>
      <c r="I10" s="61"/>
    </row>
    <row r="11" spans="2:9" ht="15.75" x14ac:dyDescent="0.25">
      <c r="B11" s="30">
        <f t="shared" ref="B11:B27" si="0">B10+1</f>
        <v>2020</v>
      </c>
      <c r="C11" s="66">
        <v>16.597999999999999</v>
      </c>
      <c r="D11" s="66">
        <v>18.154</v>
      </c>
      <c r="E11" s="66">
        <v>17.687999999999999</v>
      </c>
      <c r="F11" s="66">
        <v>18.535999999999998</v>
      </c>
      <c r="H11" s="60"/>
      <c r="I11" s="61"/>
    </row>
    <row r="12" spans="2:9" ht="15.75" x14ac:dyDescent="0.25">
      <c r="B12" s="30">
        <f t="shared" si="0"/>
        <v>2021</v>
      </c>
      <c r="C12" s="66">
        <v>15.170999999999999</v>
      </c>
      <c r="D12" s="66">
        <v>16.643000000000001</v>
      </c>
      <c r="E12" s="66">
        <v>15.969000000000001</v>
      </c>
      <c r="F12" s="66">
        <v>16.366</v>
      </c>
      <c r="H12" s="60"/>
      <c r="I12" s="61"/>
    </row>
    <row r="13" spans="2:9" ht="15.75" x14ac:dyDescent="0.25">
      <c r="B13" s="30">
        <f t="shared" si="0"/>
        <v>2022</v>
      </c>
      <c r="C13" s="66">
        <v>14.08</v>
      </c>
      <c r="D13" s="66">
        <v>17.088999999999999</v>
      </c>
      <c r="E13" s="66">
        <v>16.834</v>
      </c>
      <c r="F13" s="66">
        <v>17.239999999999998</v>
      </c>
      <c r="H13" s="60"/>
      <c r="I13" s="61"/>
    </row>
    <row r="14" spans="2:9" ht="15.75" x14ac:dyDescent="0.25">
      <c r="B14" s="30">
        <f t="shared" si="0"/>
        <v>2023</v>
      </c>
      <c r="C14" s="66">
        <v>14.831</v>
      </c>
      <c r="D14" s="66">
        <v>20.349</v>
      </c>
      <c r="E14" s="66">
        <v>18.744</v>
      </c>
      <c r="F14" s="66">
        <v>20.94</v>
      </c>
      <c r="H14" s="60"/>
      <c r="I14" s="61"/>
    </row>
    <row r="15" spans="2:9" ht="15.75" x14ac:dyDescent="0.25">
      <c r="B15" s="30">
        <f t="shared" si="0"/>
        <v>2024</v>
      </c>
      <c r="C15" s="66">
        <v>16.5</v>
      </c>
      <c r="D15" s="66">
        <v>23.212</v>
      </c>
      <c r="E15" s="66">
        <v>22.879000000000001</v>
      </c>
      <c r="F15" s="66">
        <v>23.429000000000002</v>
      </c>
      <c r="H15" s="60"/>
      <c r="I15" s="61"/>
    </row>
    <row r="16" spans="2:9" ht="15.75" x14ac:dyDescent="0.25">
      <c r="B16" s="30">
        <f t="shared" si="0"/>
        <v>2025</v>
      </c>
      <c r="C16" s="66">
        <v>21.896000000000001</v>
      </c>
      <c r="D16" s="66">
        <v>24.063000000000002</v>
      </c>
      <c r="E16" s="66">
        <v>24.522000000000002</v>
      </c>
      <c r="F16" s="66">
        <v>25.347000000000001</v>
      </c>
      <c r="H16" s="60"/>
      <c r="I16" s="61"/>
    </row>
    <row r="17" spans="2:9" ht="15.75" x14ac:dyDescent="0.25">
      <c r="B17" s="30">
        <f t="shared" si="0"/>
        <v>2026</v>
      </c>
      <c r="C17" s="66">
        <v>23.573</v>
      </c>
      <c r="D17" s="66">
        <v>25.414000000000001</v>
      </c>
      <c r="E17" s="66">
        <v>24.763000000000002</v>
      </c>
      <c r="F17" s="66">
        <v>25.629000000000001</v>
      </c>
      <c r="H17" s="60"/>
      <c r="I17" s="61"/>
    </row>
    <row r="18" spans="2:9" ht="15.75" x14ac:dyDescent="0.25">
      <c r="B18" s="30">
        <f t="shared" si="0"/>
        <v>2027</v>
      </c>
      <c r="C18" s="66">
        <v>24.501999999999999</v>
      </c>
      <c r="D18" s="66">
        <v>25.902999999999999</v>
      </c>
      <c r="E18" s="66">
        <v>25.064</v>
      </c>
      <c r="F18" s="66">
        <v>26.282</v>
      </c>
      <c r="H18" s="60"/>
      <c r="I18" s="61"/>
    </row>
    <row r="19" spans="2:9" ht="15.75" x14ac:dyDescent="0.25">
      <c r="B19" s="30">
        <f t="shared" si="0"/>
        <v>2028</v>
      </c>
      <c r="C19" s="66">
        <v>27.978999999999999</v>
      </c>
      <c r="D19" s="66">
        <v>27.797999999999998</v>
      </c>
      <c r="E19" s="66">
        <v>27.36</v>
      </c>
      <c r="F19" s="66">
        <v>28.352</v>
      </c>
      <c r="H19" s="60"/>
      <c r="I19" s="61"/>
    </row>
    <row r="20" spans="2:9" ht="15.75" x14ac:dyDescent="0.25">
      <c r="B20" s="30">
        <f t="shared" si="0"/>
        <v>2029</v>
      </c>
      <c r="C20" s="66">
        <v>32.148000000000003</v>
      </c>
      <c r="D20" s="66">
        <v>32.461000000000006</v>
      </c>
      <c r="E20" s="66">
        <v>30.281000000000006</v>
      </c>
      <c r="F20" s="66">
        <v>33.728000000000009</v>
      </c>
      <c r="H20" s="60"/>
      <c r="I20" s="61"/>
    </row>
    <row r="21" spans="2:9" ht="15.75" x14ac:dyDescent="0.25">
      <c r="B21" s="30">
        <f t="shared" si="0"/>
        <v>2030</v>
      </c>
      <c r="C21" s="66">
        <v>39.32</v>
      </c>
      <c r="D21" s="66">
        <v>39.936</v>
      </c>
      <c r="E21" s="66">
        <v>39.401000000000003</v>
      </c>
      <c r="F21" s="66">
        <v>40.794000000000004</v>
      </c>
      <c r="H21" s="60"/>
      <c r="I21" s="61"/>
    </row>
    <row r="22" spans="2:9" ht="15.75" x14ac:dyDescent="0.25">
      <c r="B22" s="30">
        <f t="shared" si="0"/>
        <v>2031</v>
      </c>
      <c r="C22" s="66">
        <v>40.921999999999997</v>
      </c>
      <c r="D22" s="66">
        <v>43.518999999999998</v>
      </c>
      <c r="E22" s="66">
        <v>43.478999999999999</v>
      </c>
      <c r="F22" s="66">
        <v>41.947000000000003</v>
      </c>
      <c r="H22" s="60"/>
      <c r="I22" s="61"/>
    </row>
    <row r="23" spans="2:9" ht="15.75" x14ac:dyDescent="0.25">
      <c r="B23" s="30">
        <f t="shared" si="0"/>
        <v>2032</v>
      </c>
      <c r="C23" s="66">
        <v>44.509</v>
      </c>
      <c r="D23" s="66">
        <v>47.122999999999998</v>
      </c>
      <c r="E23" s="66">
        <v>45.891999999999996</v>
      </c>
      <c r="F23" s="66">
        <v>43.645999999999994</v>
      </c>
      <c r="H23" s="60"/>
      <c r="I23" s="61"/>
    </row>
    <row r="24" spans="2:9" ht="15.75" x14ac:dyDescent="0.25">
      <c r="B24" s="30">
        <f t="shared" si="0"/>
        <v>2033</v>
      </c>
      <c r="C24" s="66">
        <v>46.787999999999997</v>
      </c>
      <c r="D24" s="66">
        <v>50.369</v>
      </c>
      <c r="E24" s="66">
        <v>49.209000000000003</v>
      </c>
      <c r="F24" s="66">
        <v>50.417000000000002</v>
      </c>
      <c r="H24" s="60"/>
      <c r="I24" s="61"/>
    </row>
    <row r="25" spans="2:9" ht="15.75" x14ac:dyDescent="0.25">
      <c r="B25" s="30">
        <f t="shared" si="0"/>
        <v>2034</v>
      </c>
      <c r="C25" s="66">
        <v>46.238999999999997</v>
      </c>
      <c r="D25" s="66">
        <v>52.48</v>
      </c>
      <c r="E25" s="66">
        <v>51.753</v>
      </c>
      <c r="F25" s="66">
        <v>53.021000000000001</v>
      </c>
      <c r="H25" s="60"/>
      <c r="I25" s="61"/>
    </row>
    <row r="26" spans="2:9" ht="15.75" x14ac:dyDescent="0.25">
      <c r="B26" s="30">
        <f t="shared" si="0"/>
        <v>2035</v>
      </c>
      <c r="C26" s="66">
        <v>49.183</v>
      </c>
      <c r="D26" s="66">
        <v>53.587000000000003</v>
      </c>
      <c r="E26" s="66">
        <v>53.311</v>
      </c>
      <c r="F26" s="66">
        <v>53.261000000000003</v>
      </c>
      <c r="H26" s="60"/>
      <c r="I26" s="61"/>
    </row>
    <row r="27" spans="2:9" ht="15.75" x14ac:dyDescent="0.25">
      <c r="B27" s="30">
        <f t="shared" si="0"/>
        <v>2036</v>
      </c>
      <c r="C27" s="66">
        <v>50.741</v>
      </c>
      <c r="D27" s="66">
        <v>56.247</v>
      </c>
      <c r="E27" s="66">
        <v>56.030999999999999</v>
      </c>
      <c r="F27" s="66">
        <v>55.951000000000001</v>
      </c>
      <c r="H27" s="60"/>
      <c r="I27" s="61"/>
    </row>
    <row r="28" spans="2:9" x14ac:dyDescent="0.2">
      <c r="C28" s="39"/>
      <c r="D28" s="39"/>
      <c r="E28" s="39"/>
      <c r="F28" s="39"/>
      <c r="H28" s="60"/>
      <c r="I28" s="61"/>
    </row>
    <row r="29" spans="2:9" x14ac:dyDescent="0.2">
      <c r="B29" s="33" t="str">
        <f>"Nominal Levelized Payment at "&amp;TEXT($B$40,"0.00%")&amp;" Discount Rate (3) (4)"</f>
        <v>Nominal Levelized Payment at 6.91% Discount Rate (3) (4)</v>
      </c>
      <c r="C29" s="39"/>
      <c r="D29" s="39"/>
      <c r="E29" s="39"/>
      <c r="F29" s="39"/>
      <c r="H29" s="60"/>
      <c r="I29" s="61"/>
    </row>
    <row r="30" spans="2:9" x14ac:dyDescent="0.2">
      <c r="B30" s="34" t="str">
        <f>B10&amp;" - "&amp;B24</f>
        <v>2019 - 2033</v>
      </c>
      <c r="C30" s="67">
        <f t="shared" ref="C30:E32" si="1">ROUND(PMT($B$40,COUNT(C10:C24),-NPV($B$40,C10:C24)),3)</f>
        <v>23.707999999999998</v>
      </c>
      <c r="D30" s="67">
        <f t="shared" si="1"/>
        <v>26.117000000000001</v>
      </c>
      <c r="E30" s="67">
        <f t="shared" si="1"/>
        <v>25.478000000000002</v>
      </c>
      <c r="F30" s="67">
        <f t="shared" ref="F30" si="2">ROUND(PMT($B$40,COUNT(F10:F24),-NPV($B$40,F10:F24)),3)</f>
        <v>26.265999999999998</v>
      </c>
      <c r="H30" s="60"/>
      <c r="I30" s="61"/>
    </row>
    <row r="31" spans="2:9" x14ac:dyDescent="0.2">
      <c r="B31" s="34" t="str">
        <f>B11&amp;" - "&amp;B25</f>
        <v>2020 - 2034</v>
      </c>
      <c r="C31" s="67">
        <f t="shared" si="1"/>
        <v>25.143000000000001</v>
      </c>
      <c r="D31" s="67">
        <f t="shared" si="1"/>
        <v>27.76</v>
      </c>
      <c r="E31" s="67">
        <f t="shared" si="1"/>
        <v>27.087</v>
      </c>
      <c r="F31" s="67">
        <f t="shared" ref="F31" si="3">ROUND(PMT($B$40,COUNT(F11:F25),-NPV($B$40,F11:F25)),3)</f>
        <v>27.922000000000001</v>
      </c>
      <c r="H31" s="60"/>
      <c r="I31" s="61"/>
    </row>
    <row r="32" spans="2:9" x14ac:dyDescent="0.2">
      <c r="B32" s="34" t="str">
        <f>B12&amp;" - "&amp;B26</f>
        <v>2021 - 2035</v>
      </c>
      <c r="C32" s="67">
        <f t="shared" si="1"/>
        <v>27.039000000000001</v>
      </c>
      <c r="D32" s="67">
        <f t="shared" si="1"/>
        <v>29.844000000000001</v>
      </c>
      <c r="E32" s="67">
        <f t="shared" si="1"/>
        <v>29.164000000000001</v>
      </c>
      <c r="F32" s="67">
        <f t="shared" ref="F32" si="4">ROUND(PMT($B$40,COUNT(F12:F26),-NPV($B$40,F12:F26)),3)</f>
        <v>29.962</v>
      </c>
      <c r="H32" s="60"/>
      <c r="I32" s="61"/>
    </row>
    <row r="33" spans="2:6" x14ac:dyDescent="0.2">
      <c r="B33" s="34"/>
      <c r="C33" s="32"/>
      <c r="D33" s="32"/>
      <c r="E33" s="32"/>
      <c r="F33" s="32"/>
    </row>
    <row r="34" spans="2:6" x14ac:dyDescent="0.2">
      <c r="B34" s="34" t="str">
        <f>Total!B34</f>
        <v>(1)   Studies are sequential.  The order of the studies would affect the price impact.</v>
      </c>
    </row>
    <row r="35" spans="2:6" x14ac:dyDescent="0.2">
      <c r="B35" s="34" t="str">
        <f>Total!B35</f>
        <v>(2)   Official Forward Price Curve Dated September 2018</v>
      </c>
    </row>
    <row r="36" spans="2:6" x14ac:dyDescent="0.2">
      <c r="B36" s="34" t="str">
        <f>Total!B36</f>
        <v>(3)   Discount Rate - 2017 IRP Update</v>
      </c>
    </row>
    <row r="37" spans="2:6" x14ac:dyDescent="0.2">
      <c r="B37" s="25" t="s">
        <v>16</v>
      </c>
    </row>
    <row r="39" spans="2:6" x14ac:dyDescent="0.2">
      <c r="B39" s="21" t="str">
        <f>Total!B40</f>
        <v>Discount Rate - 2017 IRP Update</v>
      </c>
    </row>
    <row r="40" spans="2:6" x14ac:dyDescent="0.2">
      <c r="B40" s="38">
        <f>Discount_Rate</f>
        <v>6.9099999999999995E-2</v>
      </c>
    </row>
    <row r="42" spans="2:6" hidden="1" x14ac:dyDescent="0.2"/>
    <row r="43" spans="2:6" hidden="1" x14ac:dyDescent="0.2">
      <c r="B43" s="52">
        <f t="shared" ref="B43:E43" si="5">IF(OR(B7="not used",B8="not used"),0,1)</f>
        <v>1</v>
      </c>
      <c r="C43" s="52">
        <f t="shared" si="5"/>
        <v>1</v>
      </c>
      <c r="D43" s="52">
        <f>IF(OR(D7="not used",D8="not used"),0,1)</f>
        <v>1</v>
      </c>
      <c r="E43" s="52">
        <f t="shared" si="5"/>
        <v>1</v>
      </c>
      <c r="F43" s="52"/>
    </row>
    <row r="44" spans="2:6" hidden="1" x14ac:dyDescent="0.2"/>
    <row r="45" spans="2:6" hidden="1" x14ac:dyDescent="0.2"/>
  </sheetData>
  <printOptions horizontalCentered="1"/>
  <pageMargins left="0.25" right="0.25" top="0.75" bottom="0.75" header="0.3" footer="0.2"/>
  <pageSetup scale="90" orientation="landscape" r:id="rId1"/>
  <headerFooter alignWithMargins="0">
    <oddFooter>&amp;L&amp;8NPC Group - &amp;F   ( &amp;A )&amp;C&amp;8Page &amp;P of &amp;N&amp;R&amp;8&amp;D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4"/>
  <sheetViews>
    <sheetView zoomScale="70" zoomScaleNormal="7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K8" sqref="K8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">
        <v>4</v>
      </c>
      <c r="C1" s="23"/>
      <c r="D1" s="23"/>
      <c r="E1" s="24"/>
      <c r="F1" s="23"/>
      <c r="G1" s="23"/>
      <c r="H1" s="53"/>
      <c r="I1" s="54"/>
    </row>
    <row r="2" spans="2:11" ht="8.25" customHeight="1" x14ac:dyDescent="0.25">
      <c r="B2" s="23"/>
      <c r="C2" s="23"/>
      <c r="D2" s="23"/>
      <c r="E2" s="24"/>
      <c r="F2" s="23"/>
      <c r="G2" s="23"/>
      <c r="H2" s="53"/>
      <c r="I2" s="54"/>
    </row>
    <row r="3" spans="2:11" ht="15.75" x14ac:dyDescent="0.25">
      <c r="B3" s="23" t="s">
        <v>1</v>
      </c>
      <c r="C3" s="23"/>
      <c r="D3" s="23"/>
      <c r="E3" s="24"/>
      <c r="F3" s="23"/>
      <c r="G3" s="23"/>
      <c r="H3" s="53"/>
      <c r="I3" s="54"/>
    </row>
    <row r="4" spans="2:11" ht="15.75" x14ac:dyDescent="0.25">
      <c r="B4" s="23" t="str">
        <f>"Step Study between "&amp;K8&amp;" and "&amp;K7&amp;" Compliance Filing"</f>
        <v>Step Study between 2018.Q3 and 2018.Q2 Compliance Filing</v>
      </c>
      <c r="C4" s="23"/>
      <c r="D4" s="23"/>
      <c r="E4" s="24"/>
      <c r="F4" s="23"/>
      <c r="G4" s="23"/>
      <c r="H4" s="53"/>
      <c r="I4" s="54"/>
    </row>
    <row r="5" spans="2:11" ht="15.75" x14ac:dyDescent="0.25">
      <c r="B5" s="23" t="s">
        <v>9</v>
      </c>
      <c r="C5" s="23"/>
      <c r="D5" s="23"/>
      <c r="E5" s="24"/>
      <c r="F5" s="23"/>
      <c r="G5" s="23"/>
      <c r="H5" s="53"/>
      <c r="I5" s="54"/>
    </row>
    <row r="6" spans="2:11" ht="15.75" x14ac:dyDescent="0.25">
      <c r="B6" s="23"/>
      <c r="C6" s="23"/>
      <c r="D6" s="23"/>
      <c r="F6" s="23"/>
      <c r="G6" s="23"/>
      <c r="H6" s="53"/>
      <c r="I6" s="54"/>
    </row>
    <row r="7" spans="2:11" ht="15.75" x14ac:dyDescent="0.25">
      <c r="B7" s="26"/>
      <c r="C7" s="27" t="s">
        <v>2</v>
      </c>
      <c r="D7" s="27"/>
      <c r="F7" s="27" t="s">
        <v>8</v>
      </c>
      <c r="G7" s="42"/>
      <c r="H7" s="53"/>
      <c r="I7" s="54"/>
      <c r="K7" s="29" t="s">
        <v>21</v>
      </c>
    </row>
    <row r="8" spans="2:11" ht="30.75" customHeight="1" x14ac:dyDescent="0.25">
      <c r="B8" s="28" t="s">
        <v>0</v>
      </c>
      <c r="C8" s="49" t="s">
        <v>29</v>
      </c>
      <c r="D8" s="49" t="str">
        <f>K8&amp;" (3)"</f>
        <v>2018.Q3 (3)</v>
      </c>
      <c r="F8" s="29" t="str">
        <f>C8</f>
        <v>2018.Q2 (3)</v>
      </c>
      <c r="G8" s="49" t="str">
        <f>D8</f>
        <v>2018.Q3 (3)</v>
      </c>
      <c r="K8" s="29" t="s">
        <v>22</v>
      </c>
    </row>
    <row r="9" spans="2:11" ht="4.5" customHeight="1" x14ac:dyDescent="0.2"/>
    <row r="10" spans="2:11" ht="15.75" x14ac:dyDescent="0.25">
      <c r="B10" s="30">
        <v>2019</v>
      </c>
      <c r="C10" s="31">
        <v>0</v>
      </c>
      <c r="D10" s="31">
        <v>0</v>
      </c>
      <c r="F10" s="31">
        <f t="shared" ref="F10:F24" si="0">C10*1000/(IF(MOD($B10,4)=0,8784,8760)*0.85)</f>
        <v>0</v>
      </c>
      <c r="G10" s="31">
        <f t="shared" ref="G10:G24" si="1">D10*1000/(IF(MOD($B10,4)=0,8784,8760)*0.85)</f>
        <v>0</v>
      </c>
    </row>
    <row r="11" spans="2:11" ht="15.75" x14ac:dyDescent="0.25">
      <c r="B11" s="30">
        <f t="shared" ref="B11:B27" si="2">B10+1</f>
        <v>2020</v>
      </c>
      <c r="C11" s="31">
        <v>0</v>
      </c>
      <c r="D11" s="31">
        <v>0</v>
      </c>
      <c r="F11" s="31">
        <f t="shared" si="0"/>
        <v>0</v>
      </c>
      <c r="G11" s="31">
        <f t="shared" si="1"/>
        <v>0</v>
      </c>
    </row>
    <row r="12" spans="2:11" ht="15.75" x14ac:dyDescent="0.25">
      <c r="B12" s="30">
        <f t="shared" si="2"/>
        <v>2021</v>
      </c>
      <c r="C12" s="31">
        <v>0</v>
      </c>
      <c r="D12" s="31">
        <v>0</v>
      </c>
      <c r="F12" s="31">
        <f t="shared" si="0"/>
        <v>0</v>
      </c>
      <c r="G12" s="31">
        <f t="shared" si="1"/>
        <v>0</v>
      </c>
    </row>
    <row r="13" spans="2:11" ht="15.75" x14ac:dyDescent="0.25">
      <c r="B13" s="30">
        <f t="shared" si="2"/>
        <v>2022</v>
      </c>
      <c r="C13" s="31">
        <v>0</v>
      </c>
      <c r="D13" s="31">
        <v>0</v>
      </c>
      <c r="F13" s="31">
        <f t="shared" si="0"/>
        <v>0</v>
      </c>
      <c r="G13" s="31">
        <f t="shared" si="1"/>
        <v>0</v>
      </c>
    </row>
    <row r="14" spans="2:11" ht="15.75" x14ac:dyDescent="0.25">
      <c r="B14" s="30">
        <f t="shared" si="2"/>
        <v>2023</v>
      </c>
      <c r="C14" s="31">
        <v>0</v>
      </c>
      <c r="D14" s="31">
        <v>0</v>
      </c>
      <c r="F14" s="31">
        <f t="shared" si="0"/>
        <v>0</v>
      </c>
      <c r="G14" s="31">
        <f t="shared" si="1"/>
        <v>0</v>
      </c>
    </row>
    <row r="15" spans="2:11" ht="15.75" x14ac:dyDescent="0.25">
      <c r="B15" s="30">
        <f t="shared" si="2"/>
        <v>2024</v>
      </c>
      <c r="C15" s="31">
        <v>0</v>
      </c>
      <c r="D15" s="31">
        <v>0</v>
      </c>
      <c r="F15" s="31">
        <f t="shared" si="0"/>
        <v>0</v>
      </c>
      <c r="G15" s="31">
        <f t="shared" si="1"/>
        <v>0</v>
      </c>
    </row>
    <row r="16" spans="2:11" ht="15.75" x14ac:dyDescent="0.25">
      <c r="B16" s="30">
        <f t="shared" si="2"/>
        <v>2025</v>
      </c>
      <c r="C16" s="31">
        <v>0</v>
      </c>
      <c r="D16" s="31">
        <v>0</v>
      </c>
      <c r="F16" s="31">
        <f t="shared" si="0"/>
        <v>0</v>
      </c>
      <c r="G16" s="31">
        <f t="shared" si="1"/>
        <v>0</v>
      </c>
    </row>
    <row r="17" spans="2:7" ht="15.75" x14ac:dyDescent="0.25">
      <c r="B17" s="30">
        <f t="shared" si="2"/>
        <v>2026</v>
      </c>
      <c r="C17" s="31">
        <v>0</v>
      </c>
      <c r="D17" s="31">
        <v>0</v>
      </c>
      <c r="F17" s="31">
        <f t="shared" si="0"/>
        <v>0</v>
      </c>
      <c r="G17" s="31">
        <f t="shared" si="1"/>
        <v>0</v>
      </c>
    </row>
    <row r="18" spans="2:7" ht="15.75" x14ac:dyDescent="0.25">
      <c r="B18" s="30">
        <f t="shared" si="2"/>
        <v>2027</v>
      </c>
      <c r="C18" s="31">
        <v>0</v>
      </c>
      <c r="D18" s="31">
        <v>0</v>
      </c>
      <c r="F18" s="31">
        <f t="shared" si="0"/>
        <v>0</v>
      </c>
      <c r="G18" s="31">
        <f t="shared" si="1"/>
        <v>0</v>
      </c>
    </row>
    <row r="19" spans="2:7" ht="15.75" x14ac:dyDescent="0.25">
      <c r="B19" s="30">
        <f t="shared" si="2"/>
        <v>2028</v>
      </c>
      <c r="C19" s="31">
        <v>0</v>
      </c>
      <c r="D19" s="31">
        <v>0</v>
      </c>
      <c r="F19" s="31">
        <f t="shared" si="0"/>
        <v>0</v>
      </c>
      <c r="G19" s="31">
        <f t="shared" si="1"/>
        <v>0</v>
      </c>
    </row>
    <row r="20" spans="2:7" ht="15.75" x14ac:dyDescent="0.25">
      <c r="B20" s="30">
        <f t="shared" si="2"/>
        <v>2029</v>
      </c>
      <c r="C20" s="31">
        <v>0</v>
      </c>
      <c r="D20" s="31">
        <v>0</v>
      </c>
      <c r="F20" s="31">
        <f t="shared" si="0"/>
        <v>0</v>
      </c>
      <c r="G20" s="31">
        <f t="shared" si="1"/>
        <v>0</v>
      </c>
    </row>
    <row r="21" spans="2:7" ht="15.75" x14ac:dyDescent="0.25">
      <c r="B21" s="30">
        <f t="shared" si="2"/>
        <v>2030</v>
      </c>
      <c r="C21" s="31">
        <v>0</v>
      </c>
      <c r="D21" s="31">
        <v>0</v>
      </c>
      <c r="F21" s="31">
        <f t="shared" si="0"/>
        <v>0</v>
      </c>
      <c r="G21" s="31">
        <f t="shared" si="1"/>
        <v>0</v>
      </c>
    </row>
    <row r="22" spans="2:7" ht="15.75" x14ac:dyDescent="0.25">
      <c r="B22" s="30">
        <f t="shared" si="2"/>
        <v>2031</v>
      </c>
      <c r="C22" s="31">
        <v>0</v>
      </c>
      <c r="D22" s="31">
        <v>0</v>
      </c>
      <c r="F22" s="31">
        <f t="shared" si="0"/>
        <v>0</v>
      </c>
      <c r="G22" s="31">
        <f t="shared" si="1"/>
        <v>0</v>
      </c>
    </row>
    <row r="23" spans="2:7" ht="15.75" x14ac:dyDescent="0.25">
      <c r="B23" s="30">
        <f t="shared" si="2"/>
        <v>2032</v>
      </c>
      <c r="C23" s="31">
        <v>0</v>
      </c>
      <c r="D23" s="31">
        <v>0</v>
      </c>
      <c r="F23" s="31">
        <f t="shared" si="0"/>
        <v>0</v>
      </c>
      <c r="G23" s="31">
        <f t="shared" si="1"/>
        <v>0</v>
      </c>
    </row>
    <row r="24" spans="2:7" ht="15.75" x14ac:dyDescent="0.25">
      <c r="B24" s="30">
        <f t="shared" si="2"/>
        <v>2033</v>
      </c>
      <c r="C24" s="31">
        <v>0</v>
      </c>
      <c r="D24" s="31">
        <v>0</v>
      </c>
      <c r="F24" s="31">
        <f t="shared" si="0"/>
        <v>0</v>
      </c>
      <c r="G24" s="31">
        <f t="shared" si="1"/>
        <v>0</v>
      </c>
    </row>
    <row r="25" spans="2:7" ht="15.75" x14ac:dyDescent="0.25">
      <c r="B25" s="30">
        <f t="shared" si="2"/>
        <v>2034</v>
      </c>
      <c r="C25" s="31">
        <v>0</v>
      </c>
      <c r="D25" s="31">
        <v>0</v>
      </c>
      <c r="F25" s="31">
        <f t="shared" ref="F25:F27" si="3">C25*1000/(IF(MOD($B25,4)=0,8784,8760)*0.85)</f>
        <v>0</v>
      </c>
      <c r="G25" s="31">
        <f t="shared" ref="G25:G27" si="4">D25*1000/(IF(MOD($B25,4)=0,8784,8760)*0.85)</f>
        <v>0</v>
      </c>
    </row>
    <row r="26" spans="2:7" ht="15.75" x14ac:dyDescent="0.25">
      <c r="B26" s="30">
        <f t="shared" si="2"/>
        <v>2035</v>
      </c>
      <c r="C26" s="31">
        <v>0</v>
      </c>
      <c r="D26" s="31">
        <v>0</v>
      </c>
      <c r="F26" s="31">
        <f t="shared" si="3"/>
        <v>0</v>
      </c>
      <c r="G26" s="31">
        <f t="shared" si="4"/>
        <v>0</v>
      </c>
    </row>
    <row r="27" spans="2:7" ht="15.75" x14ac:dyDescent="0.25">
      <c r="B27" s="30">
        <f t="shared" si="2"/>
        <v>2036</v>
      </c>
      <c r="C27" s="31">
        <v>0</v>
      </c>
      <c r="D27" s="31">
        <v>0</v>
      </c>
      <c r="F27" s="31">
        <f t="shared" si="3"/>
        <v>0</v>
      </c>
      <c r="G27" s="31">
        <f t="shared" si="4"/>
        <v>0</v>
      </c>
    </row>
    <row r="28" spans="2:7" ht="15.75" x14ac:dyDescent="0.25">
      <c r="B28" s="30"/>
      <c r="C28" s="32"/>
      <c r="D28" s="32"/>
      <c r="F28" s="32"/>
    </row>
    <row r="29" spans="2:7" x14ac:dyDescent="0.2">
      <c r="B29" s="33" t="str">
        <f>"Nominal Levelized Payment at "&amp;TEXT($B$44,"0.000%")&amp;" Discount Rate (2)"</f>
        <v>Nominal Levelized Payment at 6.910% Discount Rate (2)</v>
      </c>
    </row>
    <row r="30" spans="2:7" x14ac:dyDescent="0.2">
      <c r="B30" s="34" t="str">
        <f>$B$10&amp;" - "&amp;B24</f>
        <v>2019 - 2033</v>
      </c>
      <c r="C30" s="35">
        <f t="shared" ref="C30:D32" si="5">PMT($B$44,COUNT(C10:C24),-NPV($B$44,C10:C24))</f>
        <v>0</v>
      </c>
      <c r="D30" s="35">
        <f t="shared" si="5"/>
        <v>0</v>
      </c>
      <c r="F30" s="35">
        <f t="shared" ref="F30:G32" si="6">PMT($B$44,COUNT(F10:F24),-NPV($B$44,F10:F24))</f>
        <v>0</v>
      </c>
      <c r="G30" s="35">
        <f t="shared" si="6"/>
        <v>0</v>
      </c>
    </row>
    <row r="31" spans="2:7" x14ac:dyDescent="0.2">
      <c r="B31" s="34" t="str">
        <f>$B$11&amp;" - "&amp;B25</f>
        <v>2020 - 2034</v>
      </c>
      <c r="C31" s="35">
        <f t="shared" si="5"/>
        <v>0</v>
      </c>
      <c r="D31" s="35">
        <f t="shared" si="5"/>
        <v>0</v>
      </c>
      <c r="F31" s="35">
        <f t="shared" si="6"/>
        <v>0</v>
      </c>
      <c r="G31" s="35">
        <f t="shared" si="6"/>
        <v>0</v>
      </c>
    </row>
    <row r="32" spans="2:7" x14ac:dyDescent="0.2">
      <c r="B32" s="34" t="str">
        <f>$B$12&amp;" - "&amp;B26</f>
        <v>2021 - 2035</v>
      </c>
      <c r="C32" s="35">
        <f t="shared" si="5"/>
        <v>0</v>
      </c>
      <c r="D32" s="35">
        <f t="shared" si="5"/>
        <v>0</v>
      </c>
      <c r="F32" s="35">
        <f t="shared" si="6"/>
        <v>0</v>
      </c>
      <c r="G32" s="35">
        <f t="shared" si="6"/>
        <v>0</v>
      </c>
    </row>
    <row r="34" spans="2:10" x14ac:dyDescent="0.2">
      <c r="B34" s="25" t="s">
        <v>3</v>
      </c>
    </row>
    <row r="35" spans="2:10" s="1" customFormat="1" x14ac:dyDescent="0.2">
      <c r="B35" s="25" t="s">
        <v>27</v>
      </c>
      <c r="C35" s="25"/>
      <c r="D35" s="25"/>
      <c r="E35" s="25"/>
      <c r="F35" s="25"/>
      <c r="I35"/>
      <c r="J35"/>
    </row>
    <row r="36" spans="2:10" x14ac:dyDescent="0.2">
      <c r="B36" s="25" t="s">
        <v>17</v>
      </c>
    </row>
    <row r="43" spans="2:10" x14ac:dyDescent="0.2">
      <c r="B43" s="53" t="s">
        <v>28</v>
      </c>
    </row>
    <row r="44" spans="2:10" x14ac:dyDescent="0.2">
      <c r="B44" s="36">
        <f>Discount_Rate</f>
        <v>6.9099999999999995E-2</v>
      </c>
    </row>
  </sheetData>
  <printOptions horizontalCentered="1"/>
  <pageMargins left="0.25" right="0.25" top="0.75" bottom="0.75" header="0.3" footer="0.2"/>
  <pageSetup scale="88" orientation="landscape" r:id="rId1"/>
  <headerFooter alignWithMargins="0">
    <oddFooter>&amp;L&amp;8NPC Group - &amp;F  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2018-12-20T19:29:26Z</dcterms:created>
  <dcterms:modified xsi:type="dcterms:W3CDTF">2018-12-20T21:54:26Z</dcterms:modified>
</cp:coreProperties>
</file>